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11.xml" ContentType="application/vnd.openxmlformats-officedocument.spreadsheetml.table+xml"/>
  <Override PartName="/xl/tables/table12.xml" ContentType="application/vnd.openxmlformats-officedocument.spreadsheetml.table+xml"/>
  <Override PartName="/xl/worksheets/sheet4.xml" ContentType="application/vnd.openxmlformats-officedocument.spreadsheetml.workshee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worksheets/sheet5.xml" ContentType="application/vnd.openxmlformats-officedocument.spreadsheetml.worksheet+xml"/>
  <Override PartName="/xl/comments/comment3.xml" ContentType="application/vnd.openxmlformats-officedocument.spreadsheetml.comments+xml"/>
  <Override PartName="/xl/tables/table28.xml" ContentType="application/vnd.openxmlformats-officedocument.spreadsheetml.table+xml"/>
  <Override PartName="/xl/worksheets/sheet6.xml" ContentType="application/vnd.openxmlformats-officedocument.spreadsheetml.worksheet+xml"/>
  <Override PartName="/xl/comments/comment4.xml" ContentType="application/vnd.openxmlformats-officedocument.spreadsheetml.comments+xml"/>
  <Override PartName="/xl/tables/table29.xml" ContentType="application/vnd.openxmlformats-officedocument.spreadsheetml.table+xml"/>
  <Override PartName="/xl/tables/table30.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4" autoFilterDateGrouping="1"/>
  </bookViews>
  <sheets>
    <sheet xmlns:r="http://schemas.openxmlformats.org/officeDocument/2006/relationships" name="Start" sheetId="1" state="visible" r:id="rId1"/>
    <sheet xmlns:r="http://schemas.openxmlformats.org/officeDocument/2006/relationships" name="Status" sheetId="2" state="visible" r:id="rId2"/>
    <sheet xmlns:r="http://schemas.openxmlformats.org/officeDocument/2006/relationships" name="Roadmap" sheetId="3" state="visible" r:id="rId3"/>
    <sheet xmlns:r="http://schemas.openxmlformats.org/officeDocument/2006/relationships" name="Settings" sheetId="4" state="visible" r:id="rId4"/>
    <sheet xmlns:r="http://schemas.openxmlformats.org/officeDocument/2006/relationships" name="Tasks" sheetId="5" state="visible" r:id="rId5"/>
    <sheet xmlns:r="http://schemas.openxmlformats.org/officeDocument/2006/relationships" name="Resources" sheetId="6" state="visible" r:id="rId6"/>
  </sheets>
  <definedNames>
    <definedName name="ProjectName">Start!$C$4</definedName>
    <definedName name="ProjectManager">Start!$C$5</definedName>
    <definedName name="ProjectStartDate">Start!$C$6</definedName>
    <definedName name="WorkingWeek">Start!$C$7</definedName>
    <definedName name="HoursPerDay">Start!$C$8</definedName>
    <definedName name="ProjectType">Start!$C$9</definedName>
    <definedName name="ProjectStart">Settings!$C$5</definedName>
    <definedName name="StatusDateInput">Status!$C$5</definedName>
    <definedName name="StatusDate">Settings!$C$6</definedName>
    <definedName name="StatusWorkday">Settings!$C$7</definedName>
    <definedName name="RescheduleAfterStatus">Settings!$C$8</definedName>
    <definedName name="DefaultUnits">Settings!$C$9</definedName>
    <definedName name="WorkMon">Settings!$C$10</definedName>
    <definedName name="WorkTue">Settings!$C$11</definedName>
    <definedName name="WorkWed">Settings!$C$12</definedName>
    <definedName name="WorkThu">Settings!$C$13</definedName>
    <definedName name="WorkFri">Settings!$C$14</definedName>
    <definedName name="WorkSat">Settings!$C$15</definedName>
    <definedName name="WorkSun">Settings!$C$16</definedName>
    <definedName name="WorkWeek">Settings!$C$17</definedName>
    <definedName name="ViewFrom">Settings!$C$18</definedName>
    <definedName name="GanttStart">Settings!$C$19</definedName>
    <definedName name="GanttPeriod">Settings!$C$20</definedName>
    <definedName name="OutlineShowLevel">Settings!$C$21</definedName>
    <definedName name="LiveGrids">Settings!$C$22</definedName>
    <definedName name="RoadmapStart">Settings!$C$23</definedName>
    <definedName name="FocusFactor">Settings!$C$24</definedName>
    <definedName name="MaxPeople">Settings!$C$25</definedName>
    <definedName name="CriticalSlackDays">Settings!$C$26</definedName>
    <definedName name="ProjectFinish">Settings!$C$27</definedName>
    <definedName name="PlannedFinish">Settings!$C$28</definedName>
    <definedName name="BaselineSet">Settings!$C$29</definedName>
    <definedName name="FinishVarianceDays">Settings!$C$30</definedName>
    <definedName name="LookaheadDays">Settings!$C$31</definedName>
    <definedName name="LookaheadEnd">Settings!$C$32</definedName>
    <definedName name="RAGAmberSlipDays">Settings!$C$33</definedName>
    <definedName name="RAGRedSlipDays">Settings!$C$34</definedName>
    <definedName name="RAGAmberIndex">Settings!$C$35</definedName>
    <definedName name="RAGRedIndex">Settings!$C$36</definedName>
    <definedName name="RAIDHighScore">Settings!$C$37</definedName>
    <definedName name="RAIDMediumScore">Settings!$C$38</definedName>
    <definedName name="ResourceWeekStart">Settings!$C$39</definedName>
    <definedName name="NextFreeUID">Settings!$C$40</definedName>
    <definedName name="TakeBaseline">Settings!$C$41</definedName>
    <definedName name="DuplicateUIDs">Settings!$C$42</definedName>
    <definedName name="MissingUIDs">Settings!$C$43</definedName>
    <definedName name="Sandbox">Settings!$C$44</definedName>
    <definedName name="PertP50">Settings!$C$45</definedName>
    <definedName name="PertP80">Settings!$C$46</definedName>
    <definedName name="L_DepType">ListDepType[Link Type]</definedName>
    <definedName name="L_Mode">ListMode[Task Mode]</definedName>
    <definedName name="L_WorkingWeek">ListWorkingWeek[Working Week]</definedName>
    <definedName name="L_Constraint">ListConstraint[Constraint]</definedName>
    <definedName name="L_YesNo">ListYesNo[Yes / No]</definedName>
    <definedName name="L_ResType">ListResType[Resource Type]</definedName>
    <definedName name="L_Period">ListPeriod[Gantt Days per Column]</definedName>
    <definedName name="L_RAG">ListRAG[RAG]</definedName>
    <definedName name="L_LogType">ListLogType[Log Type]</definedName>
    <definedName name="L_RAIDStatus">ListRAIDStatus[RAID Status]</definedName>
    <definedName name="L_DecisionStatus">ListDecisionStatus[Decision Status]</definedName>
    <definedName name="L_ChangeStatus">ListChangeStatus[Change Status]</definedName>
    <definedName name="L_ProjectType">ProjectPresets[Project Type]</definedName>
    <definedName name="stg_Name">StageTable[Stage]</definedName>
    <definedName name="stg_Pct">StageTable[% Complete]</definedName>
    <definedName name="L_Stage">StageTable[Stage]</definedName>
    <definedName name="Holidays">HolidayTable[Date]</definedName>
    <definedName name="leave_Grid">ResourceTable[[#Data],[Jan-26]:[Dec-28]]</definedName>
    <definedName name="leave_Months">ResourceTable[[#Headers],[Jan-26]:[Dec-28]]</definedName>
    <definedName name="leave_Days">{1,2,3,4,5,6,7,8,9,10,11,12,13,14,15,16,17,18,19,20,21,22,23,24,25,26,27,28,29,30,31}</definedName>
    <definedName name="res_Name">ResourceTable[Resource Name]</definedName>
    <definedName name="res_Initials">ResourceTable[Initials]</definedName>
    <definedName name="res_Group">ResourceTable[Group]</definedName>
    <definedName name="res_Type">ResourceTable[Type]</definedName>
    <definedName name="res_Allocation">ResourceTable[Allocation %]</definedName>
    <definedName name="res_Start">ResourceTable[Start]</definedName>
    <definedName name="res_End">ResourceTable[End]</definedName>
    <definedName name="res_FocusInput">ResourceTable[Focus %]</definedName>
    <definedName name="res_Focus">ResourceTable[_Focus]</definedName>
    <definedName name="res_Email">ResourceTable[Email]</definedName>
    <definedName name="lv_Days">LeaveDays[Days]</definedName>
    <definedName name="lv_Key">LeaveDays[_Key]</definedName>
    <definedName name="lv_Twice">LeaveDays[Also Typed Above]</definedName>
    <definedName name="tsk_ID">Tasks[ID]</definedName>
    <definedName name="tsk_UID">Tasks[UID]</definedName>
    <definedName name="tsk_WBS">Tasks[WBS]</definedName>
    <definedName name="tsk_Level">Tasks[_Level]</definedName>
    <definedName name="tsk_Show">Tasks[Show]</definedName>
    <definedName name="tsk_Name">Tasks[Task Name]</definedName>
    <definedName name="tsk_Mode">Tasks[Mode]</definedName>
    <definedName name="tsk_Duration">Tasks[_Days]</definedName>
    <definedName name="tsk_ConstraintType">Tasks[Constraint]</definedName>
    <definedName name="tsk_ConstraintCode">Tasks[_ConstraintCode]</definedName>
    <definedName name="tsk_Constraint">Tasks[Constraint Date]</definedName>
    <definedName name="tsk_Deadline">Tasks[Deadline]</definedName>
    <definedName name="tsk_PlanStart">Tasks[Planned Start]</definedName>
    <definedName name="tsk_PlanFinish">Tasks[Planned Finish]</definedName>
    <definedName name="tsk_ActStart">Tasks[Actual Start]</definedName>
    <definedName name="tsk_ActFinish">Tasks[Actual Finish]</definedName>
    <definedName name="tsk_FcStart">Tasks[Start]</definedName>
    <definedName name="tsk_FcFinish">Tasks[Finish]</definedName>
    <definedName name="tsk_StartVariance">Tasks[Start Var]</definedName>
    <definedName name="tsk_Variance">Tasks[Finish Var]</definedName>
    <definedName name="tsk_LateStart">Tasks[Late Start]</definedName>
    <definedName name="tsk_LateFinish">Tasks[Late Finish]</definedName>
    <definedName name="tsk_TotalSlack">Tasks[Total Slack]</definedName>
    <definedName name="tsk_FreeSlack">Tasks[Free Slack]</definedName>
    <definedName name="tsk_Critical">Tasks[Critical]</definedName>
    <definedName name="tsk_DeadlineCheck">Tasks[Deadline Check]</definedName>
    <definedName name="tsk_LinkCheck">Tasks[Link Check]</definedName>
    <definedName name="tsk_Issues">Tasks[Issues]</definedName>
    <definedName name="tsk_PctInput">Tasks[% Complete]</definedName>
    <definedName name="tsk_Stage">Tasks[Stage]</definedName>
    <definedName name="tsk_Progress">Tasks[Progress]</definedName>
    <definedName name="tsk_Status">Tasks[Status]</definedName>
    <definedName name="tsk_Resource">Tasks[_Resource1]</definedName>
    <definedName name="tsk_Units">Tasks[_Units1]</definedName>
    <definedName name="tsk_Work">Tasks[Work]</definedName>
    <definedName name="tsk_Sprint">Tasks[Sprint]</definedName>
    <definedName name="tsk_Descendants">Tasks[_Descendants]</definedName>
    <definedName name="tsk_Predecessors">Tasks[Predecessors by ID]</definedName>
    <definedName name="tsk_PredecessorsInput">Tasks[_Predecessors]</definedName>
    <definedName name="tsk_Notes">Tasks[Notes]</definedName>
    <definedName name="tsk_Owner">Tasks[Owner]</definedName>
    <definedName name="tsk_BaseStart">Tasks[Baseline Start]</definedName>
    <definedName name="tsk_BaseFinish">Tasks[Baseline Finish]</definedName>
    <definedName name="tsk_BaseDuration">Tasks[Baseline Duration]</definedName>
    <definedName name="tsk_BaseWork">Tasks[Baseline Work]</definedName>
    <definedName name="tsk_SourceDuration">Tasks[BL Source Duration]</definedName>
    <definedName name="tsk_DurationVariance">Tasks[Duration Var]</definedName>
    <definedName name="tsk_WorkVariance">Tasks[Work Var]</definedName>
    <definedName name="tsk_IsSummary">Tasks[_IsSummary]</definedName>
    <definedName name="tsk_IsLeaf">Tasks[_IsLeaf]</definedName>
    <definedName name="tsk_CalcStart">Tasks[_CalcStart]</definedName>
    <definedName name="tsk_CalcFinish">Tasks[_CalcFinish]</definedName>
    <definedName name="tsk_LeafWork">Tasks[_LeafWork]</definedName>
    <definedName name="tsk_StartWD">Tasks[_StartWorkday]</definedName>
    <definedName name="tsk_FinishWD">Tasks[_FinishWorkday]</definedName>
    <definedName name="tsk_WorkPerWD">Tasks[_WorkPerWorkday]</definedName>
    <definedName name="tsk_WorkBeforeStart">Tasks[_WorkBeforeStart]</definedName>
    <definedName name="tsk_WtDur">Tasks[_WeightDur]</definedName>
    <definedName name="tsk_WtDone">Tasks[_WeightDone]</definedName>
    <definedName name="tsk_WtPlanned">Tasks[_WeightPlanned]</definedName>
    <definedName name="tsk_UIDPredecessors">Tasks[_UIDPredecessors]</definedName>
    <definedName name="tsk_MilestoneKey">Tasks[_MilestoneKey]</definedName>
    <definedName name="tsk_PlannedPct">Tasks[_PlannedPct]</definedName>
    <definedName name="tsk_Phase">Tasks[_Phase]</definedName>
    <definedName name="tsk_PhaseKey">Tasks[_PhaseKey]</definedName>
    <definedName name="tsk_MilestoneOrder">Tasks[_MilestoneOrder]</definedName>
    <definedName name="tsk_LateKey">Tasks[_LateKey]</definedName>
    <definedName name="tsk_StartSoonKey">Tasks[_StartSoonKey]</definedName>
    <definedName name="tsk_DueSoonKey">Tasks[_DueSoonKey]</definedName>
    <definedName name="tsk_CriticalKey">Tasks[_CriticalKey]</definedName>
    <definedName name="tsk_OverAllocated">Tasks[Over-allocated]</definedName>
    <definedName name="tsk_StoryPoints">Tasks[Story Points]</definedName>
    <definedName name="tsk_PlannedSprint">Tasks[Planned Sprint]</definedName>
    <definedName name="tsk_LeafWorkDone">Tasks[_LeafWorkDone]</definedName>
    <definedName name="tsk_DoneDate">Tasks[_DoneDate]</definedName>
    <definedName name="tsk_LeafPoints">Tasks[_LeafPoints]</definedName>
    <definedName name="tsk_CurrentSprintKey">Tasks[_CurrentSprintKey]</definedName>
    <definedName name="tsk_LeafFcstFinish">Tasks[_LeafFcstFinish]</definedName>
    <definedName name="tsk_LeafProgress">Tasks[_LeafProgress]</definedName>
    <definedName name="tsk_LeafTotalWork">Tasks[_LeafTotalWork]</definedName>
    <definedName name="tsk_ResourceNames">Tasks[Resource Names]</definedName>
    <definedName name="tsk_ResourcesInput">Tasks[_Resources]</definedName>
    <definedName name="tsk_People">Tasks[_People]</definedName>
    <definedName name="tsk_Res2">Tasks[_Res2]</definedName>
    <definedName name="tsk_Res2Units">Tasks[_Res2Units]</definedName>
    <definedName name="tsk_Res2Work">Tasks[_Res2Work]</definedName>
    <definedName name="tsk_Res2WPD">Tasks[_Res2WorkPerWD]</definedName>
    <definedName name="tsk_Res2WBefore">Tasks[_Res2WorkBefore]</definedName>
    <definedName name="tsk_Res2Done">Tasks[_Res2WorkDone]</definedName>
    <definedName name="tsk_Res3">Tasks[_Res3]</definedName>
    <definedName name="tsk_Res3Units">Tasks[_Res3Units]</definedName>
    <definedName name="tsk_Res3Work">Tasks[_Res3Work]</definedName>
    <definedName name="tsk_Res3WPD">Tasks[_Res3WorkPerWD]</definedName>
    <definedName name="tsk_Res3WBefore">Tasks[_Res3WorkBefore]</definedName>
    <definedName name="tsk_Res3Done">Tasks[_Res3WorkDone]</definedName>
    <definedName name="tsk_Res4">Tasks[_Res4]</definedName>
    <definedName name="tsk_Res4Units">Tasks[_Res4Units]</definedName>
    <definedName name="tsk_Res4Work">Tasks[_Res4Work]</definedName>
    <definedName name="tsk_Res4WPD">Tasks[_Res4WorkPerWD]</definedName>
    <definedName name="tsk_Res4WBefore">Tasks[_Res4WorkBefore]</definedName>
    <definedName name="tsk_Res4Done">Tasks[_Res4WorkDone]</definedName>
    <definedName name="tsk_PickList">Tasks[_PickList]</definedName>
    <definedName name="tsk_Accountable">Tasks[Accountable]</definedName>
    <definedName name="tsk_Consulted">Tasks[Consulted]</definedName>
    <definedName name="tsk_Informed">Tasks[Informed]</definedName>
    <definedName name="tsk_PertExpected">Tasks[Expected]</definedName>
    <definedName name="tsk_PertVariance">Tasks[_PertVariance]</definedName>
    <definedName name="tsk_PertShift">Tasks[_PertShift]</definedName>
    <definedName name="tsk_BLSource">Tasks[[BL Source Start]:[BL Source Work]]</definedName>
    <definedName name="tsk_Baseline">Tasks[[Baseline Start]:[Baseline Work]]</definedName>
    <definedName name="gantt_Origin">Tasks!$HH$5</definedName>
    <definedName name="ProjectRAG">OverallStatus[RAG]</definedName>
    <definedName name="sts_Narrative">Status!$B$24</definedName>
    <definedName name="sch_Progress">Status!$D$31</definedName>
    <definedName name="sch_Planned">Status!$D$32</definedName>
    <definedName name="sch_SPI">Status!$D$33</definedName>
    <definedName name="rm_Origin">Roadmap!$Q$5</definedName>
    <definedName name="L_PARSE_DURATION">_xlfn.LAMBDA(_xlpm.x,_xlfn.LET(_xlpm.t,LOWER(TRIM(_xlpm.x)),IF(_xlpm.x="","",IF(ISNUMBER(_xlpm.x),_xlpm.x,IFERROR(VALUE(_xlpm.t),IFERROR(VALUE(LEFT(_xlpm.t,LEN(_xlpm.t)-1))*_xlfn.SWITCH(RIGHT(_xlpm.t,1),"w",5,"d",1),""))))))</definedName>
    <definedName name="L_WORKING_DAYS">_xlfn.LAMBDA(_xlpm.a,_xlpm.b,IF(_xlpm.b&gt;=_xlpm.a,NETWORKDAYS.INTL(_xlpm.a,_xlpm.b,WorkWeek,Holidays)-1,1-NETWORKDAYS.INTL(_xlpm.b,_xlpm.a,WorkWeek,Holidays)))</definedName>
    <definedName name="L_IS_WORKING_DAY">_xlfn.LAMBDA(_xlpm.d,NETWORKDAYS.INTL(_xlpm.d,_xlpm.d,WorkWeek,Holidays)=1)</definedName>
    <definedName name="TemplateVersion">"1.1 M365"</definedName>
    <definedName name="PlannerVersion">"2.1-m365"</definedName>
    <definedName name="PlannerModules">""</definedName>
    <definedName name="_xlnm.Print_Titles" localSheetId="1">'Status'!$1:$5</definedName>
    <definedName name="_xlnm.Print_Area" localSheetId="1">'Status'!$B$1:$H$90</definedName>
    <definedName name="_xlnm.Print_Titles" localSheetId="2">'Roadmap'!$1:$5</definedName>
    <definedName name="_xlnm.Print_Area" localSheetId="2">'Roadmap'!$A$1:$AI$39</definedName>
  </definedNames>
  <calcPr calcId="124519" calcMode="auto" fullCalcOnLoad="1"/>
</workbook>
</file>

<file path=xl/styles.xml><?xml version="1.0" encoding="utf-8"?>
<styleSheet xmlns="http://schemas.openxmlformats.org/spreadsheetml/2006/main">
  <numFmts count="10">
    <numFmt numFmtId="164" formatCode="yyyy-mm-dd"/>
    <numFmt numFmtId="165" formatCode="ddd dd-mmm-yy"/>
    <numFmt numFmtId="166" formatCode="0.0"/>
    <numFmt numFmtId="167" formatCode="+0;-0;0"/>
    <numFmt numFmtId="168" formatCode="#,##0.0"/>
    <numFmt numFmtId="169" formatCode="0.#"/>
    <numFmt numFmtId="170" formatCode="d"/>
    <numFmt numFmtId="171" formatCode="ddd dd-mmm"/>
    <numFmt numFmtId="172" formatCode="dd-mmm-yy"/>
    <numFmt numFmtId="173" formatCode="mmm"/>
  </numFmts>
  <fonts count="25">
    <font>
      <name val="Calibri"/>
      <family val="2"/>
      <color theme="1"/>
      <sz val="11"/>
      <scheme val="minor"/>
    </font>
    <font>
      <name val="Arial"/>
      <b val="1"/>
      <color rgb="001F4E78"/>
      <sz val="16"/>
    </font>
    <font>
      <name val="Arial"/>
      <i val="1"/>
      <color rgb="00595959"/>
      <sz val="10"/>
    </font>
    <font>
      <name val="Arial"/>
      <b val="1"/>
      <color rgb="00FFFFFF"/>
      <sz val="10"/>
    </font>
    <font>
      <name val="Arial"/>
      <b val="1"/>
      <sz val="10"/>
    </font>
    <font>
      <name val="Arial"/>
      <color rgb="000000FF"/>
      <sz val="10"/>
    </font>
    <font>
      <name val="Arial"/>
      <color rgb="007F7F7F"/>
      <sz val="10"/>
    </font>
    <font>
      <name val="Arial"/>
      <sz val="10"/>
    </font>
    <font>
      <name val="Arial"/>
      <b val="1"/>
      <color rgb="001F4E78"/>
      <sz val="10"/>
    </font>
    <font>
      <name val="Arial"/>
      <color rgb="00404040"/>
      <sz val="10"/>
    </font>
    <font>
      <name val="Arial"/>
      <color rgb="00404040"/>
      <sz val="8"/>
    </font>
    <font>
      <name val="Arial"/>
      <b val="1"/>
      <color rgb="00404040"/>
      <sz val="8"/>
    </font>
    <font>
      <name val="Arial"/>
      <color rgb="00FFFFFF"/>
      <sz val="8"/>
    </font>
    <font>
      <name val="Arial"/>
      <sz val="9"/>
    </font>
    <font>
      <name val="Arial"/>
      <b val="1"/>
      <color rgb="000563C1"/>
      <sz val="10"/>
    </font>
    <font>
      <name val="Arial"/>
      <b val="1"/>
      <color rgb="00C00000"/>
      <sz val="10"/>
    </font>
    <font>
      <name val="Arial"/>
      <color rgb="001F4E78"/>
      <sz val="10"/>
      <u val="single"/>
    </font>
    <font>
      <name val="Arial"/>
      <b val="1"/>
      <color rgb="00548235"/>
      <sz val="10"/>
    </font>
    <font>
      <name val="Arial"/>
      <b val="1"/>
      <color rgb="002F75B5"/>
      <sz val="10"/>
    </font>
    <font>
      <name val="Arial"/>
      <b val="1"/>
      <color rgb="00C55A11"/>
      <sz val="10"/>
    </font>
    <font>
      <name val="Arial"/>
      <b val="1"/>
      <color rgb="007F7F7F"/>
      <sz val="10"/>
    </font>
    <font>
      <name val="Arial"/>
      <b val="1"/>
      <color rgb="00404040"/>
      <sz val="10"/>
    </font>
    <font>
      <name val="Arial"/>
      <b val="1"/>
      <color rgb="00FFFFFF"/>
      <sz val="8"/>
    </font>
    <font>
      <name val="Arial"/>
      <sz val="8"/>
    </font>
    <font>
      <name val="Arial"/>
      <b val="1"/>
      <color rgb="001F4E78"/>
      <sz val="18"/>
    </font>
  </fonts>
  <fills count="16">
    <fill>
      <patternFill/>
    </fill>
    <fill>
      <patternFill patternType="gray125"/>
    </fill>
    <fill>
      <patternFill patternType="solid">
        <fgColor rgb="00595959"/>
        <bgColor rgb="00595959"/>
      </patternFill>
    </fill>
    <fill>
      <patternFill patternType="solid">
        <fgColor rgb="00F2F2F2"/>
        <bgColor rgb="00F2F2F2"/>
      </patternFill>
    </fill>
    <fill>
      <patternFill patternType="solid">
        <fgColor rgb="001F4E78"/>
        <bgColor rgb="001F4E78"/>
      </patternFill>
    </fill>
    <fill>
      <patternFill patternType="solid">
        <fgColor rgb="00A6A6A6"/>
        <bgColor rgb="00A6A6A6"/>
      </patternFill>
    </fill>
    <fill>
      <patternFill patternType="solid">
        <fgColor rgb="0070AD47"/>
        <bgColor rgb="0070AD47"/>
      </patternFill>
    </fill>
    <fill>
      <patternFill patternType="solid">
        <fgColor rgb="009DC3E6"/>
        <bgColor rgb="009DC3E6"/>
      </patternFill>
    </fill>
    <fill>
      <patternFill patternType="solid">
        <fgColor rgb="00E06666"/>
        <bgColor rgb="00E06666"/>
      </patternFill>
    </fill>
    <fill>
      <patternFill patternType="solid">
        <fgColor rgb="00F4B183"/>
        <bgColor rgb="00F4B183"/>
      </patternFill>
    </fill>
    <fill>
      <patternFill patternType="solid">
        <fgColor rgb="00C9D5E8"/>
        <bgColor rgb="00C9D5E8"/>
      </patternFill>
    </fill>
    <fill>
      <patternFill patternType="solid">
        <fgColor rgb="00404040"/>
        <bgColor rgb="00404040"/>
      </patternFill>
    </fill>
    <fill>
      <patternFill patternType="solid">
        <fgColor rgb="007030A0"/>
        <bgColor rgb="007030A0"/>
      </patternFill>
    </fill>
    <fill>
      <patternFill patternType="solid">
        <fgColor rgb="00C00000"/>
        <bgColor rgb="00C00000"/>
      </patternFill>
    </fill>
    <fill>
      <patternFill patternType="solid">
        <fgColor rgb="00EDEDED"/>
        <bgColor rgb="00EDEDED"/>
      </patternFill>
    </fill>
    <fill>
      <patternFill patternType="solid">
        <fgColor rgb="005B9BD5"/>
        <bgColor rgb="005B9BD5"/>
      </patternFill>
    </fill>
  </fills>
  <borders count="6">
    <border>
      <left/>
      <right/>
      <top/>
      <bottom/>
      <diagonal/>
    </border>
    <border>
      <left style="thin">
        <color rgb="00D9D9D9"/>
      </left>
      <right style="thin">
        <color rgb="00D9D9D9"/>
      </right>
      <top style="thin">
        <color rgb="00D9D9D9"/>
      </top>
      <bottom style="thin">
        <color rgb="00D9D9D9"/>
      </bottom>
    </border>
    <border>
      <left style="thin">
        <color rgb="00000000"/>
      </left>
      <right style="thin">
        <color rgb="00000000"/>
      </right>
      <top style="thin">
        <color rgb="00000000"/>
      </top>
      <bottom style="thin">
        <color rgb="00000000"/>
      </bottom>
    </border>
    <border>
      <left style="medium">
        <color rgb="00FF0000"/>
      </left>
    </border>
    <border>
      <top style="medium">
        <color rgb="001F3864"/>
      </top>
      <bottom style="medium">
        <color rgb="001F3864"/>
      </bottom>
    </border>
    <border>
      <left style="thin">
        <color rgb="00FF0000"/>
      </left>
    </border>
  </borders>
  <cellStyleXfs count="1">
    <xf numFmtId="0" fontId="0" fillId="0" borderId="0"/>
  </cellStyleXfs>
  <cellXfs count="91">
    <xf numFmtId="0" fontId="0" fillId="0" borderId="0" pivotButton="0" quotePrefix="0" xfId="0"/>
    <xf numFmtId="0" fontId="24" fillId="0" borderId="0" pivotButton="0" quotePrefix="0" xfId="0"/>
    <xf numFmtId="0" fontId="2" fillId="0" borderId="0" pivotButton="0" quotePrefix="0" xfId="0"/>
    <xf numFmtId="0" fontId="3" fillId="4" borderId="0" pivotButton="0" quotePrefix="0" xfId="0"/>
    <xf numFmtId="0" fontId="0" fillId="4" borderId="0" pivotButton="0" quotePrefix="0" xfId="0"/>
    <xf numFmtId="0" fontId="4" fillId="0" borderId="0" pivotButton="0" quotePrefix="0" xfId="0"/>
    <xf numFmtId="49" fontId="5" fillId="0" borderId="1" applyProtection="1" pivotButton="0" quotePrefix="0" xfId="0">
      <protection locked="0" hidden="0"/>
    </xf>
    <xf numFmtId="165" fontId="5" fillId="0" borderId="1" applyProtection="1" pivotButton="0" quotePrefix="0" xfId="0">
      <protection locked="0" hidden="0"/>
    </xf>
    <xf numFmtId="166" fontId="5" fillId="0" borderId="1" applyProtection="1" pivotButton="0" quotePrefix="0" xfId="0">
      <protection locked="0" hidden="0"/>
    </xf>
    <xf numFmtId="0" fontId="16" fillId="0" borderId="0" applyAlignment="1" pivotButton="0" quotePrefix="0" xfId="0">
      <alignment vertical="top" wrapText="1"/>
    </xf>
    <xf numFmtId="0" fontId="4" fillId="0" borderId="0" applyAlignment="1" pivotButton="0" quotePrefix="0" xfId="0">
      <alignment vertical="top"/>
    </xf>
    <xf numFmtId="0" fontId="7" fillId="0" borderId="0" applyAlignment="1" pivotButton="0" quotePrefix="0" xfId="0">
      <alignment vertical="top" wrapText="1"/>
    </xf>
    <xf numFmtId="0" fontId="5" fillId="0" borderId="0" applyAlignment="1" applyProtection="1" pivotButton="0" quotePrefix="0" xfId="0">
      <alignment vertical="top" wrapText="1"/>
      <protection locked="0" hidden="0"/>
    </xf>
    <xf numFmtId="0" fontId="7" fillId="3" borderId="0" applyAlignment="1" pivotButton="0" quotePrefix="0" xfId="0">
      <alignment vertical="top" wrapText="1"/>
    </xf>
    <xf numFmtId="0" fontId="1" fillId="0" borderId="0" pivotButton="0" quotePrefix="0" xfId="0"/>
    <xf numFmtId="0" fontId="15" fillId="0" borderId="0" pivotButton="0" quotePrefix="0" xfId="0"/>
    <xf numFmtId="0" fontId="0" fillId="0" borderId="0" applyAlignment="1" pivotButton="0" quotePrefix="0" xfId="0">
      <alignment vertical="top" wrapText="1"/>
    </xf>
    <xf numFmtId="0" fontId="3" fillId="2"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3" borderId="1" pivotButton="0" quotePrefix="0" xfId="0"/>
    <xf numFmtId="0" fontId="7" fillId="3" borderId="1" pivotButton="0" quotePrefix="0" xfId="0"/>
    <xf numFmtId="0" fontId="7" fillId="3" borderId="1" applyAlignment="1" pivotButton="0" quotePrefix="0" xfId="0">
      <alignment horizontal="center"/>
    </xf>
    <xf numFmtId="0" fontId="5" fillId="0" borderId="1" applyAlignment="1" applyProtection="1" pivotButton="0" quotePrefix="0" xfId="0">
      <alignment horizontal="center"/>
      <protection locked="0" hidden="0"/>
    </xf>
    <xf numFmtId="0" fontId="5" fillId="0" borderId="1" applyProtection="1" pivotButton="0" quotePrefix="0" xfId="0">
      <protection locked="0" hidden="0"/>
    </xf>
    <xf numFmtId="0" fontId="4" fillId="2" borderId="1" applyAlignment="1" pivotButton="0" quotePrefix="0" xfId="0">
      <alignment horizontal="center" vertical="center" wrapText="1"/>
    </xf>
    <xf numFmtId="167" fontId="7" fillId="3" borderId="1" applyAlignment="1" pivotButton="0" quotePrefix="0" xfId="0">
      <alignment horizontal="right"/>
    </xf>
    <xf numFmtId="2" fontId="7" fillId="3" borderId="1" applyAlignment="1" pivotButton="0" quotePrefix="0" xfId="0">
      <alignment horizontal="right"/>
    </xf>
    <xf numFmtId="1" fontId="7" fillId="3" borderId="1" applyAlignment="1" pivotButton="0" quotePrefix="0" xfId="0">
      <alignment horizontal="right"/>
    </xf>
    <xf numFmtId="0" fontId="8" fillId="0" borderId="0" pivotButton="0" quotePrefix="0" xfId="0"/>
    <xf numFmtId="165" fontId="4" fillId="3" borderId="1" applyAlignment="1" pivotButton="0" quotePrefix="0" xfId="0">
      <alignment horizontal="right"/>
    </xf>
    <xf numFmtId="0" fontId="17" fillId="3" borderId="1" pivotButton="0" quotePrefix="0" xfId="0"/>
    <xf numFmtId="0" fontId="18" fillId="3" borderId="1" pivotButton="0" quotePrefix="0" xfId="0"/>
    <xf numFmtId="0" fontId="15" fillId="3" borderId="1" pivotButton="0" quotePrefix="0" xfId="0"/>
    <xf numFmtId="9" fontId="4" fillId="3" borderId="1" applyAlignment="1" pivotButton="0" quotePrefix="0" xfId="0">
      <alignment horizontal="right"/>
    </xf>
    <xf numFmtId="0" fontId="19" fillId="3" borderId="1" pivotButton="0" quotePrefix="0" xfId="0"/>
    <xf numFmtId="0" fontId="20" fillId="3" borderId="1" pivotButton="0" quotePrefix="0" xfId="0"/>
    <xf numFmtId="2" fontId="4" fillId="3" borderId="1" applyAlignment="1" pivotButton="0" quotePrefix="0" xfId="0">
      <alignment horizontal="right"/>
    </xf>
    <xf numFmtId="1" fontId="4" fillId="3" borderId="1" applyAlignment="1" pivotButton="0" quotePrefix="0" xfId="0">
      <alignment horizontal="right"/>
    </xf>
    <xf numFmtId="3" fontId="4" fillId="3" borderId="1" applyAlignment="1" pivotButton="0" quotePrefix="0" xfId="0">
      <alignment horizontal="right"/>
    </xf>
    <xf numFmtId="49" fontId="4" fillId="3" borderId="1" applyAlignment="1" pivotButton="0" quotePrefix="0" xfId="0">
      <alignment horizontal="right"/>
    </xf>
    <xf numFmtId="165" fontId="7" fillId="3" borderId="1" applyAlignment="1" pivotButton="0" quotePrefix="0" xfId="0">
      <alignment horizontal="left"/>
    </xf>
    <xf numFmtId="0" fontId="3" fillId="5" borderId="1" applyAlignment="1" pivotButton="0" quotePrefix="0" xfId="0">
      <alignment horizontal="center" vertical="center" wrapText="1"/>
    </xf>
    <xf numFmtId="0" fontId="9" fillId="3" borderId="1" pivotButton="0" quotePrefix="0" xfId="0"/>
    <xf numFmtId="171" fontId="7" fillId="3" borderId="1" applyAlignment="1" pivotButton="0" quotePrefix="0" xfId="0">
      <alignment horizontal="center"/>
    </xf>
    <xf numFmtId="167" fontId="7" fillId="3" borderId="1" applyAlignment="1" pivotButton="0" quotePrefix="0" xfId="0">
      <alignment horizontal="center"/>
    </xf>
    <xf numFmtId="9" fontId="7" fillId="3" borderId="1" applyAlignment="1" pivotButton="0" quotePrefix="0" xfId="0">
      <alignment horizontal="center"/>
    </xf>
    <xf numFmtId="0" fontId="7" fillId="3" borderId="1" applyAlignment="1" pivotButton="0" quotePrefix="0" xfId="0">
      <alignment vertical="top"/>
    </xf>
    <xf numFmtId="0" fontId="5" fillId="0" borderId="1" applyAlignment="1" applyProtection="1" pivotButton="0" quotePrefix="0" xfId="0">
      <alignment vertical="top" wrapText="1"/>
      <protection locked="0" hidden="0"/>
    </xf>
    <xf numFmtId="0" fontId="21" fillId="0" borderId="0" pivotButton="0" quotePrefix="0" xfId="0"/>
    <xf numFmtId="0" fontId="11" fillId="0" borderId="0" pivotButton="0" quotePrefix="0" xfId="0"/>
    <xf numFmtId="173" fontId="22" fillId="2" borderId="0" applyAlignment="1" pivotButton="0" quotePrefix="0" xfId="0">
      <alignment horizontal="center"/>
    </xf>
    <xf numFmtId="172" fontId="7" fillId="3" borderId="1" applyAlignment="1" pivotButton="0" quotePrefix="0" xfId="0">
      <alignment horizontal="center"/>
    </xf>
    <xf numFmtId="0" fontId="0" fillId="15" borderId="0" pivotButton="0" quotePrefix="0" xfId="0"/>
    <xf numFmtId="0" fontId="23" fillId="0" borderId="0" pivotButton="0" quotePrefix="0" xfId="0"/>
    <xf numFmtId="0" fontId="0" fillId="6" borderId="0" pivotButton="0" quotePrefix="0" xfId="0"/>
    <xf numFmtId="0" fontId="0" fillId="9" borderId="0" pivotButton="0" quotePrefix="0" xfId="0"/>
    <xf numFmtId="0" fontId="0" fillId="0" borderId="4" pivotButton="0" quotePrefix="0" xfId="0"/>
    <xf numFmtId="0" fontId="0" fillId="12" borderId="0" pivotButton="0" quotePrefix="0" xfId="0"/>
    <xf numFmtId="0" fontId="0" fillId="13" borderId="0" pivotButton="0" quotePrefix="0" xfId="0"/>
    <xf numFmtId="0" fontId="0" fillId="0" borderId="5" pivotButton="0" quotePrefix="0" xfId="0"/>
    <xf numFmtId="0" fontId="7" fillId="0" borderId="0" pivotButton="0" quotePrefix="0" xfId="0"/>
    <xf numFmtId="165" fontId="7" fillId="3" borderId="1" pivotButton="0" quotePrefix="0" xfId="0"/>
    <xf numFmtId="0" fontId="6" fillId="0" borderId="0" pivotButton="0" quotePrefix="0" xfId="0"/>
    <xf numFmtId="9" fontId="5" fillId="0" borderId="1" applyProtection="1" pivotButton="0" quotePrefix="0" xfId="0">
      <protection locked="0" hidden="0"/>
    </xf>
    <xf numFmtId="49" fontId="7" fillId="3" borderId="1" pivotButton="0" quotePrefix="0" xfId="0"/>
    <xf numFmtId="1" fontId="5" fillId="0" borderId="1" applyProtection="1" pivotButton="0" quotePrefix="0" xfId="0">
      <protection locked="0" hidden="0"/>
    </xf>
    <xf numFmtId="17" fontId="5" fillId="0" borderId="1" applyProtection="1" pivotButton="0" quotePrefix="0" xfId="0">
      <protection locked="0" hidden="0"/>
    </xf>
    <xf numFmtId="1" fontId="7" fillId="3" borderId="1" pivotButton="0" quotePrefix="0" xfId="0"/>
    <xf numFmtId="167" fontId="7" fillId="3" borderId="1" pivotButton="0" quotePrefix="0" xfId="0"/>
    <xf numFmtId="2" fontId="5" fillId="0" borderId="1" applyProtection="1" pivotButton="0" quotePrefix="0" xfId="0">
      <protection locked="0" hidden="0"/>
    </xf>
    <xf numFmtId="0" fontId="0" fillId="0" borderId="2" pivotButton="0" quotePrefix="0" xfId="0"/>
    <xf numFmtId="0" fontId="13" fillId="0" borderId="0" pivotButton="0" quotePrefix="0" xfId="0"/>
    <xf numFmtId="0" fontId="0" fillId="7" borderId="0" pivotButton="0" quotePrefix="0" xfId="0"/>
    <xf numFmtId="0" fontId="0" fillId="8" borderId="0" pivotButton="0" quotePrefix="0" xfId="0"/>
    <xf numFmtId="0" fontId="0" fillId="10" borderId="0" pivotButton="0" quotePrefix="0" xfId="0"/>
    <xf numFmtId="0" fontId="0" fillId="11" borderId="0" pivotButton="0" quotePrefix="0" xfId="0"/>
    <xf numFmtId="0" fontId="0" fillId="0" borderId="3" pivotButton="0" quotePrefix="0" xfId="0"/>
    <xf numFmtId="0" fontId="0" fillId="14" borderId="0" pivotButton="0" quotePrefix="0" xfId="0"/>
    <xf numFmtId="0" fontId="14" fillId="0" borderId="0" pivotButton="0" quotePrefix="0" xfId="0"/>
    <xf numFmtId="0" fontId="10" fillId="0" borderId="0" applyAlignment="1" pivotButton="0" quotePrefix="0" xfId="0">
      <alignment horizontal="center" vertical="center"/>
    </xf>
    <xf numFmtId="0" fontId="11" fillId="0" borderId="0" applyAlignment="1" pivotButton="0" quotePrefix="0" xfId="0">
      <alignment horizontal="left" vertical="center"/>
    </xf>
    <xf numFmtId="170" fontId="12" fillId="2" borderId="0" applyAlignment="1" pivotButton="0" quotePrefix="0" xfId="0">
      <alignment horizontal="center" vertical="center"/>
    </xf>
    <xf numFmtId="9" fontId="5" fillId="0" borderId="1" applyAlignment="1" applyProtection="1" pivotButton="0" quotePrefix="0" xfId="0">
      <alignment horizontal="center"/>
      <protection locked="0" hidden="0"/>
    </xf>
    <xf numFmtId="9" fontId="7" fillId="3" borderId="1" pivotButton="0" quotePrefix="0" xfId="0"/>
    <xf numFmtId="168" fontId="7" fillId="3" borderId="1" pivotButton="0" quotePrefix="0" xfId="0"/>
    <xf numFmtId="169" fontId="5" fillId="0" borderId="1" applyAlignment="1" applyProtection="1" pivotButton="0" quotePrefix="0" xfId="0">
      <alignment horizontal="center"/>
      <protection locked="0" hidden="0"/>
    </xf>
    <xf numFmtId="168" fontId="5" fillId="0" borderId="1" applyProtection="1" pivotButton="0" quotePrefix="0" xfId="0">
      <protection locked="0" hidden="0"/>
    </xf>
    <xf numFmtId="166" fontId="7" fillId="3" borderId="1" applyAlignment="1" pivotButton="0" quotePrefix="0" xfId="0">
      <alignment horizontal="center"/>
    </xf>
    <xf numFmtId="165" fontId="9" fillId="3" borderId="1" pivotButton="0" quotePrefix="0" xfId="0"/>
    <xf numFmtId="0" fontId="5" fillId="0" borderId="1" applyAlignment="1" applyProtection="1" pivotButton="0" quotePrefix="0" xfId="0">
      <alignment indent="1"/>
      <protection locked="0" hidden="0"/>
    </xf>
    <xf numFmtId="9" fontId="9" fillId="3" borderId="1" pivotButton="0" quotePrefix="0" xfId="0"/>
  </cellXfs>
  <cellStyles count="1">
    <cellStyle name="Normal" xfId="0" builtinId="0" hidden="0"/>
  </cellStyles>
  <dxfs count="34">
    <dxf>
      <fill>
        <patternFill patternType="solid">
          <fgColor rgb="00FFFF00"/>
          <bgColor rgb="00FFFF00"/>
        </patternFill>
      </fill>
    </dxf>
    <dxf>
      <font>
        <b val="1"/>
        <color rgb="00006100"/>
      </font>
      <fill>
        <patternFill patternType="solid">
          <fgColor rgb="00C6EFCE"/>
          <bgColor rgb="00C6EFC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C00000"/>
      </font>
      <fill>
        <patternFill patternType="solid">
          <fgColor rgb="00FFC7CE"/>
          <bgColor rgb="00FFC7CE"/>
        </patternFill>
      </fill>
    </dxf>
    <dxf>
      <font>
        <b val="1"/>
        <color rgb="00548235"/>
      </font>
    </dxf>
    <dxf>
      <font>
        <b val="1"/>
        <color rgb="00C00000"/>
      </font>
    </dxf>
    <dxf>
      <font>
        <b val="1"/>
        <color rgb="00FFFFFF"/>
      </font>
      <fill>
        <patternFill patternType="solid">
          <fgColor rgb="00C00000"/>
          <bgColor rgb="00C00000"/>
        </patternFill>
      </fill>
    </dxf>
    <dxf>
      <fill>
        <patternFill patternType="solid">
          <fgColor rgb="0070AD47"/>
          <bgColor rgb="0070AD47"/>
        </patternFill>
      </fill>
    </dxf>
    <dxf>
      <fill>
        <patternFill patternType="solid">
          <fgColor rgb="00F4B183"/>
          <bgColor rgb="00F4B183"/>
        </patternFill>
      </fill>
    </dxf>
    <dxf>
      <fill>
        <patternFill patternType="solid">
          <fgColor rgb="005B9BD5"/>
          <bgColor rgb="005B9BD5"/>
        </patternFill>
      </fill>
    </dxf>
    <dxf>
      <border>
        <top style="medium">
          <color rgb="001F3864"/>
        </top>
        <bottom style="medium">
          <color rgb="001F3864"/>
        </bottom>
      </border>
    </dxf>
    <dxf>
      <border>
        <left style="thin">
          <color rgb="00FF0000"/>
        </left>
        <right style="thin">
          <color rgb="00FF0000"/>
        </right>
      </border>
    </dxf>
    <dxf>
      <fill>
        <patternFill patternType="solid">
          <fgColor rgb="00C00000"/>
          <bgColor rgb="00C00000"/>
        </patternFill>
      </fill>
    </dxf>
    <dxf>
      <fill>
        <patternFill patternType="solid">
          <fgColor rgb="007030A0"/>
          <bgColor rgb="007030A0"/>
        </patternFill>
      </fill>
    </dxf>
    <dxf>
      <border>
        <right style="medium">
          <color rgb="00C00000"/>
        </right>
      </border>
    </dxf>
    <dxf>
      <font>
        <b val="1"/>
      </font>
      <fill>
        <patternFill patternType="solid">
          <fgColor rgb="00DDEBF7"/>
          <bgColor rgb="00DDEBF7"/>
        </patternFill>
      </fill>
    </dxf>
    <dxf>
      <font>
        <b val="1"/>
        <i val="1"/>
        <color rgb="00A6A6A6"/>
      </font>
    </dxf>
    <dxf>
      <font>
        <b val="1"/>
        <color rgb="002F75B5"/>
      </font>
    </dxf>
    <dxf>
      <font>
        <b val="1"/>
        <color rgb="00C55A11"/>
      </font>
    </dxf>
    <dxf>
      <font>
        <b val="1"/>
        <color rgb="007F7F7F"/>
      </font>
    </dxf>
    <dxf>
      <font>
        <i val="1"/>
        <color rgb="007030A0"/>
      </font>
    </dxf>
    <dxf>
      <fill>
        <patternFill patternType="solid">
          <fgColor rgb="00FFC7CE"/>
          <bgColor rgb="00FFC7CE"/>
        </patternFill>
      </fill>
    </dxf>
    <dxf>
      <font>
        <color rgb="009C0006"/>
      </font>
      <fill>
        <patternFill patternType="solid">
          <fgColor rgb="00FFC7CE"/>
          <bgColor rgb="00FFC7CE"/>
        </patternFill>
      </fill>
    </dxf>
    <dxf>
      <fill>
        <patternFill patternType="solid">
          <fgColor rgb="00404040"/>
          <bgColor rgb="00404040"/>
        </patternFill>
      </fill>
    </dxf>
    <dxf>
      <fill>
        <patternFill patternType="solid">
          <fgColor rgb="00E06666"/>
          <bgColor rgb="00E06666"/>
        </patternFill>
      </fill>
    </dxf>
    <dxf>
      <fill>
        <patternFill patternType="solid">
          <fgColor rgb="009DC3E6"/>
          <bgColor rgb="009DC3E6"/>
        </patternFill>
      </fill>
    </dxf>
    <dxf>
      <fill>
        <patternFill patternType="solid">
          <fgColor rgb="00C9D5E8"/>
          <bgColor rgb="00C9D5E8"/>
        </patternFill>
      </fill>
    </dxf>
    <dxf>
      <border>
        <left style="thin">
          <color rgb="00000000"/>
        </left>
        <right style="thin">
          <color rgb="00000000"/>
        </right>
        <top style="thin">
          <color rgb="00000000"/>
        </top>
        <bottom style="thin">
          <color rgb="00000000"/>
        </bottom>
      </border>
    </dxf>
    <dxf>
      <border>
        <left style="thin">
          <color rgb="00000000"/>
        </left>
        <top style="thin">
          <color rgb="00000000"/>
        </top>
        <bottom style="thin">
          <color rgb="00000000"/>
        </bottom>
      </border>
    </dxf>
    <dxf>
      <border>
        <right style="thin">
          <color rgb="00000000"/>
        </right>
        <top style="thin">
          <color rgb="00000000"/>
        </top>
        <bottom style="thin">
          <color rgb="00000000"/>
        </bottom>
      </border>
    </dxf>
    <dxf>
      <border>
        <top style="thin">
          <color rgb="00000000"/>
        </top>
        <bottom style="thin">
          <color rgb="00000000"/>
        </bottom>
      </border>
    </dxf>
    <dxf>
      <fill>
        <patternFill patternType="solid">
          <fgColor rgb="00EDEDED"/>
          <bgColor rgb="00EDEDED"/>
        </patternFill>
      </fill>
    </dxf>
    <dxf>
      <numFmt numFmtId="200" formatCode=";;;"/>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Detail tasks by status</a:t>
            </a:r>
          </a:p>
        </rich>
      </tx>
    </title>
    <plotArea>
      <barChart>
        <barDir val="bar"/>
        <grouping val="clustered"/>
        <ser>
          <idx val="0"/>
          <order val="0"/>
          <tx>
            <strRef>
              <f>'Status'!F27</f>
            </strRef>
          </tx>
          <spPr>
            <a:ln xmlns:a="http://schemas.openxmlformats.org/drawingml/2006/main">
              <a:prstDash val="solid"/>
            </a:ln>
          </spPr>
          <cat>
            <numRef>
              <f>'Status'!$E$28:$E$32</f>
            </numRef>
          </cat>
          <val>
            <numRef>
              <f>'Status'!$F$28:$F$32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Planner</author>
  </authors>
  <commentList>
    <comment ref="E13" authorId="0" shapeId="0">
      <text>
        <t>RAG from the thresholds on Settings (RAGAmberSlipDays, RAGRedSlipDays, RAGAmberIndex, RAGRedIndex).</t>
      </text>
    </comment>
    <comment ref="F13" authorId="0" shapeId="0">
      <text>
        <t>Optional override by the project manager: Green, Amber or Red.</t>
      </text>
    </comment>
    <comment ref="G13" authorId="0" shapeId="0">
      <text>
        <t>Reported RAG: the PM override if there is one, otherwise the calculated RAG.</t>
      </text>
    </comment>
    <comment ref="H13" authorId="0" shapeId="0">
      <text>
        <t>Why: especially when the PM RAG differs from the calculated one.</t>
      </text>
    </comment>
    <comment ref="E16" authorId="0" shapeId="0">
      <text>
        <t>RAG from the thresholds on Settings (RAGAmberSlipDays, RAGRedSlipDays, RAGAmberIndex, RAGRedIndex).</t>
      </text>
    </comment>
    <comment ref="F16" authorId="0" shapeId="0">
      <text>
        <t>Optional override by the project manager: Green, Amber or Red.</t>
      </text>
    </comment>
    <comment ref="G16" authorId="0" shapeId="0">
      <text>
        <t>Reported RAG: the PM override if there is one, otherwise the calculated RAG.</t>
      </text>
    </comment>
    <comment ref="H16" authorId="0" shapeId="0">
      <text>
        <t>Why: especially when the PM RAG differs from the calculated one.</t>
      </text>
    </comment>
    <comment ref="A52" authorId="0" shapeId="0">
      <text>
        <t>Row of the task in the Tasks table (helper, hidden).</t>
      </text>
    </comment>
    <comment ref="A60" authorId="0" shapeId="0">
      <text>
        <t>Row of the task in the Tasks table (helper, hidden).</t>
      </text>
    </comment>
    <comment ref="A68" authorId="0" shapeId="0">
      <text>
        <t>Row of the task in the Tasks table (helper, hidden).</t>
      </text>
    </comment>
    <comment ref="A76" authorId="0" shapeId="0">
      <text>
        <t>Row of the task in the Tasks table (helper, hidden).</t>
      </text>
    </comment>
  </commentList>
</comments>
</file>

<file path=xl/comments/comment2.xml><?xml version="1.0" encoding="utf-8"?>
<comments xmlns="http://schemas.openxmlformats.org/spreadsheetml/2006/main">
  <authors>
    <author>Planner</author>
  </authors>
  <commentList>
    <comment ref="B7" authorId="0" shapeId="0">
      <text>
        <t>Row of the task in the Tasks table (helper, hidden).</t>
      </text>
    </comment>
    <comment ref="L7" authorId="0" shapeId="0">
      <text>
        <t>Detail tasks complete out of the phase's tasks (milestones left out). Progress weighs them by duration.</t>
      </text>
    </comment>
    <comment ref="M7" authorId="0" shapeId="0">
      <text>
        <t>From the phase's finish slip against its planned finish (Settings &gt; RAG slip thresholds).</t>
      </text>
    </comment>
    <comment ref="N7" authorId="0" shapeId="0">
      <text>
        <t>The phase's earliest milestone not yet done, with its forecast date.</t>
      </text>
    </comment>
    <comment ref="O7" authorId="0" shapeId="0">
      <text>
        <t>Jumps to the phase's row on Tasks.</t>
      </text>
    </comment>
    <comment ref="P7" authorId="0" shapeId="0">
      <text>
        <t>Row on Tasks of the phase's next milestone (smallest open milestone key in the phase).</t>
      </text>
    </comment>
    <comment ref="B20" authorId="0" shapeId="0">
      <text>
        <t>Row of the task in the Tasks table (helper, hidden).</t>
      </text>
    </comment>
  </commentList>
</comments>
</file>

<file path=xl/comments/comment3.xml><?xml version="1.0" encoding="utf-8"?>
<comments xmlns="http://schemas.openxmlformats.org/spreadsheetml/2006/main">
  <authors>
    <author>Planner</author>
  </authors>
  <commentList>
    <comment ref="A5" authorId="0" shapeId="0">
      <text>
        <t>Position in the list; renumbers when rows move (like MS Project).</t>
      </text>
    </comment>
    <comment ref="B5" authorId="0" shapeId="0">
      <text>
        <t>Permanent number that predecessors refer to. Each task needs a different one.</t>
      </text>
    </comment>
    <comment ref="C5" authorId="0" shapeId="0">
      <text>
        <t>Outline level: 1 = phase, 2 = task, 3 = sub-task ... (at most 1 more than the row above).</t>
      </text>
    </comment>
    <comment ref="E5" authorId="0" shapeId="0">
      <text>
        <t>Working days. 0 = milestone.</t>
      </text>
    </comment>
    <comment ref="F5" authorId="0" shapeId="0">
      <text>
        <t>Predecessor 1: pick a task (its UID and name) or type its UID. It must be a detail task above this one.</t>
      </text>
    </comment>
    <comment ref="G5" authorId="0" shapeId="0">
      <text>
        <t>Link type: FS (blank: finish to start), SS, FF or SF.</t>
      </text>
    </comment>
    <comment ref="H5" authorId="0" shapeId="0">
      <text>
        <t>Lag in working days (negative = lead). Blank = 0.</t>
      </text>
    </comment>
    <comment ref="I5" authorId="0" shapeId="0">
      <text>
        <t>Predecessor 2: pick a task (its UID and name) or type its UID. It must be a detail task above this one.</t>
      </text>
    </comment>
    <comment ref="J5" authorId="0" shapeId="0">
      <text>
        <t>Link type: FS (blank: finish to start), SS, FF or SF.</t>
      </text>
    </comment>
    <comment ref="K5" authorId="0" shapeId="0">
      <text>
        <t>Lag in working days (negative = lead). Blank = 0.</t>
      </text>
    </comment>
    <comment ref="L5" authorId="0" shapeId="0">
      <text>
        <t>Predecessor 3: pick a task (its UID and name) or type its UID. It must be a detail task above this one.</t>
      </text>
    </comment>
    <comment ref="M5" authorId="0" shapeId="0">
      <text>
        <t>Link type: FS (blank: finish to start), SS, FF or SF.</t>
      </text>
    </comment>
    <comment ref="N5" authorId="0" shapeId="0">
      <text>
        <t>Lag in working days (negative = lead). Blank = 0.</t>
      </text>
    </comment>
    <comment ref="O5" authorId="0" shapeId="0">
      <text>
        <t>Predecessor 4: pick a task (its UID and name) or type its UID. It must be a detail task above this one.</t>
      </text>
    </comment>
    <comment ref="P5" authorId="0" shapeId="0">
      <text>
        <t>Link type: FS (blank: finish to start), SS, FF or SF.</t>
      </text>
    </comment>
    <comment ref="Q5" authorId="0" shapeId="0">
      <text>
        <t>Lag in working days (negative = lead). Blank = 0.</t>
      </text>
    </comment>
    <comment ref="R5" authorId="0" shapeId="0">
      <text>
        <t>Tasks that must come first, by UID, comma-separated: 12 = after 12 finishes; 12SS+2d = 2 days after 12 starts; FS, SS, FF, SF; lag in working days (- = lead). Up to 4; each must be a detail task above this one.</t>
      </text>
    </comment>
    <comment ref="S5" authorId="0" shapeId="0">
      <text>
        <t>Person 1 on the task: pick a name from Resources.</t>
      </text>
    </comment>
    <comment ref="T5" authorId="0" shapeId="0">
      <text>
        <t>Share of their time on this task (blank = Settings &gt; DefaultUnits).</t>
      </text>
    </comment>
    <comment ref="U5" authorId="0" shapeId="0">
      <text>
        <t>Person 2 on the task: pick a name from Resources.</t>
      </text>
    </comment>
    <comment ref="V5" authorId="0" shapeId="0">
      <text>
        <t>Share of their time on this task (blank = Settings &gt; DefaultUnits).</t>
      </text>
    </comment>
    <comment ref="W5" authorId="0" shapeId="0">
      <text>
        <t>Person 3 on the task: pick a name from Resources.</t>
      </text>
    </comment>
    <comment ref="X5" authorId="0" shapeId="0">
      <text>
        <t>Share of their time on this task (blank = Settings &gt; DefaultUnits).</t>
      </text>
    </comment>
    <comment ref="Y5" authorId="0" shapeId="0">
      <text>
        <t>Person 4 on the task: pick a name from Resources.</t>
      </text>
    </comment>
    <comment ref="Z5" authorId="0" shapeId="0">
      <text>
        <t>Share of their time on this task (blank = Settings &gt; DefaultUnits).</t>
      </text>
    </comment>
    <comment ref="AA5" authorId="0" shapeId="0">
      <text>
        <t>Who does it: names or initials from Resources, comma-separated, with an optional share of their time, e.g. Alex Chen, JL[50%] (blank = DefaultUnits). Up to 4 people.</t>
      </text>
    </comment>
    <comment ref="AB5" authorId="0" shapeId="0">
      <text>
        <t>Where the task is: Not Started, Design, In Development, Test Ready, In Testing, Complete. Each stage's % Complete is on Settings &gt; Stages.</t>
      </text>
    </comment>
    <comment ref="AE5" authorId="0" shapeId="0">
      <text>
        <t>Current schedule: actuals where entered, otherwise recalculated from predecessors.</t>
      </text>
    </comment>
    <comment ref="AF5" authorId="0" shapeId="0">
      <text>
        <t>Current schedule finish.</t>
      </text>
    </comment>
    <comment ref="AG5" authorId="0" shapeId="0">
      <text>
        <t>Planned Sprint if entered, otherwise the sprint containing the forecast start.</t>
      </text>
    </comment>
    <comment ref="AI5" authorId="0" shapeId="0">
      <text>
        <t>Everything wrong on this row, in words: links, UID, outline level, resource, over-allocation, missed deadline. Blank = fine.</t>
      </text>
    </comment>
    <comment ref="AJ5" authorId="0" shapeId="0">
      <text>
        <t>Optional deadline; Deadline Check flags a forecast finish after it.</t>
      </text>
    </comment>
    <comment ref="AK5" authorId="0" shapeId="0">
      <text>
        <t>Auto = scheduled from predecessors and the constraint. Manual = starts on the Constraint Date (finish constraints: finishes on it).</t>
      </text>
    </comment>
    <comment ref="AL5" authorId="0" shapeId="0">
      <text>
        <t>MS Project constraint (dropdown). Blank = Start No Earlier Than when a Constraint Date is entered, otherwise As Soon As Possible. Constraint dates win over links.</t>
      </text>
    </comment>
    <comment ref="AM5" authorId="0" shapeId="0">
      <text>
        <t>Date for the Constraint. Manual tasks are pinned to it.</t>
      </text>
    </comment>
    <comment ref="AN5" authorId="0" shapeId="0">
      <text>
        <t>Finish minus Planned Finish, in working days.</t>
      </text>
    </comment>
    <comment ref="AP5" authorId="0" shapeId="0">
      <text>
        <t>Yes when Total Slack &lt;= CriticalSlackDays (Settings) and the task isn't complete.</t>
      </text>
    </comment>
    <comment ref="AQ5" authorId="0" shapeId="0">
      <text>
        <t>Baseline Start if a baseline is set, otherwise calculated from durations and links.</t>
      </text>
    </comment>
    <comment ref="AR5" authorId="0" shapeId="0">
      <text>
        <t>Baseline Finish if a baseline is set, otherwise calculated.</t>
      </text>
    </comment>
    <comment ref="AS5" authorId="0" shapeId="0">
      <text>
        <t>Start minus Planned Start, in working days.</t>
      </text>
    </comment>
    <comment ref="AT5" authorId="0" shapeId="0">
      <text>
        <t>Latest start that doesn't delay the project finish or a deadline (critical path backward pass).</t>
      </text>
    </comment>
    <comment ref="AU5" authorId="0" shapeId="0">
      <text>
        <t>Latest finish that doesn't delay the project finish or a deadline.</t>
      </text>
    </comment>
    <comment ref="AV5" authorId="0" shapeId="0">
      <text>
        <t>Total slack: working days this task can slip before it delays the project or a deadline.</t>
      </text>
    </comment>
    <comment ref="AW5" authorId="0" shapeId="0">
      <text>
        <t>Free slack: working days it can slip before it delays any successor.</t>
      </text>
    </comment>
    <comment ref="AY5" authorId="0" shapeId="0">
      <text>
        <t>Explains predecessor links and constraints that are ignored.</t>
      </text>
    </comment>
    <comment ref="AZ5" authorId="0" shapeId="0">
      <text>
        <t>Optional: overrides the Stage's % (0-100%). Blank = the Stage's %. An Actual Finish counts as 100%.</t>
      </text>
    </comment>
    <comment ref="BA5" authorId="0" shapeId="0">
      <text>
        <t>The Stage's % (or the % Complete override), rolled up to summaries (duration-weighted).</t>
      </text>
    </comment>
    <comment ref="BB5" authorId="0" shapeId="0">
      <text>
        <t>Predecessors in MS Project notation, by ID.</t>
      </text>
    </comment>
    <comment ref="BC5" authorId="0" shapeId="0">
      <text>
        <t>Outline number, generated from Level.</t>
      </text>
    </comment>
    <comment ref="BD5" authorId="0" shapeId="0">
      <text>
        <t>Yes when Level &lt;= Settings &gt; OutlineShowLevel: filter on Yes to collapse the outline to that level (or use the 1 2 3 outline buttons at the top left).</t>
      </text>
    </comment>
    <comment ref="BE5" authorId="0" shapeId="0">
      <text>
        <t>Hours = Duration x HoursPerDay x Units, for each person on the task.</t>
      </text>
    </comment>
    <comment ref="BF5" authorId="0" shapeId="0">
      <text>
        <t>Who answers for this phase: shown on the Roadmap. Phase (Level 1) rows.</t>
      </text>
    </comment>
    <comment ref="BG5" authorId="0" shapeId="0">
      <text>
        <t>Everyone on the task, by full name with units: the Resources cell, checked (MS Project's Resource Names).</t>
      </text>
    </comment>
    <comment ref="BH5" authorId="0" shapeId="0">
      <text>
        <t>Yes when this task's resource is over 100% of capacity (after leave) in a week the task runs: see Resource Report. Only weeks shown there count.</t>
      </text>
    </comment>
    <comment ref="BI5" authorId="0" shapeId="0">
      <text>
        <t>Story points (optional estimate for agile reporting). Detail tasks only.</t>
      </text>
    </comment>
    <comment ref="BJ5" authorId="0" shapeId="0">
      <text>
        <t>Optional: the sprint this task is planned in (dropdown). Blank = the sprint containing its forecast start.</t>
      </text>
    </comment>
    <comment ref="BK5" authorId="0" shapeId="0">
      <text>
        <t>Duration minus Baseline Duration (working days).</t>
      </text>
    </comment>
    <comment ref="BL5" authorId="0" shapeId="0">
      <text>
        <t>Work minus Baseline Work (hours).</t>
      </text>
    </comment>
    <comment ref="BM5" authorId="0" shapeId="0">
      <text>
        <t>Copy the 4 BL Source columns, then Paste Special &gt; Values onto the 4 Baseline columns.</t>
      </text>
    </comment>
    <comment ref="BQ5" authorId="0" shapeId="0">
      <text>
        <t>Frozen plan. Filled by pasting values from the BL Source columns.</t>
      </text>
    </comment>
    <comment ref="BU5" authorId="0" shapeId="0">
      <text>
        <t>RACI: who is accountable (one person, from Resources). Responsible = the Resources on the task.</t>
      </text>
    </comment>
    <comment ref="BV5" authorId="0" shapeId="0">
      <text>
        <t>RACI: who is consulted (names, comma-separated; anyone, not only Resources).</t>
      </text>
    </comment>
    <comment ref="BW5" authorId="0" shapeId="0">
      <text>
        <t>RACI: who is kept informed (names, comma-separated).</t>
      </text>
    </comment>
    <comment ref="BX5" authorId="0" shapeId="0">
      <text>
        <t>Three-point estimate: (Optimistic + 4 x Duration + Pessimistic) / 6. Blank until both are typed. Settings &gt; PertP50 / PertP80 add them up.</t>
      </text>
    </comment>
    <comment ref="BY5" authorId="0" shapeId="0">
      <text>
        <t>Optimistic: the fewest working days it could take (at most the Duration).</t>
      </text>
    </comment>
    <comment ref="BZ5" authorId="0" shapeId="0">
      <text>
        <t>Pessimistic: the most working days it could take (at least the Duration).</t>
      </text>
    </comment>
    <comment ref="CA5" authorId="0" shapeId="0">
      <text>
        <t>What-if duration (3, 3d or 2w): used instead of Duration while Settings &gt; Sandbox = Yes. Status says when the sandbox is on.</t>
      </text>
    </comment>
  </commentList>
</comments>
</file>

<file path=xl/comments/comment4.xml><?xml version="1.0" encoding="utf-8"?>
<comments xmlns="http://schemas.openxmlformats.org/spreadsheetml/2006/main">
  <authors>
    <author>Planner</author>
  </authors>
  <commentList>
    <comment ref="E5" authorId="0" shapeId="0">
      <text>
        <t>Work, Material or Cost (MS Project resource types).</t>
      </text>
    </comment>
    <comment ref="F5" authorId="0" shapeId="0">
      <text>
        <t>How much of this person is on this project: 100% = full time, 70% = 7 of every 10 days.</t>
      </text>
    </comment>
    <comment ref="G5" authorId="0" shapeId="0">
      <text>
        <t>Optional: first day on the project (blank = from the start).</t>
      </text>
    </comment>
    <comment ref="H5" authorId="0" shapeId="0">
      <text>
        <t>Optional: last day on the project (blank = to the end).</t>
      </text>
    </comment>
    <comment ref="I5" authorId="0" shapeId="0">
      <text>
        <t>Share of their sprint time that is delivery (story points); the rest is ceremonies and overhead. Blank = Settings &gt; FocusFactor. 0% = an advisory role: allocated, but no points.</t>
      </text>
    </comment>
    <comment ref="K5" authorId="0" shapeId="0">
      <text>
        <t>Detail tasks this resource is on (Tasks &gt; Resources).</t>
      </text>
    </comment>
    <comment ref="L5" authorId="0" shapeId="0">
      <text>
        <t>Assigned work (hours).</t>
      </text>
    </comment>
    <comment ref="N5" authorId="0" shapeId="0">
      <text>
        <t>Tasks with this person as Accountable (RACI).</t>
      </text>
    </comment>
    <comment ref="O5" authorId="0" shapeId="0">
      <text>
        <t>Tasks that name this person in Consulted (RACI).</t>
      </text>
    </comment>
    <comment ref="P5" authorId="0" shapeId="0">
      <text>
        <t>Tasks that name this person in Informed (RACI).</t>
      </text>
    </comment>
    <comment ref="Q5" authorId="0" shapeId="0">
      <text>
        <t>Focus % in use (the setting when blank).</t>
      </text>
    </comment>
    <comment ref="R5" authorId="0" shapeId="0">
      <text>
        <t>Days off in Jan-26: "16, 17(0.5)" = 16th all day, 17th half a day.</t>
      </text>
    </comment>
    <comment ref="S5" authorId="0" shapeId="0">
      <text>
        <t>Days off in Feb-26: "16, 17(0.5)" = 16th all day, 17th half a day.</t>
      </text>
    </comment>
    <comment ref="T5" authorId="0" shapeId="0">
      <text>
        <t>Days off in Mar-26: "16, 17(0.5)" = 16th all day, 17th half a day.</t>
      </text>
    </comment>
    <comment ref="U5" authorId="0" shapeId="0">
      <text>
        <t>Days off in Apr-26: "16, 17(0.5)" = 16th all day, 17th half a day.</t>
      </text>
    </comment>
    <comment ref="V5" authorId="0" shapeId="0">
      <text>
        <t>Days off in May-26: "16, 17(0.5)" = 16th all day, 17th half a day.</t>
      </text>
    </comment>
    <comment ref="W5" authorId="0" shapeId="0">
      <text>
        <t>Days off in Jun-26: "16, 17(0.5)" = 16th all day, 17th half a day.</t>
      </text>
    </comment>
    <comment ref="X5" authorId="0" shapeId="0">
      <text>
        <t>Days off in Jul-26: "16, 17(0.5)" = 16th all day, 17th half a day.</t>
      </text>
    </comment>
    <comment ref="Y5" authorId="0" shapeId="0">
      <text>
        <t>Days off in Aug-26: "16, 17(0.5)" = 16th all day, 17th half a day.</t>
      </text>
    </comment>
    <comment ref="Z5" authorId="0" shapeId="0">
      <text>
        <t>Days off in Sep-26: "16, 17(0.5)" = 16th all day, 17th half a day.</t>
      </text>
    </comment>
    <comment ref="AA5" authorId="0" shapeId="0">
      <text>
        <t>Days off in Oct-26: "16, 17(0.5)" = 16th all day, 17th half a day.</t>
      </text>
    </comment>
    <comment ref="AB5" authorId="0" shapeId="0">
      <text>
        <t>Days off in Nov-26: "16, 17(0.5)" = 16th all day, 17th half a day.</t>
      </text>
    </comment>
    <comment ref="AC5" authorId="0" shapeId="0">
      <text>
        <t>Days off in Dec-26: "16, 17(0.5)" = 16th all day, 17th half a day.</t>
      </text>
    </comment>
    <comment ref="AD5" authorId="0" shapeId="0">
      <text>
        <t>Days off in Jan-27: "16, 17(0.5)" = 16th all day, 17th half a day.</t>
      </text>
    </comment>
    <comment ref="AE5" authorId="0" shapeId="0">
      <text>
        <t>Days off in Feb-27: "16, 17(0.5)" = 16th all day, 17th half a day.</t>
      </text>
    </comment>
    <comment ref="AF5" authorId="0" shapeId="0">
      <text>
        <t>Days off in Mar-27: "16, 17(0.5)" = 16th all day, 17th half a day.</t>
      </text>
    </comment>
    <comment ref="AG5" authorId="0" shapeId="0">
      <text>
        <t>Days off in Apr-27: "16, 17(0.5)" = 16th all day, 17th half a day.</t>
      </text>
    </comment>
    <comment ref="AH5" authorId="0" shapeId="0">
      <text>
        <t>Days off in May-27: "16, 17(0.5)" = 16th all day, 17th half a day.</t>
      </text>
    </comment>
    <comment ref="AI5" authorId="0" shapeId="0">
      <text>
        <t>Days off in Jun-27: "16, 17(0.5)" = 16th all day, 17th half a day.</t>
      </text>
    </comment>
    <comment ref="AJ5" authorId="0" shapeId="0">
      <text>
        <t>Days off in Jul-27: "16, 17(0.5)" = 16th all day, 17th half a day.</t>
      </text>
    </comment>
    <comment ref="AK5" authorId="0" shapeId="0">
      <text>
        <t>Days off in Aug-27: "16, 17(0.5)" = 16th all day, 17th half a day.</t>
      </text>
    </comment>
    <comment ref="AL5" authorId="0" shapeId="0">
      <text>
        <t>Days off in Sep-27: "16, 17(0.5)" = 16th all day, 17th half a day.</t>
      </text>
    </comment>
    <comment ref="AM5" authorId="0" shapeId="0">
      <text>
        <t>Days off in Oct-27: "16, 17(0.5)" = 16th all day, 17th half a day.</t>
      </text>
    </comment>
    <comment ref="AN5" authorId="0" shapeId="0">
      <text>
        <t>Days off in Nov-27: "16, 17(0.5)" = 16th all day, 17th half a day.</t>
      </text>
    </comment>
    <comment ref="AO5" authorId="0" shapeId="0">
      <text>
        <t>Days off in Dec-27: "16, 17(0.5)" = 16th all day, 17th half a day.</t>
      </text>
    </comment>
    <comment ref="AP5" authorId="0" shapeId="0">
      <text>
        <t>Days off in Jan-28: "16, 17(0.5)" = 16th all day, 17th half a day.</t>
      </text>
    </comment>
    <comment ref="AQ5" authorId="0" shapeId="0">
      <text>
        <t>Days off in Feb-28: "16, 17(0.5)" = 16th all day, 17th half a day.</t>
      </text>
    </comment>
    <comment ref="AR5" authorId="0" shapeId="0">
      <text>
        <t>Days off in Mar-28: "16, 17(0.5)" = 16th all day, 17th half a day.</t>
      </text>
    </comment>
    <comment ref="AS5" authorId="0" shapeId="0">
      <text>
        <t>Days off in Apr-28: "16, 17(0.5)" = 16th all day, 17th half a day.</t>
      </text>
    </comment>
    <comment ref="AT5" authorId="0" shapeId="0">
      <text>
        <t>Days off in May-28: "16, 17(0.5)" = 16th all day, 17th half a day.</t>
      </text>
    </comment>
    <comment ref="AU5" authorId="0" shapeId="0">
      <text>
        <t>Days off in Jun-28: "16, 17(0.5)" = 16th all day, 17th half a day.</t>
      </text>
    </comment>
    <comment ref="AV5" authorId="0" shapeId="0">
      <text>
        <t>Days off in Jul-28: "16, 17(0.5)" = 16th all day, 17th half a day.</t>
      </text>
    </comment>
    <comment ref="AW5" authorId="0" shapeId="0">
      <text>
        <t>Days off in Aug-28: "16, 17(0.5)" = 16th all day, 17th half a day.</t>
      </text>
    </comment>
    <comment ref="AX5" authorId="0" shapeId="0">
      <text>
        <t>Days off in Sep-28: "16, 17(0.5)" = 16th all day, 17th half a day.</t>
      </text>
    </comment>
    <comment ref="AY5" authorId="0" shapeId="0">
      <text>
        <t>Days off in Oct-28: "16, 17(0.5)" = 16th all day, 17th half a day.</t>
      </text>
    </comment>
    <comment ref="AZ5" authorId="0" shapeId="0">
      <text>
        <t>Days off in Nov-28: "16, 17(0.5)" = 16th all day, 17th half a day.</t>
      </text>
    </comment>
    <comment ref="BA5" authorId="0" shapeId="0">
      <text>
        <t>Days off in Dec-28: "16, 17(0.5)" = 16th all day, 17th half a day.</t>
      </text>
    </comment>
    <comment ref="B60" authorId="0" shapeId="0">
      <text>
        <t>Pick the person (Resources).</t>
      </text>
    </comment>
    <comment ref="C60" authorId="0" shapeId="0">
      <text>
        <t>Pick the month: one of the month columns above, e.g. Nov-26.</t>
      </text>
    </comment>
    <comment ref="AI60" authorId="0" shapeId="0">
      <text>
        <t>The days off as the month cells write them: what the reports read.</t>
      </text>
    </comment>
    <comment ref="AJ60" authorId="0" shapeId="0">
      <text>
        <t>Days on this row that are also in the person's month cell above: they count twice. Clear one.</t>
      </text>
    </comment>
    <comment ref="AK60" authorId="0" shapeId="0">
      <text>
        <t>Person|month: the look-up key (helper).</t>
      </text>
    </comment>
    <comment ref="AL60" authorId="0" shapeId="0">
      <text>
        <t>The person's month cell as ",16,17,(0.5),": each day between commas (helper).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33</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xml><?xml version="1.0" encoding="utf-8"?>
<table xmlns="http://schemas.openxmlformats.org/spreadsheetml/2006/main" id="2"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3.xml><?xml version="1.0" encoding="utf-8"?>
<table xmlns="http://schemas.openxmlformats.org/spreadsheetml/2006/main" id="3" name="KPIs" displayName="KPIs" ref="B27:D41" headerRowCount="1">
  <tableColumns count="3">
    <tableColumn id="1" name="Measure"/>
    <tableColumn id="2" name="Source"/>
    <tableColumn id="3" name="Value"/>
  </tableColumns>
  <tableStyleInfo name="TableStyleLight1" showRowStripes="0"/>
</table>
</file>

<file path=xl/tables/table4.xml><?xml version="1.0" encoding="utf-8"?>
<table xmlns="http://schemas.openxmlformats.org/spreadsheetml/2006/main" id="4" name="StatusSummary" displayName="StatusSummary" ref="E27:F32"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5.xml><?xml version="1.0" encoding="utf-8"?>
<table xmlns="http://schemas.openxmlformats.org/spreadsheetml/2006/main" id="5" name="NextMilestones" displayName="NextMilestones" ref="B44:C49"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6.xml><?xml version="1.0" encoding="utf-8"?>
<table xmlns="http://schemas.openxmlformats.org/spreadsheetml/2006/main" id="6" name="LateTasks" displayName="LateTasks" ref="A52:G57"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7.xml><?xml version="1.0" encoding="utf-8"?>
<table xmlns="http://schemas.openxmlformats.org/spreadsheetml/2006/main" id="7" name="DueSoon" displayName="DueSoon" ref="A60:G65"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8.xml><?xml version="1.0" encoding="utf-8"?>
<table xmlns="http://schemas.openxmlformats.org/spreadsheetml/2006/main" id="8" name="StartingSoon" displayName="StartingSoon" ref="A68:G73"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9.xml><?xml version="1.0" encoding="utf-8"?>
<table xmlns="http://schemas.openxmlformats.org/spreadsheetml/2006/main" id="9" name="CriticalTasks" displayName="CriticalTasks" ref="A76:G81"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10.xml><?xml version="1.0" encoding="utf-8"?>
<table xmlns="http://schemas.openxmlformats.org/spreadsheetml/2006/main" id="10" name="StatusNotes" displayName="StatusNotes" ref="B84:C90" headerRowCount="1">
  <tableColumns count="2">
    <tableColumn id="1" name="Section"/>
    <tableColumn id="2" name="Notes"/>
  </tableColumns>
  <tableStyleInfo name="TableStyleLight1" showRowStripes="0"/>
</table>
</file>

<file path=xl/tables/table11.xml><?xml version="1.0" encoding="utf-8"?>
<table xmlns="http://schemas.openxmlformats.org/spreadsheetml/2006/main" id="11"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12.xml><?xml version="1.0" encoding="utf-8"?>
<table xmlns="http://schemas.openxmlformats.org/spreadsheetml/2006/main" id="12"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13.xml><?xml version="1.0" encoding="utf-8"?>
<table xmlns="http://schemas.openxmlformats.org/spreadsheetml/2006/main" id="13" name="ListDepType" displayName="ListDepType" ref="G4:G8" headerRowCount="1">
  <tableColumns count="1">
    <tableColumn id="1" name="Link Type"/>
  </tableColumns>
  <tableStyleInfo name="TableStyleLight1" showRowStripes="0"/>
</table>
</file>

<file path=xl/tables/table14.xml><?xml version="1.0" encoding="utf-8"?>
<table xmlns="http://schemas.openxmlformats.org/spreadsheetml/2006/main" id="14" name="ListMode" displayName="ListMode" ref="I4:I6" headerRowCount="1">
  <tableColumns count="1">
    <tableColumn id="1" name="Task Mode"/>
  </tableColumns>
  <tableStyleInfo name="TableStyleLight1" showRowStripes="0"/>
</table>
</file>

<file path=xl/tables/table15.xml><?xml version="1.0" encoding="utf-8"?>
<table xmlns="http://schemas.openxmlformats.org/spreadsheetml/2006/main" id="15" name="ListWorkingWeek" displayName="ListWorkingWeek" ref="K4:K8" headerRowCount="1">
  <tableColumns count="1">
    <tableColumn id="1" name="Working Week"/>
  </tableColumns>
  <tableStyleInfo name="TableStyleLight1" showRowStripes="0"/>
</table>
</file>

<file path=xl/tables/table16.xml><?xml version="1.0" encoding="utf-8"?>
<table xmlns="http://schemas.openxmlformats.org/spreadsheetml/2006/main" id="16" name="ListConstraint" displayName="ListConstraint" ref="M4:M12" headerRowCount="1">
  <tableColumns count="1">
    <tableColumn id="1" name="Constraint"/>
  </tableColumns>
  <tableStyleInfo name="TableStyleLight1" showRowStripes="0"/>
</table>
</file>

<file path=xl/tables/table17.xml><?xml version="1.0" encoding="utf-8"?>
<table xmlns="http://schemas.openxmlformats.org/spreadsheetml/2006/main" id="17" name="ListYesNo" displayName="ListYesNo" ref="O4:O6" headerRowCount="1">
  <tableColumns count="1">
    <tableColumn id="1" name="Yes / No"/>
  </tableColumns>
  <tableStyleInfo name="TableStyleLight1" showRowStripes="0"/>
</table>
</file>

<file path=xl/tables/table18.xml><?xml version="1.0" encoding="utf-8"?>
<table xmlns="http://schemas.openxmlformats.org/spreadsheetml/2006/main" id="18" name="ListResType" displayName="ListResType" ref="Q4:Q7" headerRowCount="1">
  <tableColumns count="1">
    <tableColumn id="1" name="Resource Type"/>
  </tableColumns>
  <tableStyleInfo name="TableStyleLight1" showRowStripes="0"/>
</table>
</file>

<file path=xl/tables/table19.xml><?xml version="1.0" encoding="utf-8"?>
<table xmlns="http://schemas.openxmlformats.org/spreadsheetml/2006/main" id="19" name="ListPeriod" displayName="ListPeriod" ref="S4:S8" headerRowCount="1">
  <tableColumns count="1">
    <tableColumn id="1" name="Gantt Days per Column"/>
  </tableColumns>
  <tableStyleInfo name="TableStyleLight1" showRowStripes="0"/>
</table>
</file>

<file path=xl/tables/table20.xml><?xml version="1.0" encoding="utf-8"?>
<table xmlns="http://schemas.openxmlformats.org/spreadsheetml/2006/main" id="20" name="ListRAG" displayName="ListRAG" ref="U4:U7" headerRowCount="1">
  <tableColumns count="1">
    <tableColumn id="1" name="RAG"/>
  </tableColumns>
  <tableStyleInfo name="TableStyleLight1" showRowStripes="0"/>
</table>
</file>

<file path=xl/tables/table21.xml><?xml version="1.0" encoding="utf-8"?>
<table xmlns="http://schemas.openxmlformats.org/spreadsheetml/2006/main" id="21" name="ListLogType" displayName="ListLogType" ref="W4:W10" headerRowCount="1">
  <tableColumns count="1">
    <tableColumn id="1" name="Log Type"/>
  </tableColumns>
  <tableStyleInfo name="TableStyleLight1" showRowStripes="0"/>
</table>
</file>

<file path=xl/tables/table22.xml><?xml version="1.0" encoding="utf-8"?>
<table xmlns="http://schemas.openxmlformats.org/spreadsheetml/2006/main" id="22" name="ListRAIDStatus" displayName="ListRAIDStatus" ref="Y4:Y7" headerRowCount="1">
  <tableColumns count="1">
    <tableColumn id="1" name="RAID Status"/>
  </tableColumns>
  <tableStyleInfo name="TableStyleLight1" showRowStripes="0"/>
</table>
</file>

<file path=xl/tables/table23.xml><?xml version="1.0" encoding="utf-8"?>
<table xmlns="http://schemas.openxmlformats.org/spreadsheetml/2006/main" id="23" name="ListDecisionStatus" displayName="ListDecisionStatus" ref="AA4:AA8" headerRowCount="1">
  <tableColumns count="1">
    <tableColumn id="1" name="Decision Status"/>
  </tableColumns>
  <tableStyleInfo name="TableStyleLight1" showRowStripes="0"/>
</table>
</file>

<file path=xl/tables/table24.xml><?xml version="1.0" encoding="utf-8"?>
<table xmlns="http://schemas.openxmlformats.org/spreadsheetml/2006/main" id="24" name="ListChangeStatus" displayName="ListChangeStatus" ref="AC4:AC9" headerRowCount="1">
  <tableColumns count="1">
    <tableColumn id="1" name="Change Status"/>
  </tableColumns>
  <tableStyleInfo name="TableStyleLight1" showRowStripes="0"/>
</table>
</file>

<file path=xl/tables/table25.xml><?xml version="1.0" encoding="utf-8"?>
<table xmlns="http://schemas.openxmlformats.org/spreadsheetml/2006/main" id="25"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6.xml><?xml version="1.0" encoding="utf-8"?>
<table xmlns="http://schemas.openxmlformats.org/spreadsheetml/2006/main" id="26" name="StageTable" displayName="StageTable" ref="B49:C55" headerRowCount="1">
  <tableColumns count="2">
    <tableColumn id="1" name="Stage"/>
    <tableColumn id="2" name="% Complete"/>
  </tableColumns>
  <tableStyleInfo name="TableStyleLight1" showRowStripes="0"/>
</table>
</file>

<file path=xl/tables/table27.xml><?xml version="1.0" encoding="utf-8"?>
<table xmlns="http://schemas.openxmlformats.org/spreadsheetml/2006/main" id="27" name="HolidayTable" displayName="HolidayTable" ref="B58:C158" headerRowCount="1">
  <autoFilter ref="B58:C158"/>
  <tableColumns count="2">
    <tableColumn id="1" name="Date"/>
    <tableColumn id="2" name="Description"/>
  </tableColumns>
  <tableStyleInfo name="TableStyleLight1" showRowStripes="0"/>
</table>
</file>

<file path=xl/tables/table28.xml><?xml version="1.0" encoding="utf-8"?>
<table xmlns="http://schemas.openxmlformats.org/spreadsheetml/2006/main" id="28" name="Tasks" displayName="Tasks" ref="A5:HG205" headerRowCount="1">
  <autoFilter ref="A5:HG205"/>
  <tableColumns count="215">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Duration]]=""),"",Tasks[[#This Row],[_SpanDays]]-N(Tasks[[#This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Duration]])=0),Tasks[[#This Row],[_SpanDays]],Tasks[[#This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Accountable"/>
    <tableColumn id="74" name="Consulted"/>
    <tableColumn id="75" name="Informed"/>
    <tableColumn id="76" name="Expected">
      <calculatedColumnFormula>IF(AND(Tasks[[#This Row],[_IsLeaf]]=1,ISNUMBER(Tasks[[#This Row],[Optimistic]]),ISNUMBER(Tasks[[#This Row],[Pessimistic]])),ROUND((Tasks[[#This Row],[Optimistic]]+4*N(Tasks[[#This Row],[_Days]])+Tasks[[#This Row],[Pessimistic]])/6,1),"")</calculatedColumnFormula>
    </tableColumn>
    <tableColumn id="77" name="Optimistic"/>
    <tableColumn id="78" name="Pessimistic"/>
    <tableColumn id="79" name="Sandbox Duration"/>
    <tableColumn id="80" name="_Level">
      <calculatedColumnFormula>IF(Tasks[[#This Row],[Task Name]]="","",MAX(1,N(Tasks[[#This Row],[Level]])))</calculatedColumnFormula>
    </tableColumn>
    <tableColumn id="81" name="_Row">
      <calculatedColumnFormula>ROW()-ROW(Tasks[[#Headers],[ID]])</calculatedColumnFormula>
    </tableColumn>
    <tableColumn id="82" name="_ParentRow">
      <calculatedColumnFormula>IF(OR(Tasks[[#This Row],[Task Name]]="",Tasks[[#This Row],[_Level]]&lt;=1),0,IFERROR(LOOKUP(2,1/(Tasks[[#Headers],[_Level]]:Tasks[[#This Row],[_Level]]=Tasks[[#This Row],[_Level]]-1),ROW(Tasks[[#Headers],[_Level]]:Tasks[[#This Row],[_Level]])),0))</calculatedColumnFormula>
    </tableColumn>
    <tableColumn id="83" name="_NextLevel">
      <calculatedColumnFormula>IFERROR(N(INDEX(Tasks[_Level],Tasks[[#This Row],[_Row]]+1)),0)</calculatedColumnFormula>
    </tableColumn>
    <tableColumn id="84" name="_IsSummary">
      <calculatedColumnFormula>AND(Tasks[[#This Row],[Task Name]]&lt;&gt;"",Tasks[[#This Row],[_NextLevel]]&gt;Tasks[[#This Row],[_Level]])</calculatedColumnFormula>
    </tableColumn>
    <tableColumn id="85" name="_Descendants">
      <calculatedColumnFormula>IF(Tasks[[#This Row],[_IsSummary]],COUNTIF(Tasks[WBS],Tasks[[#This Row],[WBS]]&amp;".*"),0)</calculatedColumnFormula>
    </tableColumn>
    <tableColumn id="86" name="_IsLeaf">
      <calculatedColumnFormula>IF(AND(Tasks[[#This Row],[Task Name]]&lt;&gt;"",NOT(Tasks[[#This Row],[_IsSummary]])),1,0)</calculatedColumnFormula>
    </tableColumn>
    <tableColumn id="87" name="_Pred1Pos">
      <calculatedColumnFormula>IF(N(Tasks[[#This Row],[_Pred1UID]])=0,0,IFERROR(MATCH(Tasks[[#This Row],[_Pred1UID]],Tasks[UID],0),-1))</calculatedColumnFormula>
    </tableColumn>
    <tableColumn id="88" name="_Pred2Pos">
      <calculatedColumnFormula>IF(N(Tasks[[#This Row],[_Pred2UID]])=0,0,IFERROR(MATCH(Tasks[[#This Row],[_Pred2UID]],Tasks[UID],0),-1))</calculatedColumnFormula>
    </tableColumn>
    <tableColumn id="89" name="_Pred3Pos">
      <calculatedColumnFormula>IF(N(Tasks[[#This Row],[_Pred3UID]])=0,0,IFERROR(MATCH(Tasks[[#This Row],[_Pred3UID]],Tasks[UID],0),-1))</calculatedColumnFormula>
    </tableColumn>
    <tableColumn id="90" name="_Pred4Pos">
      <calculatedColumnFormula>IF(N(Tasks[[#This Row],[_Pred4UID]])=0,0,IFERROR(MATCH(Tasks[[#This Row],[_Pred4UID]],Tasks[UID],0),-1))</calculatedColumnFormula>
    </tableColumn>
    <tableColumn id="91"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92"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93" name="_ConstraintLow">
      <calculatedColumnFormula>IF(OR(Tasks[[#This Row],[_ConstraintCode]]=2,Tasks[[#This Row],[_ConstraintCode]]=3,Tasks[[#This Row],[_ConstraintCode]]=4,Tasks[[#This Row],[_ConstraintCode]]=6),Tasks[[#This Row],[_ConstraintStart]],0)</calculatedColumnFormula>
    </tableColumn>
    <tableColumn id="94" name="_ConstraintHigh">
      <calculatedColumnFormula>IF(OR(Tasks[[#This Row],[_ConstraintCode]]=2,Tasks[[#This Row],[_ConstraintCode]]=3,Tasks[[#This Row],[_ConstraintCode]]=5,Tasks[[#This Row],[_ConstraintCode]]=7),Tasks[[#This Row],[_ConstraintStart]],2958465)</calculatedColumnFormula>
    </tableColumn>
    <tableColumn id="95"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96" name="_LeafCalcFinish">
      <calculatedColumnFormula>IF(NOT(Tasks[[#This Row],[_IsLeaf]]=1),"",IF(N(Tasks[[#This Row],[_Days]])&lt;=0,Tasks[[#This Row],[_LeafCalcStart]],WORKDAY.INTL(Tasks[[#This Row],[_LeafCalcStart]],Tasks[[#This Row],[_Days]]-1,WorkWeek,Holidays)))</calculatedColumnFormula>
    </tableColumn>
    <tableColumn id="97"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8"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9" name="_Pred1Text">
      <calculatedColumnFormula>IF(Tasks[[#This Row],[_Predecessors]]="","",TRIM(MID(SUBSTITUTE(SUBSTITUTE(SUBSTITUTE(UPPER(Tasks[[#This Row],[_Predecessors]]),";",",")," ",""),",",REPT(" ",99)),1,99)))</calculatedColumnFormula>
    </tableColumn>
    <tableColumn id="100"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101"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102"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103" name="_Pred2Text">
      <calculatedColumnFormula>IF(Tasks[[#This Row],[_Pred1Text]]="","",TRIM(MID(SUBSTITUTE(SUBSTITUTE(SUBSTITUTE(UPPER(Tasks[[#This Row],[_Predecessors]]),";",",")," ",""),",",REPT(" ",99)),100,99)))</calculatedColumnFormula>
    </tableColumn>
    <tableColumn id="104"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105"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106"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7" name="_Pred3Text">
      <calculatedColumnFormula>IF(Tasks[[#This Row],[_Pred2Text]]="","",TRIM(MID(SUBSTITUTE(SUBSTITUTE(SUBSTITUTE(UPPER(Tasks[[#This Row],[_Predecessors]]),";",",")," ",""),",",REPT(" ",99)),199,99)))</calculatedColumnFormula>
    </tableColumn>
    <tableColumn id="108"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9"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10"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11" name="_Pred4Text">
      <calculatedColumnFormula>IF(Tasks[[#This Row],[_Pred3Text]]="","",TRIM(MID(SUBSTITUTE(SUBSTITUTE(SUBSTITUTE(UPPER(Tasks[[#This Row],[_Predecessors]]),";",",")," ",""),",",REPT(" ",99)),298,99)))</calculatedColumnFormula>
    </tableColumn>
    <tableColumn id="112"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13"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14"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15" name="_Res1Text">
      <calculatedColumnFormula>IF(OR(Tasks[[#This Row],[Task Name]]="",Tasks[[#This Row],[_Resources]]=""),"",TRIM(MID(SUBSTITUTE(Tasks[[#This Row],[_Resources]],",",REPT(" ",99)),1,99)))</calculatedColumnFormula>
    </tableColumn>
    <tableColumn id="116" name="_Res2Text">
      <calculatedColumnFormula>IF(Tasks[[#This Row],[_Res1Text]]="","",TRIM(MID(SUBSTITUTE(Tasks[[#This Row],[_Resources]],",",REPT(" ",99)),100,99)))</calculatedColumnFormula>
    </tableColumn>
    <tableColumn id="117" name="_Res3Text">
      <calculatedColumnFormula>IF(Tasks[[#This Row],[_Res2Text]]="","",TRIM(MID(SUBSTITUTE(Tasks[[#This Row],[_Resources]],",",REPT(" ",99)),199,99)))</calculatedColumnFormula>
    </tableColumn>
    <tableColumn id="118" name="_Res4Text">
      <calculatedColumnFormula>IF(Tasks[[#This Row],[_Res3Text]]="","",TRIM(MID(SUBSTITUTE(Tasks[[#This Row],[_Resources]],",",REPT(" ",99)),298,99)))</calculatedColumnFormula>
    </tableColumn>
    <tableColumn id="119"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20"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21"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22"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23" name="_Resource1">
      <calculatedColumnFormula>IF(Tasks[[#This Row],[_Res1Text]]="","",IF(Tasks[[#This Row],[_Res1Row]]&gt;0,INDEX(res_Name,Tasks[[#This Row],[_Res1Row]]),TRIM(LEFT(Tasks[[#This Row],[_Res1Text]],FIND("[",Tasks[[#This Row],[_Res1Text]]&amp;"[")-1))))</calculatedColumnFormula>
    </tableColumn>
    <tableColumn id="124"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25" name="_People">
      <calculatedColumnFormula>IF(NOT(Tasks[[#This Row],[_IsLeaf]]=1),0,(Tasks[[#This Row],[_Resource1]]&lt;&gt;"")+(Tasks[[#This Row],[_Res2]]&lt;&gt;"")+(Tasks[[#This Row],[_Res3]]&lt;&gt;"")+(Tasks[[#This Row],[_Res4]]&lt;&gt;""))</calculatedColumnFormula>
    </tableColumn>
    <tableColumn id="126" name="_Res2">
      <calculatedColumnFormula>IF(Tasks[[#This Row],[_Res2Text]]="","",IF(Tasks[[#This Row],[_Res2Row]]&gt;0,INDEX(res_Name,Tasks[[#This Row],[_Res2Row]]),TRIM(LEFT(Tasks[[#This Row],[_Res2Text]],FIND("[",Tasks[[#This Row],[_Res2Text]]&amp;"[")-1))))</calculatedColumnFormula>
    </tableColumn>
    <tableColumn id="127"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8" name="_Res2Work">
      <calculatedColumnFormula>IF(OR(NOT(Tasks[[#This Row],[_IsLeaf]]=1),Tasks[[#This Row],[_Res2Row]]=0),0,N(Tasks[[#This Row],[_Days]])*HoursPerDay*IF(Tasks[[#This Row],[_Res2Units]]="",DefaultUnits,Tasks[[#This Row],[_Res2Units]]))</calculatedColumnFormula>
    </tableColumn>
    <tableColumn id="129" name="_Res2WorkPerWD">
      <calculatedColumnFormula>IF(AND(AND(Tasks[[#This Row],[_IsLeaf]]=1,Tasks[[#This Row],[_LeafTotalWork]]&gt;0),Tasks[[#This Row],[_Res2Work]]&gt;0),Tasks[[#This Row],[_Res2Work]]/(Tasks[[#This Row],[_FinishWorkday]]-Tasks[[#This Row],[_StartWorkday]]+1),0)</calculatedColumnFormula>
    </tableColumn>
    <tableColumn id="130" name="_Res2WorkBefore">
      <calculatedColumnFormula>Tasks[[#This Row],[_Res2WorkPerWD]]*MAX(0,Tasks[[#This Row],[_StartWorkday]]-1)</calculatedColumnFormula>
    </tableColumn>
    <tableColumn id="131" name="_Res2WorkDone">
      <calculatedColumnFormula>Tasks[[#This Row],[_Res2Work]]*Tasks[[#This Row],[_LeafProgress]]</calculatedColumnFormula>
    </tableColumn>
    <tableColumn id="132" name="_Res3">
      <calculatedColumnFormula>IF(Tasks[[#This Row],[_Res3Text]]="","",IF(Tasks[[#This Row],[_Res3Row]]&gt;0,INDEX(res_Name,Tasks[[#This Row],[_Res3Row]]),TRIM(LEFT(Tasks[[#This Row],[_Res3Text]],FIND("[",Tasks[[#This Row],[_Res3Text]]&amp;"[")-1))))</calculatedColumnFormula>
    </tableColumn>
    <tableColumn id="133"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34" name="_Res3Work">
      <calculatedColumnFormula>IF(OR(NOT(Tasks[[#This Row],[_IsLeaf]]=1),Tasks[[#This Row],[_Res3Row]]=0),0,N(Tasks[[#This Row],[_Days]])*HoursPerDay*IF(Tasks[[#This Row],[_Res3Units]]="",DefaultUnits,Tasks[[#This Row],[_Res3Units]]))</calculatedColumnFormula>
    </tableColumn>
    <tableColumn id="135" name="_Res3WorkPerWD">
      <calculatedColumnFormula>IF(AND(AND(Tasks[[#This Row],[_IsLeaf]]=1,Tasks[[#This Row],[_LeafTotalWork]]&gt;0),Tasks[[#This Row],[_Res3Work]]&gt;0),Tasks[[#This Row],[_Res3Work]]/(Tasks[[#This Row],[_FinishWorkday]]-Tasks[[#This Row],[_StartWorkday]]+1),0)</calculatedColumnFormula>
    </tableColumn>
    <tableColumn id="136" name="_Res3WorkBefore">
      <calculatedColumnFormula>Tasks[[#This Row],[_Res3WorkPerWD]]*MAX(0,Tasks[[#This Row],[_StartWorkday]]-1)</calculatedColumnFormula>
    </tableColumn>
    <tableColumn id="137" name="_Res3WorkDone">
      <calculatedColumnFormula>Tasks[[#This Row],[_Res3Work]]*Tasks[[#This Row],[_LeafProgress]]</calculatedColumnFormula>
    </tableColumn>
    <tableColumn id="138" name="_Res4">
      <calculatedColumnFormula>IF(Tasks[[#This Row],[_Res4Text]]="","",IF(Tasks[[#This Row],[_Res4Row]]&gt;0,INDEX(res_Name,Tasks[[#This Row],[_Res4Row]]),TRIM(LEFT(Tasks[[#This Row],[_Res4Text]],FIND("[",Tasks[[#This Row],[_Res4Text]]&amp;"[")-1))))</calculatedColumnFormula>
    </tableColumn>
    <tableColumn id="139"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40" name="_Res4Work">
      <calculatedColumnFormula>IF(OR(NOT(Tasks[[#This Row],[_IsLeaf]]=1),Tasks[[#This Row],[_Res4Row]]=0),0,N(Tasks[[#This Row],[_Days]])*HoursPerDay*IF(Tasks[[#This Row],[_Res4Units]]="",DefaultUnits,Tasks[[#This Row],[_Res4Units]]))</calculatedColumnFormula>
    </tableColumn>
    <tableColumn id="141" name="_Res4WorkPerWD">
      <calculatedColumnFormula>IF(AND(AND(Tasks[[#This Row],[_IsLeaf]]=1,Tasks[[#This Row],[_LeafTotalWork]]&gt;0),Tasks[[#This Row],[_Res4Work]]&gt;0),Tasks[[#This Row],[_Res4Work]]/(Tasks[[#This Row],[_FinishWorkday]]-Tasks[[#This Row],[_StartWorkday]]+1),0)</calculatedColumnFormula>
    </tableColumn>
    <tableColumn id="142" name="_Res4WorkBefore">
      <calculatedColumnFormula>Tasks[[#This Row],[_Res4WorkPerWD]]*MAX(0,Tasks[[#This Row],[_StartWorkday]]-1)</calculatedColumnFormula>
    </tableColumn>
    <tableColumn id="143" name="_Res4WorkDone">
      <calculatedColumnFormula>Tasks[[#This Row],[_Res4Work]]*Tasks[[#This Row],[_LeafProgress]]</calculatedColumnFormula>
    </tableColumn>
    <tableColumn id="144" name="_Pct">
      <calculatedColumnFormula>IF(ISNUMBER(Tasks[[#This Row],[% Complete]]),Tasks[[#This Row],[% Complete]],IF(Tasks[[#This Row],[Stage]]="",0,IFERROR(INDEX(stg_Pct,MATCH(Tasks[[#This Row],[Stage]],stg_Name,0)),0)))</calculatedColumnFormula>
    </tableColumn>
    <tableColumn id="145" name="_LeafProgress">
      <calculatedColumnFormula>IF(NOT(Tasks[[#This Row],[_IsLeaf]]=1),0,IF(N(Tasks[[#This Row],[Actual Finish]])&gt;0,1,MIN(1,Tasks[[#This Row],[_Pct]])))</calculatedColumnFormula>
    </tableColumn>
    <tableColumn id="146" name="_LeafWork">
      <calculatedColumnFormula>IF(OR(NOT(Tasks[[#This Row],[_IsLeaf]]=1),Tasks[[#This Row],[_Res1Row]]=0),0,N(Tasks[[#This Row],[_Days]])*HoursPerDay*IF(Tasks[[#This Row],[_Units1]]="",DefaultUnits,Tasks[[#This Row],[_Units1]]))</calculatedColumnFormula>
    </tableColumn>
    <tableColumn id="147" name="_LeafTotalWork">
      <calculatedColumnFormula>Tasks[[#This Row],[_LeafWork]]+Tasks[[#This Row],[_Res2Work]]+Tasks[[#This Row],[_Res3Work]]+Tasks[[#This Row],[_Res4Work]]</calculatedColumnFormula>
    </tableColumn>
    <tableColumn id="148"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9"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50"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51"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52"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53"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54"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55"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56"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7"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8"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9" name="_LeafLateStart">
      <calculatedColumnFormula>IF(NOT(Tasks[[#This Row],[_IsLeaf]]=1),"",IF(N(Tasks[[#This Row],[_Days]])&lt;=0,Tasks[[#This Row],[_LeafLateFinish]],WORKDAY.INTL(Tasks[[#This Row],[_LeafLateFinish]],-(Tasks[[#This Row],[_Days]]-1),WorkWeek,Holidays)))</calculatedColumnFormula>
    </tableColumn>
    <tableColumn id="160"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61" name="_LeafCritical">
      <calculatedColumnFormula>AND(Tasks[[#This Row],[_IsLeaf]]=1,Tasks[[#This Row],[_LeafProgress]]&lt;1,N(Tasks[[#This Row],[_LeafTotalSlack]])&lt;=CriticalSlackDays)</calculatedColumnFormula>
    </tableColumn>
    <tableColumn id="162" name="_AlapShift">
      <calculatedColumnFormula>IF(AND(Tasks[[#This Row],[_IsLeaf]]=1,Tasks[[#This Row],[_ConstraintCode]]=1,Tasks[[#This Row],[Mode]]&lt;&gt;"Manual",N(Tasks[[#This Row],[Actual Start]])=0),MAX(0,N(Tasks[[#This Row],[Free Slack]])),0)</calculatedColumnFormula>
    </tableColumn>
    <tableColumn id="163" name="_ShownCalcStart">
      <calculatedColumnFormula>IF(NOT(Tasks[[#This Row],[_IsLeaf]]=1),"",IF(Tasks[[#This Row],[_AlapShift]]=0,Tasks[[#This Row],[_LeafCalcStart]],WORKDAY.INTL(Tasks[[#This Row],[_LeafCalcStart]],Tasks[[#This Row],[_AlapShift]],WorkWeek,Holidays)))</calculatedColumnFormula>
    </tableColumn>
    <tableColumn id="164" name="_ShownCalcFinish">
      <calculatedColumnFormula>IF(NOT(Tasks[[#This Row],[_IsLeaf]]=1),"",IF(Tasks[[#This Row],[_AlapShift]]=0,Tasks[[#This Row],[_LeafCalcFinish]],WORKDAY.INTL(Tasks[[#This Row],[_LeafCalcFinish]],Tasks[[#This Row],[_AlapShift]],WorkWeek,Holidays)))</calculatedColumnFormula>
    </tableColumn>
    <tableColumn id="165" name="_ShownFcstStart">
      <calculatedColumnFormula>IF(NOT(Tasks[[#This Row],[_IsLeaf]]=1),"",IF(Tasks[[#This Row],[_AlapShift]]=0,Tasks[[#This Row],[_LeafFcstStart]],WORKDAY.INTL(Tasks[[#This Row],[_LeafFcstStart]],Tasks[[#This Row],[_AlapShift]],WorkWeek,Holidays)))</calculatedColumnFormula>
    </tableColumn>
    <tableColumn id="166" name="_ShownFcstFinish">
      <calculatedColumnFormula>IF(NOT(Tasks[[#This Row],[_IsLeaf]]=1),"",IF(Tasks[[#This Row],[_AlapShift]]=0,Tasks[[#This Row],[_LeafFcstFinish]],WORKDAY.INTL(Tasks[[#This Row],[_LeafFcstFinish]],Tasks[[#This Row],[_AlapShift]],WorkWeek,Holidays)))</calculatedColumnFormula>
    </tableColumn>
    <tableColumn id="167"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8"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9"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70"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71"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72"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73"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74"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75"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76"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7"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8"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9"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80"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81" name="_StartWorkday">
      <calculatedColumnFormula>IF(AND(Tasks[[#This Row],[_IsLeaf]]=1,Tasks[[#This Row],[_LeafTotalWork]]&gt;0),NETWORKDAYS.INTL(ProjectStart,Tasks[[#This Row],[_ShownFcstStart]],WorkWeek,Holidays),0)</calculatedColumnFormula>
    </tableColumn>
    <tableColumn id="182" name="_FinishWorkday">
      <calculatedColumnFormula>IF(AND(Tasks[[#This Row],[_IsLeaf]]=1,Tasks[[#This Row],[_LeafTotalWork]]&gt;0),MAX(Tasks[[#This Row],[_StartWorkday]],NETWORKDAYS.INTL(ProjectStart,Tasks[[#This Row],[_ShownFcstFinish]],WorkWeek,Holidays)),0)</calculatedColumnFormula>
    </tableColumn>
    <tableColumn id="183" name="_WorkPerWorkday">
      <calculatedColumnFormula>IF(AND(Tasks[[#This Row],[_IsLeaf]]=1,Tasks[[#This Row],[_LeafTotalWork]]&gt;0),Tasks[[#This Row],[_LeafWork]]/(Tasks[[#This Row],[_FinishWorkday]]-Tasks[[#This Row],[_StartWorkday]]+1),0)</calculatedColumnFormula>
    </tableColumn>
    <tableColumn id="184" name="_WorkBeforeStart">
      <calculatedColumnFormula>Tasks[[#This Row],[_WorkPerWorkday]]*(Tasks[[#This Row],[_StartWorkday]]-1)</calculatedColumnFormula>
    </tableColumn>
    <tableColumn id="185" name="_WeightDur">
      <calculatedColumnFormula>IF(Tasks[[#This Row],[_IsLeaf]]=1,MAX(N(Tasks[[#This Row],[_Days]]),0.1),0)</calculatedColumnFormula>
    </tableColumn>
    <tableColumn id="186" name="_WeightDone">
      <calculatedColumnFormula>Tasks[[#This Row],[_WeightDur]]*Tasks[[#This Row],[_LeafProgress]]</calculatedColumnFormula>
    </tableColumn>
    <tableColumn id="187" name="_WeightPlanned">
      <calculatedColumnFormula>Tasks[[#This Row],[_WeightDur]]*Tasks[[#This Row],[_PlannedPct]]</calculatedColumnFormula>
    </tableColumn>
    <tableColumn id="188"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9" name="_MilestoneKey">
      <calculatedColumnFormula>IF(AND(Tasks[[#This Row],[_IsLeaf]]=1,N(Tasks[[#This Row],[_Days]])=0,Tasks[[#This Row],[_LeafProgress]]&lt;1),Tasks[[#This Row],[_ShownFcstFinish]]+Tasks[[#This Row],[_Row]]/100000,"")</calculatedColumnFormula>
    </tableColumn>
    <tableColumn id="190"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91" name="_Phase">
      <calculatedColumnFormula>IF(Tasks[[#This Row],[Task Name]]="","",LEFT(Tasks[[#This Row],[WBS]],FIND(".",Tasks[[#This Row],[WBS]]&amp;".")-1))</calculatedColumnFormula>
    </tableColumn>
    <tableColumn id="192" name="_PhaseKey">
      <calculatedColumnFormula>IF(AND(Tasks[[#This Row],[Task Name]]&lt;&gt;"",Tasks[[#This Row],[_Level]]=1),Tasks[[#This Row],[_Row]],"")</calculatedColumnFormula>
    </tableColumn>
    <tableColumn id="193" name="_MilestoneOrder">
      <calculatedColumnFormula>IF(AND(Tasks[[#This Row],[_IsLeaf]]=1,N(Tasks[[#This Row],[_Days]])=0),Tasks[[#This Row],[Planned Finish]]+Tasks[[#This Row],[_Row]]/100000,"")</calculatedColumnFormula>
    </tableColumn>
    <tableColumn id="194" name="_LateKey">
      <calculatedColumnFormula>IF(AND(Tasks[[#This Row],[_IsLeaf]]=1,Tasks[[#This Row],[_LeafProgress]]&lt;1,OR(N(Tasks[[#This Row],[Finish Var]])&gt;0,Tasks[[#This Row],[Status]]="Late Start")),MAX(0,Tasks[[#This Row],[Finish Var]])+1-Tasks[[#This Row],[_Row]]/1000000,"")</calculatedColumnFormula>
    </tableColumn>
    <tableColumn id="195" name="_StartSoonKey">
      <calculatedColumnFormula>IF(AND(Tasks[[#This Row],[_IsLeaf]]=1,N(Tasks[[#This Row],[Actual Start]])=0,Tasks[[#This Row],[_ShownFcstStart]]&gt;=StatusDate,Tasks[[#This Row],[_ShownFcstStart]]&lt;=LookaheadEnd),Tasks[[#This Row],[_ShownFcstStart]]+Tasks[[#This Row],[_Row]]/100000,"")</calculatedColumnFormula>
    </tableColumn>
    <tableColumn id="196"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7" name="_CriticalKey">
      <calculatedColumnFormula>IF(Tasks[[#This Row],[_LeafCritical]],Tasks[[#This Row],[_ShownFcstStart]]+Tasks[[#This Row],[_Row]]/100000,"")</calculatedColumnFormula>
    </tableColumn>
    <tableColumn id="198" name="_LeafWorkDone">
      <calculatedColumnFormula>Tasks[[#This Row],[_LeafWork]]*Tasks[[#This Row],[_LeafProgress]]</calculatedColumnFormula>
    </tableColumn>
    <tableColumn id="199" name="_DoneDate">
      <calculatedColumnFormula>IF(AND(Tasks[[#This Row],[_IsLeaf]]=1,Tasks[[#This Row],[_LeafProgress]]&gt;=1),IF(N(Tasks[[#This Row],[Actual Finish]])&gt;0,Tasks[[#This Row],[Actual Finish]],Tasks[[#This Row],[_ShownFcstFinish]]),"")</calculatedColumnFormula>
    </tableColumn>
    <tableColumn id="200" name="_LeafPoints">
      <calculatedColumnFormula>IF(Tasks[[#This Row],[_IsLeaf]]=1,N(Tasks[[#This Row],[Story Points]]),0)</calculatedColumnFormula>
    </tableColumn>
    <tableColumn id="201" name="_CurrentSprintKey">
      <calculatedColumnFormula>""</calculatedColumnFormula>
    </tableColumn>
    <tableColumn id="202" name="_IsMilestone">
      <calculatedColumnFormula>IF(Tasks[[#This Row],[Task Name]]="",FALSE(),AND(Tasks[[#This Row],[_IsLeaf]]=1,N(Tasks[[#This Row],[_Days]])=0))</calculatedColumnFormula>
    </tableColumn>
    <tableColumn id="203" name="_DoneFrom">
      <calculatedColumnFormula>IF(Tasks[[#This Row],[Task Name]]="",0,IF(AND(Tasks[[#This Row],[_IsLeaf]]=1,NOT(Tasks[[#This Row],[_IsMilestone]]),N(Tasks[[#This Row],[Progress]])&gt;0),Tasks[[#This Row],[Start]],0))</calculatedColumnFormula>
    </tableColumn>
    <tableColumn id="204" name="_DoneTo">
      <calculatedColumnFormula>IF(Tasks[[#This Row],[_DoneFrom]]=0,0,IF(Tasks[[#This Row],[Progress]]&gt;=1,Tasks[[#This Row],[Finish]],MAX(Tasks[[#This Row],[_DoneFrom]],Tasks[[#This Row],[Start]]+ROUND((Tasks[[#This Row],[Finish]]-Tasks[[#This Row],[Start]]+1)*Tasks[[#This Row],[Progress]],0)-1)))</calculatedColumnFormula>
    </tableColumn>
    <tableColumn id="205" name="_RemFrom">
      <calculatedColumnFormula>IF(Tasks[[#This Row],[Task Name]]="",0,IF(OR(NOT(Tasks[[#This Row],[_IsLeaf]]=1),Tasks[[#This Row],[_IsMilestone]],N(Tasks[[#This Row],[Progress]])&gt;=1),0,IF(Tasks[[#This Row],[_DoneTo]]&gt;0,Tasks[[#This Row],[_DoneTo]]+1,Tasks[[#This Row],[Start]])))</calculatedColumnFormula>
    </tableColumn>
    <tableColumn id="206" name="_RemTo">
      <calculatedColumnFormula>IF(Tasks[[#This Row],[_RemFrom]]=0,0,Tasks[[#This Row],[Finish]])</calculatedColumnFormula>
    </tableColumn>
    <tableColumn id="207" name="_ShowPlan">
      <calculatedColumnFormula>IF(Tasks[[#This Row],[Task Name]]="",FALSE(),OR(NOT(BaselineSet),N(Tasks[[#This Row],[Baseline Start]])&gt;0))</calculatedColumnFormula>
    </tableColumn>
    <tableColumn id="208" name="_Days">
      <calculatedColumnFormula>IF(AND(Sandbox="Yes",L_PARSE_DURATION(Tasks[[#This Row],[Sandbox Duration]])&lt;&gt;""),L_PARSE_DURATION(Tasks[[#This Row],[Sandbox Duration]]),L_PARSE_DURATION(Tasks[[#This Row],[Duration]]))</calculatedColumnFormula>
    </tableColumn>
    <tableColumn id="209" name="_Predecessors">
      <calculatedColumnFormula>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calculatedColumnFormula>
    </tableColumn>
    <tableColumn id="210"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11" name="_PickKey">
      <calculatedColumnFormula>IF(Tasks[[#This Row],[_IsLeaf]]=1,Tasks[[#This Row],[_Row]],"")</calculatedColumnFormula>
    </tableColumn>
    <tableColumn id="212" name="_PickList">
      <calculatedColumnFormula>IFERROR(INDEX(Tasks[UID],SMALL(Tasks[_PickKey],Tasks[[#This Row],[_Row]]))&amp;" "&amp;INDEX(Tasks[Task Name],SMALL(Tasks[_PickKey],Tasks[[#This Row],[_Row]])),"")</calculatedColumnFormula>
    </tableColumn>
    <tableColumn id="213" name="_SpanDays">
      <calculatedColumnFormula>IF(Tasks[[#This Row],[Task Name]]="","",IF(Tasks[[#This Row],[_IsSummary]],NETWORKDAYS.INTL(Tasks[[#This Row],[Start]],Tasks[[#This Row],[Finish]],WorkWeek,Holidays),N(Tasks[[#This Row],[_Days]])))</calculatedColumnFormula>
    </tableColumn>
    <tableColumn id="214" name="_PertVariance">
      <calculatedColumnFormula>IF(Tasks[[#This Row],[Expected]]="",0,((Tasks[[#This Row],[Pessimistic]]-Tasks[[#This Row],[Optimistic]])/6)^2)</calculatedColumnFormula>
    </tableColumn>
    <tableColumn id="215" name="_PertShift">
      <calculatedColumnFormula>IF(Tasks[[#This Row],[Expected]]="",0,Tasks[[#This Row],[Expected]]-N(Tasks[[#This Row],[_Days]]))</calculatedColumnFormula>
    </tableColumn>
  </tableColumns>
  <tableStyleInfo name="TableStyleLight1" showRowStripes="0"/>
</table>
</file>

<file path=xl/tables/table29.xml><?xml version="1.0" encoding="utf-8"?>
<table xmlns="http://schemas.openxmlformats.org/spreadsheetml/2006/main" id="29" name="ResourceTable" displayName="ResourceTable" ref="B5:BA55" headerRowCount="1">
  <autoFilter ref="B5:BA55"/>
  <tableColumns count="52">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Accountable For">
      <calculatedColumnFormula>IF(ResourceTable[[#This Row],[Resource Name]]="","",COUNTIF(tsk_Accountable,ResourceTable[[#This Row],[Resource Name]])+COUNTIF(tsk_Accountable,ResourceTable[[#This Row],[Resource Name]]&amp;",*")+COUNTIF(tsk_Accountable,"*, "&amp;ResourceTable[[#This Row],[Resource Name]])+COUNTIF(tsk_Accountable,"*, "&amp;ResourceTable[[#This Row],[Resource Name]]&amp;",*"))</calculatedColumnFormula>
    </tableColumn>
    <tableColumn id="14" name="Consulted On">
      <calculatedColumnFormula>IF(ResourceTable[[#This Row],[Resource Name]]="","",COUNTIF(tsk_Consulted,ResourceTable[[#This Row],[Resource Name]])+COUNTIF(tsk_Consulted,ResourceTable[[#This Row],[Resource Name]]&amp;",*")+COUNTIF(tsk_Consulted,"*, "&amp;ResourceTable[[#This Row],[Resource Name]])+COUNTIF(tsk_Consulted,"*, "&amp;ResourceTable[[#This Row],[Resource Name]]&amp;",*"))</calculatedColumnFormula>
    </tableColumn>
    <tableColumn id="15" name="Informed Of">
      <calculatedColumnFormula>IF(ResourceTable[[#This Row],[Resource Name]]="","",COUNTIF(tsk_Informed,ResourceTable[[#This Row],[Resource Name]])+COUNTIF(tsk_Informed,ResourceTable[[#This Row],[Resource Name]]&amp;",*")+COUNTIF(tsk_Informed,"*, "&amp;ResourceTable[[#This Row],[Resource Name]])+COUNTIF(tsk_Informed,"*, "&amp;ResourceTable[[#This Row],[Resource Name]]&amp;",*"))</calculatedColumnFormula>
    </tableColumn>
    <tableColumn id="16" name="_Focus">
      <calculatedColumnFormula>IF(ResourceTable[[#This Row],[Focus %]]="",FocusFactor,N(ResourceTable[[#This Row],[Focus %]]))</calculatedColumnFormula>
    </tableColumn>
    <tableColumn id="17" name="Jan-26"/>
    <tableColumn id="18" name="Feb-26"/>
    <tableColumn id="19" name="Mar-26"/>
    <tableColumn id="20" name="Apr-26"/>
    <tableColumn id="21" name="May-26"/>
    <tableColumn id="22" name="Jun-26"/>
    <tableColumn id="23" name="Jul-26"/>
    <tableColumn id="24" name="Aug-26"/>
    <tableColumn id="25" name="Sep-26"/>
    <tableColumn id="26" name="Oct-26"/>
    <tableColumn id="27" name="Nov-26"/>
    <tableColumn id="28" name="Dec-26"/>
    <tableColumn id="29" name="Jan-27"/>
    <tableColumn id="30" name="Feb-27"/>
    <tableColumn id="31" name="Mar-27"/>
    <tableColumn id="32" name="Apr-27"/>
    <tableColumn id="33" name="May-27"/>
    <tableColumn id="34" name="Jun-27"/>
    <tableColumn id="35" name="Jul-27"/>
    <tableColumn id="36" name="Aug-27"/>
    <tableColumn id="37" name="Sep-27"/>
    <tableColumn id="38" name="Oct-27"/>
    <tableColumn id="39" name="Nov-27"/>
    <tableColumn id="40" name="Dec-27"/>
    <tableColumn id="41" name="Jan-28"/>
    <tableColumn id="42" name="Feb-28"/>
    <tableColumn id="43" name="Mar-28"/>
    <tableColumn id="44" name="Apr-28"/>
    <tableColumn id="45" name="May-28"/>
    <tableColumn id="46" name="Jun-28"/>
    <tableColumn id="47" name="Jul-28"/>
    <tableColumn id="48" name="Aug-28"/>
    <tableColumn id="49" name="Sep-28"/>
    <tableColumn id="50" name="Oct-28"/>
    <tableColumn id="51" name="Nov-28"/>
    <tableColumn id="52" name="Dec-28"/>
  </tableColumns>
  <tableStyleInfo name="TableStyleLight1" showRowStripes="0"/>
</table>
</file>

<file path=xl/tables/table30.xml><?xml version="1.0" encoding="utf-8"?>
<table xmlns="http://schemas.openxmlformats.org/spreadsheetml/2006/main" id="30" name="LeaveDays" displayName="LeaveDays" ref="B60:AL100" headerRowCount="1">
  <autoFilter ref="B60:AL100"/>
  <tableColumns count="37">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Also Typed Above">
      <calculatedColumnFormula>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calculatedColumnFormula>
    </tableColumn>
    <tableColumn id="36" name="_Key">
      <calculatedColumnFormula>LeaveDays[[#This Row],[Resource]]&amp;"|"&amp;LeaveDays[[#This Row],[Month]]</calculatedColumnFormula>
    </tableColumn>
    <tableColumn id="37" name="_MonthText">
      <calculatedColumnFormula>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calculatedColumnFormula>
    </tableColumn>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 Type="http://schemas.openxmlformats.org/officeDocument/2006/relationships/table" Target="/xl/tables/table2.xml" Id="rId3"/><Relationship Type="http://schemas.openxmlformats.org/officeDocument/2006/relationships/table" Target="/xl/tables/table3.xml" Id="rId4"/><Relationship Type="http://schemas.openxmlformats.org/officeDocument/2006/relationships/table" Target="/xl/tables/table4.xml" Id="rId5"/><Relationship Type="http://schemas.openxmlformats.org/officeDocument/2006/relationships/table" Target="/xl/tables/table5.xml" Id="rId6"/><Relationship Type="http://schemas.openxmlformats.org/officeDocument/2006/relationships/table" Target="/xl/tables/table6.xml" Id="rId7"/><Relationship Type="http://schemas.openxmlformats.org/officeDocument/2006/relationships/table" Target="/xl/tables/table7.xml" Id="rId8"/><Relationship Type="http://schemas.openxmlformats.org/officeDocument/2006/relationships/table" Target="/xl/tables/table8.xml" Id="rId9"/><Relationship Type="http://schemas.openxmlformats.org/officeDocument/2006/relationships/table" Target="/xl/tables/table9.xml" Id="rId10"/><Relationship Type="http://schemas.openxmlformats.org/officeDocument/2006/relationships/table" Target="/xl/tables/table10.xm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11.xml" Id="rId1"/><Relationship Type="http://schemas.openxmlformats.org/officeDocument/2006/relationships/table" Target="/xl/tables/table12.xml" Id="rId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13.xml" Id="rId1"/><Relationship Type="http://schemas.openxmlformats.org/officeDocument/2006/relationships/table" Target="/xl/tables/table14.xml" Id="rId2"/><Relationship Type="http://schemas.openxmlformats.org/officeDocument/2006/relationships/table" Target="/xl/tables/table15.xml" Id="rId3"/><Relationship Type="http://schemas.openxmlformats.org/officeDocument/2006/relationships/table" Target="/xl/tables/table16.xml" Id="rId4"/><Relationship Type="http://schemas.openxmlformats.org/officeDocument/2006/relationships/table" Target="/xl/tables/table17.xml" Id="rId5"/><Relationship Type="http://schemas.openxmlformats.org/officeDocument/2006/relationships/table" Target="/xl/tables/table18.xml" Id="rId6"/><Relationship Type="http://schemas.openxmlformats.org/officeDocument/2006/relationships/table" Target="/xl/tables/table19.xml" Id="rId7"/><Relationship Type="http://schemas.openxmlformats.org/officeDocument/2006/relationships/table" Target="/xl/tables/table20.xml" Id="rId8"/><Relationship Type="http://schemas.openxmlformats.org/officeDocument/2006/relationships/table" Target="/xl/tables/table21.xml" Id="rId9"/><Relationship Type="http://schemas.openxmlformats.org/officeDocument/2006/relationships/table" Target="/xl/tables/table22.xml" Id="rId10"/><Relationship Type="http://schemas.openxmlformats.org/officeDocument/2006/relationships/table" Target="/xl/tables/table23.xml" Id="rId11"/><Relationship Type="http://schemas.openxmlformats.org/officeDocument/2006/relationships/table" Target="/xl/tables/table24.xml" Id="rId12"/><Relationship Type="http://schemas.openxmlformats.org/officeDocument/2006/relationships/table" Target="/xl/tables/table25.xml" Id="rId13"/><Relationship Type="http://schemas.openxmlformats.org/officeDocument/2006/relationships/table" Target="/xl/tables/table26.xml" Id="rId14"/><Relationship Type="http://schemas.openxmlformats.org/officeDocument/2006/relationships/table" Target="/xl/tables/table27.xml" Id="rId15"/></Relationships>
</file>

<file path=xl/worksheets/_rels/sheet5.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table" Target="/xl/tables/table29.xml" Id="rId1"/><Relationship Type="http://schemas.openxmlformats.org/officeDocument/2006/relationships/table" Target="/xl/tables/table30.xml" Id="rId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rgb="001F4E78"/>
    <outlinePr summaryBelow="1" summaryRight="1"/>
    <pageSetUpPr/>
  </sheetPr>
  <dimension ref="A1:C76"/>
  <sheetViews>
    <sheetView workbookViewId="0">
      <pane ySplit="2" topLeftCell="A3" activePane="bottomLeft" state="frozen"/>
      <selection pane="bottomLeft" activeCell="A1" sqref="A1"/>
    </sheetView>
  </sheetViews>
  <sheetFormatPr baseColWidth="8" defaultRowHeight="15"/>
  <cols>
    <col width="3" customWidth="1" min="1" max="1"/>
    <col width="28" customWidth="1" min="2" max="2"/>
    <col width="110" customWidth="1" min="3" max="3"/>
  </cols>
  <sheetData>
    <row r="1">
      <c r="B1" s="1" t="inlineStr">
        <is>
          <t>Project Planner - start here</t>
        </is>
      </c>
    </row>
    <row r="2">
      <c r="B2" s="2" t="inlineStr">
        <is>
          <t>Blue = type here. Grey = calculated. Every sheet works in Excel alone: desktop, web and iPhone.</t>
        </is>
      </c>
    </row>
    <row r="3">
      <c r="B3" s="3" t="inlineStr">
        <is>
          <t>YOUR PROJECT</t>
        </is>
      </c>
      <c r="C3" s="4" t="n"/>
    </row>
    <row r="4">
      <c r="B4" s="5" t="inlineStr">
        <is>
          <t>Project name</t>
        </is>
      </c>
      <c r="C4" s="6" t="inlineStr">
        <is>
          <t>Customer Portal Implementation</t>
        </is>
      </c>
    </row>
    <row r="5">
      <c r="B5" s="5" t="inlineStr">
        <is>
          <t>Project manager</t>
        </is>
      </c>
      <c r="C5" s="6" t="inlineStr">
        <is>
          <t>Priya Sharma</t>
        </is>
      </c>
    </row>
    <row r="6">
      <c r="B6" s="5" t="inlineStr">
        <is>
          <t>Project start date</t>
        </is>
      </c>
      <c r="C6" s="7" t="n">
        <v>46272</v>
      </c>
    </row>
    <row r="7">
      <c r="B7" s="5" t="inlineStr">
        <is>
          <t>Working week</t>
        </is>
      </c>
      <c r="C7" s="6" t="inlineStr">
        <is>
          <t>Mon-Fri</t>
        </is>
      </c>
    </row>
    <row r="8">
      <c r="B8" s="5" t="inlineStr">
        <is>
          <t>Working hours per day</t>
        </is>
      </c>
      <c r="C8" s="8" t="n">
        <v>8</v>
      </c>
    </row>
    <row r="9">
      <c r="B9" s="5" t="inlineStr">
        <is>
          <t>Project type</t>
        </is>
      </c>
      <c r="C9" s="6" t="inlineStr">
        <is>
          <t>Software / Agile</t>
        </is>
      </c>
    </row>
    <row r="10"/>
    <row r="11">
      <c r="B11" s="3" t="inlineStr">
        <is>
          <t>QUICK START</t>
        </is>
      </c>
      <c r="C11" s="4" t="n"/>
    </row>
    <row r="12">
      <c r="B12" s="5" t="inlineStr">
        <is>
          <t>1. Your project</t>
        </is>
      </c>
      <c r="C12" s="9" t="inlineStr">
        <is>
          <t>Fill in the blue cells above: name, manager, start date, working week, hours per day and the project type (it sets the stages, sprint length and RAG thresholds). Everything else has a sensible default on Settings.  Go to Settings.</t>
        </is>
      </c>
    </row>
    <row r="13">
      <c r="B13" s="5" t="inlineStr">
        <is>
          <t>2. People</t>
        </is>
      </c>
      <c r="C13" s="9" t="inlineStr">
        <is>
          <t>List the people (or roles) with their Allocation %. Leave: type 1 (or 0.5) under each day off in the LEAVE BY DAY grid under the people (or type the days in a month column).  Go to Resources.</t>
        </is>
      </c>
    </row>
    <row r="14">
      <c r="B14" s="5" t="inlineStr">
        <is>
          <t>3. Tasks</t>
        </is>
      </c>
      <c r="C14" s="9" t="inlineStr">
        <is>
          <t>One row per task: Level (1 = phase, 2 = task ...), Task Name and Duration (3, 3d or 2w). Pick what must come first in Pred1 (a dropdown of the tasks above) and who does it in Res1; + opens links and people 2-4. Dates, the critical path, the Gantt and the reports follow.  Go to Tasks.</t>
        </is>
      </c>
    </row>
    <row r="15">
      <c r="B15" s="5" t="inlineStr">
        <is>
          <t>4. Check</t>
        </is>
      </c>
      <c r="C15" s="9" t="inlineStr">
        <is>
          <t>Fix anything in the Issues column (red), then look at the Gantt timeline to the right of the table (the link at the top of Tasks) and the Roadmap.  Go to Tasks.</t>
        </is>
      </c>
    </row>
    <row r="16">
      <c r="B16" s="5" t="inlineStr">
        <is>
          <t>5. Baseline</t>
        </is>
      </c>
      <c r="C16" s="9" t="inlineStr">
        <is>
          <t>When the plan is agreed, freeze it: on Tasks open the BASELINE section (+), copy the 4 'BL Source' columns and Paste Special &gt; Values onto the 4 Baseline columns.  Go to Tasks.</t>
        </is>
      </c>
    </row>
    <row r="17"/>
    <row r="18">
      <c r="B18" s="3" t="inlineStr">
        <is>
          <t>EVERY WEEK</t>
        </is>
      </c>
      <c r="C18" s="4" t="n"/>
    </row>
    <row r="19">
      <c r="B19" s="5" t="inlineStr">
        <is>
          <t>Status sheet</t>
        </is>
      </c>
      <c r="C19" s="9" t="inlineStr">
        <is>
          <t>Type the status date at the top of Status and follow its steps (progress on Tasks, the Log, the RAG, the commentary). Then the Check sheet, and the snapshot row on TakeSnapshot. A report in about ten minutes.  Go to Status.</t>
        </is>
      </c>
    </row>
    <row r="20"/>
    <row r="21">
      <c r="B21" s="3" t="inlineStr">
        <is>
          <t>REFERENCE</t>
        </is>
      </c>
      <c r="C21" s="4" t="n"/>
    </row>
    <row r="22"/>
    <row r="23">
      <c r="B23" s="3" t="inlineStr">
        <is>
          <t>REQUIREMENTS</t>
        </is>
      </c>
      <c r="C23" s="4" t="n"/>
    </row>
    <row r="24">
      <c r="B24" s="10" t="inlineStr">
        <is>
          <t>Excel version</t>
        </is>
      </c>
      <c r="C24" s="11" t="inlineStr">
        <is>
          <t>Excel 2019 or Microsoft 365 (Windows or Mac), or Excel for the web. No macros needed.</t>
        </is>
      </c>
    </row>
    <row r="25"/>
    <row r="26">
      <c r="B26" s="3" t="inlineStr">
        <is>
          <t>HOW IT WORKS</t>
        </is>
      </c>
      <c r="C26" s="4" t="n"/>
    </row>
    <row r="27">
      <c r="B27" s="10" t="inlineStr">
        <is>
          <t>1. Settings</t>
        </is>
      </c>
      <c r="C27" s="11" t="inlineStr">
        <is>
          <t>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is>
      </c>
    </row>
    <row r="28">
      <c r="B28" s="10" t="inlineStr">
        <is>
          <t>2. Resources</t>
        </is>
      </c>
      <c r="C28" s="11" t="inlineStr">
        <is>
          <t>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is>
      </c>
    </row>
    <row r="29">
      <c r="B29" s="10" t="inlineStr">
        <is>
          <t>3. Tasks</t>
        </is>
      </c>
      <c r="C29" s="11" t="inlineStr">
        <is>
          <t>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is>
      </c>
    </row>
    <row r="30">
      <c r="B30" s="10" t="inlineStr">
        <is>
          <t>4. Set the baseline</t>
        </is>
      </c>
      <c r="C30" s="11" t="inlineStr">
        <is>
          <t>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is>
      </c>
    </row>
    <row r="31">
      <c r="B31" s="10" t="inlineStr">
        <is>
          <t>5. Track progress</t>
        </is>
      </c>
      <c r="C31" s="11" t="inlineStr">
        <is>
          <t>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is>
      </c>
    </row>
    <row r="32">
      <c r="B32" s="10" t="inlineStr">
        <is>
          <t>Critical path</t>
        </is>
      </c>
      <c r="C32" s="11" t="inlineStr">
        <is>
          <t>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is>
      </c>
    </row>
    <row r="33">
      <c r="B33" s="10" t="inlineStr">
        <is>
          <t>6. Gantt</t>
        </is>
      </c>
      <c r="C33" s="11" t="inlineStr">
        <is>
          <t>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is>
      </c>
    </row>
    <row r="34">
      <c r="B34" s="10" t="inlineStr">
        <is>
          <t>6b. Roadmap</t>
        </is>
      </c>
      <c r="C34" s="11" t="inlineStr">
        <is>
          <t>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is>
      </c>
    </row>
    <row r="35">
      <c r="B35" s="10" t="inlineStr">
        <is>
          <t>8. Status</t>
        </is>
      </c>
      <c r="C35" s="11" t="inlineStr">
        <is>
          <t>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is>
      </c>
    </row>
    <row r="36">
      <c r="B36" s="10" t="inlineStr">
        <is>
          <t>Protected sheets</t>
        </is>
      </c>
      <c r="C36" s="11" t="inlineStr">
        <is>
          <t>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is>
      </c>
    </row>
    <row r="37">
      <c r="B37" s="10" t="inlineStr">
        <is>
          <t>Leave</t>
        </is>
      </c>
      <c r="C37" s="11" t="inlineStr">
        <is>
          <t>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is>
      </c>
    </row>
    <row r="38"/>
    <row r="39">
      <c r="B39" s="3" t="inlineStr">
        <is>
          <t>CELL COLOURS</t>
        </is>
      </c>
      <c r="C39" s="4" t="n"/>
    </row>
    <row r="40">
      <c r="B40" s="10" t="inlineStr">
        <is>
          <t>Blue text</t>
        </is>
      </c>
      <c r="C40" s="12" t="inlineStr">
        <is>
          <t>Input - type here.</t>
        </is>
      </c>
    </row>
    <row r="41">
      <c r="B41" s="10" t="inlineStr">
        <is>
          <t>Black text on grey</t>
        </is>
      </c>
      <c r="C41" s="13" t="inlineStr">
        <is>
          <t>Formula - do not overwrite. Summary rows grey-out inputs that are ignored.</t>
        </is>
      </c>
    </row>
    <row r="42">
      <c r="B42" s="10" t="inlineStr">
        <is>
          <t>Dark blue header</t>
        </is>
      </c>
      <c r="C42" s="11" t="inlineStr">
        <is>
          <t>Input column.  Dark grey header = calculated.  Light grey header = helper column (hidden, grouped).</t>
        </is>
      </c>
    </row>
    <row r="43">
      <c r="B43" s="10" t="inlineStr">
        <is>
          <t>Duration</t>
        </is>
      </c>
      <c r="C43" s="11" t="inlineStr">
        <is>
          <t>Working days: 3, 3d or 2w (a week = 5 working days); 0 = a milestone. Anything else (e.g. '2days') is refused when typed and flagged in Issues when pasted.</t>
        </is>
      </c>
    </row>
    <row r="44">
      <c r="B44" s="10" t="inlineStr">
        <is>
          <t>Printing</t>
        </is>
      </c>
      <c r="C44" s="11" t="inlineStr">
        <is>
          <t>Status, Roadmap, Resource Report and Check are set to print on one page wide, with the template version and page number in the footer.</t>
        </is>
      </c>
    </row>
    <row r="45">
      <c r="B45" s="10" t="inlineStr">
        <is>
          <t>Limits</t>
        </is>
      </c>
      <c r="C45" s="11" t="inlineStr">
        <is>
          <t>See README &gt; Limits: the predecessor rule (above its successor), 4 links and 4 people per task, the fixed grid sizes, and what needs a rebuild.</t>
        </is>
      </c>
    </row>
    <row r="46">
      <c r="B46" s="10" t="inlineStr">
        <is>
          <t>RACI</t>
        </is>
      </c>
      <c r="C46" s="11" t="inlineStr">
        <is>
          <t>Tasks &gt; RACI (+): Accountable (one person, from Resources), Consulted and Informed (names, comma-separated). Responsible is the task's Resources. Resources counts each person's tasks in each role.</t>
        </is>
      </c>
    </row>
    <row r="47">
      <c r="B47" s="10" t="inlineStr">
        <is>
          <t>Dependencies</t>
        </is>
      </c>
      <c r="C47" s="11" t="inlineStr">
        <is>
          <t>On the Log, a Dependency row with an Expected date and a Task UID shows the task's start and the gap in working days (negative = it arrives too late). Status lists the five latest against their task; Check counts the late ones.</t>
        </is>
      </c>
    </row>
    <row r="48">
      <c r="B48" s="10" t="inlineStr">
        <is>
          <t>Sandbox</t>
        </is>
      </c>
      <c r="C48" s="11" t="inlineStr">
        <is>
          <t>Try a what-if without touching the plan: type a Sandbox Duration on the tasks (Tasks &gt; ESTIMATES and SANDBOX), then Settings &gt; Sandbox = Yes. Every date and report follows; Status and Check say the sandbox is on. Set No to go back; the Sandbox Durations stay for next time.</t>
        </is>
      </c>
    </row>
    <row r="49">
      <c r="B49" s="10" t="inlineStr">
        <is>
          <t>Three-point estimates</t>
        </is>
      </c>
      <c r="C49" s="11" t="inlineStr">
        <is>
          <t>Optimistic and Pessimistic beside a task's Duration give its Expected duration ((O + 4 x Duration + P) / 6). Status shows the finish with a 50% (P50) and 80% (P80) chance, from the critical tasks' estimates.</t>
        </is>
      </c>
    </row>
    <row r="50">
      <c r="B50" s="10" t="inlineStr">
        <is>
          <t>Summary</t>
        </is>
      </c>
      <c r="C50" s="11" t="inlineStr">
        <is>
          <t>Status &gt; SUMMARY writes the status in one paragraph (RAG, finish, progress, late tasks, next milestone, top risk, late dependencies): copy it into the commentary and add the why.</t>
        </is>
      </c>
    </row>
    <row r="51"/>
    <row r="52">
      <c r="B52" s="3" t="inlineStr">
        <is>
          <t>RULES (same as MS Project)</t>
        </is>
      </c>
      <c r="C52" s="4" t="n"/>
    </row>
    <row r="53">
      <c r="B53" s="10" t="inlineStr">
        <is>
          <t>ID and UID</t>
        </is>
      </c>
      <c r="C53" s="11" t="inlineStr">
        <is>
          <t>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is>
      </c>
    </row>
    <row r="54">
      <c r="B54" s="10" t="inlineStr">
        <is>
          <t>Inserting tasks</t>
        </is>
      </c>
      <c r="C54" s="11" t="inlineStr">
        <is>
          <t>Tasks is an Excel Table: right-click a row &gt; Insert &gt; Table Rows Above (or type in the row under the table). Every formula fills in automatically. Set the new task's UID to Settings &gt; NextFreeUID (also shown at the top of Tasks).</t>
        </is>
      </c>
    </row>
    <row r="55">
      <c r="B55" s="10" t="inlineStr">
        <is>
          <t>Outline levels</t>
        </is>
      </c>
      <c r="C55" s="11" t="inlineStr">
        <is>
          <t>Each row's Level may be at most 1 higher than the row above. A '?' in WBS (red) means a level jump.</t>
        </is>
      </c>
    </row>
    <row r="56">
      <c r="B56" s="10" t="inlineStr">
        <is>
          <t>Predecessors</t>
        </is>
      </c>
      <c r="C56" s="11" t="inlineStr">
        <is>
          <t>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is>
      </c>
    </row>
    <row r="57">
      <c r="B57" s="10" t="inlineStr">
        <is>
          <t>Mode</t>
        </is>
      </c>
      <c r="C57" s="11" t="inlineStr">
        <is>
          <t>Auto = scheduled from predecessors, project start and the constraint. Manual = pinned to the Constraint Date.</t>
        </is>
      </c>
    </row>
    <row r="58">
      <c r="B58" s="10" t="inlineStr">
        <is>
          <t>Constraints</t>
        </is>
      </c>
      <c r="C58" s="11" t="inlineStr">
        <is>
          <t>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is>
      </c>
    </row>
    <row r="59">
      <c r="B59" s="10" t="inlineStr">
        <is>
          <t>Rescheduling</t>
        </is>
      </c>
      <c r="C59" s="11" t="inlineStr">
        <is>
          <t>Settings &gt; RescheduleAfterStatus = Yes moves incomplete work to after the status date (like MS Project 'Update Project'), so late tasks push successors.</t>
        </is>
      </c>
    </row>
    <row r="60">
      <c r="B60" s="10" t="inlineStr">
        <is>
          <t>Pasting rows</t>
        </is>
      </c>
      <c r="C60" s="11" t="inlineStr">
        <is>
          <t>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is>
      </c>
    </row>
    <row r="61">
      <c r="B61" s="10" t="inlineStr">
        <is>
          <t>Capacity</t>
        </is>
      </c>
      <c r="C61" s="11" t="inlineStr">
        <is>
          <t>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is>
      </c>
    </row>
    <row r="62">
      <c r="B62" s="10" t="inlineStr">
        <is>
          <t>Speed</t>
        </is>
      </c>
      <c r="C62" s="11" t="inlineStr">
        <is>
          <t>An edit recalculates in well under a second for typical plans (about 0.05 s for 200 tasks). Each change to the build is timed in CI; see docs/ARCHITECTURE.md in the repository. Keep the status date typed (not =TODAY()), which would recalculate everything after every edit.</t>
        </is>
      </c>
    </row>
    <row r="63">
      <c r="B63" s="10" t="inlineStr">
        <is>
          <t>Views not updating?</t>
        </is>
      </c>
      <c r="C63" s="11" t="inlineStr">
        <is>
          <t>Formulas &gt; Calculation Options must be Automatic. Excel takes the mode from the first workbook opened in a session, so another workbook in Manual mode makes this one manual too: switch back to Automatic, or press F9 to recalculate.</t>
        </is>
      </c>
    </row>
    <row r="64"/>
    <row r="65">
      <c r="B65" s="3" t="inlineStr">
        <is>
          <t>MOVING TO MICROSOFT PROJECT</t>
        </is>
      </c>
      <c r="C65" s="4" t="n"/>
    </row>
    <row r="66">
      <c r="B66" s="10" t="inlineStr">
        <is>
          <t>Best: MS Project XML</t>
        </is>
      </c>
      <c r="C66" s="11" t="inlineStr">
        <is>
          <t>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is>
      </c>
    </row>
    <row r="67">
      <c r="B67" s="10" t="inlineStr">
        <is>
          <t>From MS Project</t>
        </is>
      </c>
      <c r="C67" s="11" t="inlineStr">
        <is>
          <t>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is>
      </c>
    </row>
    <row r="68">
      <c r="B68" s="10" t="inlineStr">
        <is>
          <t>Upgrading</t>
        </is>
      </c>
      <c r="C68" s="11" t="inlineStr">
        <is>
          <t>To move a plan made with an older version of this template into the latest one, choose the old workbook on docs/export.html with 'Move to the latest template' (or run python scripts/upgrade_planner.py old.xlsx new.xlsx). Everything you typed is carried over.</t>
        </is>
      </c>
    </row>
    <row r="69"/>
    <row r="70">
      <c r="B70" s="3" t="inlineStr">
        <is>
          <t>NAMES AND TABLES (Formulas &gt; Name Manager)</t>
        </is>
      </c>
      <c r="C70" s="4" t="n"/>
    </row>
    <row r="71">
      <c r="B71" s="10" t="inlineStr">
        <is>
          <t>Tables</t>
        </is>
      </c>
      <c r="C71" s="11" t="inlineStr">
        <is>
          <t>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is>
      </c>
    </row>
    <row r="72">
      <c r="B72" s="10" t="inlineStr">
        <is>
          <t>Settings</t>
        </is>
      </c>
      <c r="C72" s="11" t="inlineStr">
        <is>
          <t>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is>
      </c>
    </row>
    <row r="73">
      <c r="B73" s="10" t="inlineStr">
        <is>
          <t>Task columns</t>
        </is>
      </c>
      <c r="C73" s="11" t="inlineStr">
        <is>
          <t>tsk_ID, tsk_UID, tsk_WBS, tsk_Name, tsk_Duration, tsk_PlanStart, tsk_FcFinish, tsk_Status, tsk_Resource, tsk_Work, tsk_Stage ... each is Tasks[Column], so it grows with the table. Other sheets read Tasks only through these names.</t>
        </is>
      </c>
    </row>
    <row r="74">
      <c r="B74" s="10" t="inlineStr">
        <is>
          <t>Key formulas</t>
        </is>
      </c>
      <c r="C74" s="11" t="inlineStr">
        <is>
          <t>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is>
      </c>
    </row>
    <row r="75"/>
    <row r="76">
      <c r="B76" s="2">
        <f>"Project Planner template "&amp;TemplateVersion&amp;"  -  Excel 2019 or Microsoft 365, desktop, web and iPhone. No macros."</f>
        <v/>
      </c>
    </row>
  </sheetData>
  <sheetProtection selectLockedCells="0" selectUnlockedCells="0" sheet="1" objects="0" insertRows="1" insertHyperlinks="1" autoFilter="0" scenarios="0" formatColumns="0" deleteColumns="1" insertColumns="1" pivotTables="1" deleteRows="1" formatCells="1" formatRows="0" sort="0"/>
  <conditionalFormatting sqref="C6">
    <cfRule type="expression" priority="1" dxfId="0">
      <formula>N(C6)=0</formula>
    </cfRule>
  </conditionalFormatting>
  <dataValidations count="6">
    <dataValidation sqref="C4" showDropDown="0" showInputMessage="1" showErrorMessage="0" allowBlank="1" promptTitle="Project name" prompt="Shown on every sheet title."/>
    <dataValidation sqref="C5" showDropDown="0" showInputMessage="1" showErrorMessage="0" allowBlank="1" promptTitle="Project manager" prompt=""/>
    <dataValidation sqref="C6" showDropDown="0" showInputMessage="1" showErrorMessage="0" allowBlank="1" promptTitle="Project start date" prompt="Required. Tasks without predecessors start here (moved to the next working day if needed)."/>
    <dataValidation sqref="C7" showDropDown="0" showInputMessage="1" showErrorMessage="0" allowBlank="0" promptTitle="Working week" prompt="Mon-Fri, Sun-Thu or Mon-Sat. Custom = the seven day rows on Settings." type="list">
      <formula1>=L_WorkingWeek</formula1>
    </dataValidation>
    <dataValidation sqref="C8" showDropDown="0" showInputMessage="1" showErrorMessage="0" allowBlank="0" promptTitle="Working hours per day" prompt="Work (hrs) = Duration x Hours/day x Units." type="decimal" operator="between">
      <formula1>1</formula1>
      <formula2>24</formula2>
    </dataValidation>
    <dataValidation sqref="C9" showDropDown="0" showInputMessage="1" showErrorMessage="0" allowBlank="0" promptTitle="Project type" prompt="Sets the defaults for the stages (Settings &gt; Stages), the sprint length and the RAG slip thresholds: Software / Agile, Construction, IT infrastructure. Pick it first; each default stays editable (type over it)." type="list">
      <formula1>=L_ProjectType</formula1>
    </dataValidation>
  </dataValidations>
  <hyperlinks>
    <hyperlink ref="C12" location="'Settings'!A1"/>
    <hyperlink ref="C13" location="'Resources'!A1"/>
    <hyperlink ref="C14" location="'Tasks'!A1"/>
    <hyperlink ref="C15" location="'Tasks'!A1"/>
    <hyperlink ref="C16" location="'Tasks'!A1"/>
    <hyperlink ref="C19" location="'Status'!A1"/>
  </hyperlinks>
  <pageMargins left="0.75" right="0.75" top="1" bottom="1" header="0.5" footer="0.5"/>
  <headerFooter>
    <oddHeader/>
    <oddFooter>&amp;LProject Planner template 1.1 M365</oddFooter>
    <evenHeader/>
    <evenFooter/>
    <firstHeader/>
    <firstFooter/>
  </headerFooter>
</worksheet>
</file>

<file path=xl/worksheets/sheet2.xml><?xml version="1.0" encoding="utf-8"?>
<worksheet xmlns="http://schemas.openxmlformats.org/spreadsheetml/2006/main">
  <sheetPr>
    <tabColor rgb="00548235"/>
    <outlinePr summaryBelow="1" summaryRight="1"/>
    <pageSetUpPr fitToPage="1"/>
  </sheetPr>
  <dimension ref="A1:H90"/>
  <sheetViews>
    <sheetView workbookViewId="0">
      <pane ySplit="3" topLeftCell="A4" activePane="bottomLeft" state="frozen"/>
      <selection pane="bottomLeft" activeCell="A1" sqref="A1"/>
    </sheetView>
  </sheetViews>
  <sheetFormatPr baseColWidth="8" defaultRowHeight="15"/>
  <cols>
    <col hidden="1" width="4" customWidth="1" min="1" max="1"/>
    <col width="36" customWidth="1" min="2" max="2"/>
    <col width="56" customWidth="1" min="3" max="3"/>
    <col width="16" customWidth="1" min="4" max="4"/>
    <col width="12" customWidth="1" min="5" max="5"/>
    <col width="10" customWidth="1" min="6" max="6"/>
    <col width="16" customWidth="1" min="7" max="7"/>
    <col width="50" customWidth="1" min="8" max="8"/>
  </cols>
  <sheetData>
    <row r="1">
      <c r="B1" s="14">
        <f>ProjectName&amp;"  -  Status"</f>
        <v/>
      </c>
    </row>
    <row r="2">
      <c r="B2" s="2">
        <f>"Project manager: "&amp;ProjectManager&amp;"   Forecast finish "&amp;TEXT(ProjectFinish,"ddd dd-mmm-yyyy")&amp;" ("&amp;TEXT(FinishVarianceDays,"+0;-0;0")&amp;" working days vs plan)"</f>
        <v/>
      </c>
    </row>
    <row r="3">
      <c r="B3" s="15">
        <f>IF(Sandbox="Yes","SANDBOX ON (Settings &gt; Sandbox): every date and figure here is a what-if, not the plan.",IF(LiveGrids="No","Resource grids are OFF (Settings &gt; Live resource grids): the Resource Report and Tasks &gt; Over-allocated are not up to date.",""))</f>
        <v/>
      </c>
    </row>
    <row r="4">
      <c r="B4" s="3" t="inlineStr">
        <is>
          <t>THIS WEEK</t>
        </is>
      </c>
      <c r="C4" s="3" t="inlineStr">
        <is>
          <t>Every reporting date, top to bottom</t>
        </is>
      </c>
    </row>
    <row r="5">
      <c r="B5" s="5" t="inlineStr">
        <is>
          <t>1. Status date</t>
        </is>
      </c>
      <c r="C5" s="7" t="n">
        <v>46320</v>
      </c>
      <c r="D5" s="2" t="inlineStr">
        <is>
          <t>Type the reporting date (Ctrl+; = today)</t>
        </is>
      </c>
    </row>
    <row r="6" ht="30" customHeight="1">
      <c r="B6" s="5" t="inlineStr">
        <is>
          <t>2. Progress</t>
        </is>
      </c>
      <c r="C6" s="9" t="inlineStr">
        <is>
          <t>On Tasks: the Stage, Actual Start and Actual Finish for the tasks that moved.  Go to Tasks.</t>
        </is>
      </c>
    </row>
    <row r="7" ht="30" customHeight="1">
      <c r="B7" s="5" t="inlineStr">
        <is>
          <t>4. RAG</t>
        </is>
      </c>
      <c r="C7" s="16" t="inlineStr">
        <is>
          <t>Review the RAG below; where you disagree, pick a PM RAG and say why in Comment.</t>
        </is>
      </c>
    </row>
    <row r="8" ht="30" customHeight="1">
      <c r="B8" s="5" t="inlineStr">
        <is>
          <t>5. Commentary</t>
        </is>
      </c>
      <c r="C8" s="16" t="inlineStr">
        <is>
          <t>Write this period's notes in the COMMENTARY table below.</t>
        </is>
      </c>
    </row>
    <row r="9"/>
    <row r="10"/>
    <row r="11"/>
    <row r="12"/>
    <row r="13">
      <c r="B13" s="17" t="inlineStr">
        <is>
          <t>Area</t>
        </is>
      </c>
      <c r="C13" s="17" t="inlineStr">
        <is>
          <t>Measure</t>
        </is>
      </c>
      <c r="D13" s="17" t="inlineStr">
        <is>
          <t>Value</t>
        </is>
      </c>
      <c r="E13" s="17" t="inlineStr">
        <is>
          <t>Calculated</t>
        </is>
      </c>
      <c r="F13" s="18" t="inlineStr">
        <is>
          <t>PM RAG</t>
        </is>
      </c>
      <c r="G13" s="17" t="inlineStr">
        <is>
          <t>RAG</t>
        </is>
      </c>
      <c r="H13" s="18" t="inlineStr">
        <is>
          <t>Comment</t>
        </is>
      </c>
    </row>
    <row r="14">
      <c r="B14" s="19" t="inlineStr">
        <is>
          <t>Overall</t>
        </is>
      </c>
      <c r="C14" s="20" t="inlineStr">
        <is>
          <t>Worst of the areas below</t>
        </is>
      </c>
      <c r="D14" s="20">
        <f>COUNTIF(StatusRAG[RAG],"Red")&amp;" red, "&amp;COUNTIF(StatusRAG[RAG],"Amber")&amp;" amber"</f>
        <v/>
      </c>
      <c r="E14" s="21">
        <f>CHOOSE(MAX(IF(COUNTIF(StatusRAG[RAG],"Red")&gt;0,2,0),IF(COUNTIF(StatusRAG[RAG],"Amber")&gt;0,1,0))+1,"Green","Amber","Red")</f>
        <v/>
      </c>
      <c r="F14" s="22" t="n"/>
      <c r="G14" s="21">
        <f>IF(OverallStatus[[#This Row],[PM RAG]]&lt;&gt;"",OverallStatus[[#This Row],[PM RAG]],OverallStatus[[#This Row],[Calculated]])</f>
        <v/>
      </c>
      <c r="H14" s="23" t="n"/>
    </row>
    <row r="15">
      <c r="B15" s="5" t="n"/>
    </row>
    <row r="16">
      <c r="B16" s="24" t="inlineStr">
        <is>
          <t>Area</t>
        </is>
      </c>
      <c r="C16" s="17" t="inlineStr">
        <is>
          <t>Measure</t>
        </is>
      </c>
      <c r="D16" s="17" t="inlineStr">
        <is>
          <t>Value</t>
        </is>
      </c>
      <c r="E16" s="17" t="inlineStr">
        <is>
          <t>Calculated</t>
        </is>
      </c>
      <c r="F16" s="18" t="inlineStr">
        <is>
          <t>PM RAG</t>
        </is>
      </c>
      <c r="G16" s="17" t="inlineStr">
        <is>
          <t>RAG</t>
        </is>
      </c>
      <c r="H16" s="18" t="inlineStr">
        <is>
          <t>Comment</t>
        </is>
      </c>
    </row>
    <row r="17">
      <c r="B17" s="19" t="inlineStr">
        <is>
          <t>Schedule</t>
        </is>
      </c>
      <c r="C17" s="20" t="inlineStr">
        <is>
          <t>Forecast finish vs plan (working days)</t>
        </is>
      </c>
      <c r="D17" s="25">
        <f>FinishVarianceDays</f>
        <v/>
      </c>
      <c r="E17" s="21">
        <f>CHOOSE(IF(N(StatusRAG[[#This Row],[Value]])&gt;=RAGRedSlipDays,2,IF(N(StatusRAG[[#This Row],[Value]])&gt;=RAGAmberSlipDays,1,0))+1,"Green","Amber","Red")</f>
        <v/>
      </c>
      <c r="F17" s="22" t="n"/>
      <c r="G17" s="21">
        <f>IF(StatusRAG[[#This Row],[PM RAG]]&lt;&gt;"",StatusRAG[[#This Row],[PM RAG]],StatusRAG[[#This Row],[Calculated]])</f>
        <v/>
      </c>
      <c r="H17" s="23" t="n"/>
    </row>
    <row r="18">
      <c r="B18" s="19" t="inlineStr">
        <is>
          <t>Schedule performance</t>
        </is>
      </c>
      <c r="C18" s="20" t="inlineStr">
        <is>
          <t>SPI = progress / progress planned by now (duration-weighted)</t>
        </is>
      </c>
      <c r="D18" s="26">
        <f>sch_SPI</f>
        <v/>
      </c>
      <c r="E18" s="21">
        <f>CHOOSE(IF(ISNUMBER(StatusRAG[[#This Row],[Value]]),IF(StatusRAG[[#This Row],[Value]]&lt;RAGRedIndex,2,IF(StatusRAG[[#This Row],[Value]]&lt;RAGAmberIndex,1,0)),0)+1,"Green","Amber","Red")</f>
        <v/>
      </c>
      <c r="F18" s="22" t="n"/>
      <c r="G18" s="21">
        <f>IF(StatusRAG[[#This Row],[PM RAG]]&lt;&gt;"",StatusRAG[[#This Row],[PM RAG]],StatusRAG[[#This Row],[Calculated]])</f>
        <v/>
      </c>
      <c r="H18" s="23" t="n"/>
    </row>
    <row r="19">
      <c r="B19" s="19" t="inlineStr">
        <is>
          <t>Deadlines</t>
        </is>
      </c>
      <c r="C19" s="20" t="inlineStr">
        <is>
          <t>Tasks forecast to miss their deadline</t>
        </is>
      </c>
      <c r="D19" s="27">
        <f>COUNTIF(tsk_DeadlineCheck,"Late*")</f>
        <v/>
      </c>
      <c r="E19" s="21">
        <f>CHOOSE(IF(N(StatusRAG[[#This Row],[Value]])&gt;0,2,0)+1,"Green","Amber","Red")</f>
        <v/>
      </c>
      <c r="F19" s="22" t="n"/>
      <c r="G19" s="21">
        <f>IF(StatusRAG[[#This Row],[PM RAG]]&lt;&gt;"",StatusRAG[[#This Row],[PM RAG]],StatusRAG[[#This Row],[Calculated]])</f>
        <v/>
      </c>
      <c r="H19" s="23" t="n"/>
    </row>
    <row r="20">
      <c r="B20" s="19" t="inlineStr">
        <is>
          <t>Critical path</t>
        </is>
      </c>
      <c r="C20" s="20" t="inlineStr">
        <is>
          <t>Critical tasks forecast to finish late</t>
        </is>
      </c>
      <c r="D20" s="27">
        <f>COUNTIFS(tsk_Critical,"Yes",tsk_IsLeaf,1,tsk_Variance,"&gt;0")</f>
        <v/>
      </c>
      <c r="E20" s="21">
        <f>CHOOSE(IF(N(StatusRAG[[#This Row],[Value]])&gt;0,1,0)+1,"Green","Amber","Red")</f>
        <v/>
      </c>
      <c r="F20" s="22" t="n"/>
      <c r="G20" s="21">
        <f>IF(StatusRAG[[#This Row],[PM RAG]]&lt;&gt;"",StatusRAG[[#This Row],[PM RAG]],StatusRAG[[#This Row],[Calculated]])</f>
        <v/>
      </c>
      <c r="H20" s="23" t="n"/>
    </row>
    <row r="21">
      <c r="B21" s="19" t="inlineStr">
        <is>
          <t>Plan quality</t>
        </is>
      </c>
      <c r="C21" s="20" t="inlineStr">
        <is>
          <t>Ignored links and outline errors (see Tasks)</t>
        </is>
      </c>
      <c r="D21" s="27">
        <f>COUNTIF(tsk_LinkCheck,"?*")+COUNTIF(tsk_WBS,"~?")</f>
        <v/>
      </c>
      <c r="E21" s="21">
        <f>CHOOSE(IF(N(StatusRAG[[#This Row],[Value]])&gt;0,1,0)+1,"Green","Amber","Red")</f>
        <v/>
      </c>
      <c r="F21" s="22" t="n"/>
      <c r="G21" s="21">
        <f>IF(StatusRAG[[#This Row],[PM RAG]]&lt;&gt;"",StatusRAG[[#This Row],[PM RAG]],StatusRAG[[#This Row],[Calculated]])</f>
        <v/>
      </c>
      <c r="H21" s="23" t="n"/>
    </row>
    <row r="22"/>
    <row r="23">
      <c r="B23" s="28" t="inlineStr">
        <is>
          <t>SUMMARY (automatic: copy it into the commentary below and add the why)</t>
        </is>
      </c>
    </row>
    <row r="24" ht="48" customHeight="1">
      <c r="B24" s="11">
        <f>"Overall "&amp;UPPER(INDEX(ProjectRAG,1))&amp;". Forecast finish "&amp;TEXT(ProjectFinish,"dd-mmm-yyyy")&amp;IF(FinishVarianceDays&gt;0,", "&amp;FinishVarianceDays&amp;" working days later than planned",IF(FinishVarianceDays&lt;0,", "&amp;-FinishVarianceDays&amp;" working days ahead of plan",", on plan"))&amp;". "&amp;"Progress "&amp;TEXT(sch_Progress,"0%")&amp;" against "&amp;TEXT(sch_Planned,"0%")&amp;" planned. "&amp;IF(COUNT(tsk_LateKey)=0,"No tasks late. ",COUNT(tsk_LateKey)&amp;IF(COUNT(tsk_LateKey)=1," task"," tasks")&amp;" late. ")&amp;IFERROR("Next milestone: "&amp;INDEX(tsk_Name,MATCH(SMALL(tsk_MilestoneKey,1),tsk_MilestoneKey,0))&amp;" on "&amp;TEXT(INDEX(tsk_FcFinish,MATCH(SMALL(tsk_MilestoneKey,1),tsk_MilestoneKey,0)),"dd-mmm")&amp;". ","")&amp;IF(Sandbox="Yes","(SANDBOX: what-if dates.)","")</f>
        <v/>
      </c>
    </row>
    <row r="25"/>
    <row r="26">
      <c r="B26" s="28" t="inlineStr">
        <is>
          <t>KEY FIGURES</t>
        </is>
      </c>
    </row>
    <row r="27">
      <c r="B27" s="17" t="inlineStr">
        <is>
          <t>Measure</t>
        </is>
      </c>
      <c r="C27" s="17" t="inlineStr">
        <is>
          <t>Source</t>
        </is>
      </c>
      <c r="D27" s="17" t="inlineStr">
        <is>
          <t>Value</t>
        </is>
      </c>
      <c r="E27" s="17" t="inlineStr">
        <is>
          <t>Status</t>
        </is>
      </c>
      <c r="F27" s="17" t="inlineStr">
        <is>
          <t>Count</t>
        </is>
      </c>
    </row>
    <row r="28">
      <c r="B28" s="19" t="inlineStr">
        <is>
          <t>Planned start</t>
        </is>
      </c>
      <c r="C28" s="20" t="inlineStr">
        <is>
          <t>Tasks</t>
        </is>
      </c>
      <c r="D28" s="29">
        <f>MIN(tsk_PlanStart)</f>
        <v/>
      </c>
      <c r="E28" s="30" t="inlineStr">
        <is>
          <t>Complete</t>
        </is>
      </c>
      <c r="F28" s="19">
        <f>COUNTIFS(tsk_Status,StatusSummary[[#This Row],[Status]],tsk_IsLeaf,1)</f>
        <v/>
      </c>
    </row>
    <row r="29">
      <c r="B29" s="19" t="inlineStr">
        <is>
          <t>Planned finish</t>
        </is>
      </c>
      <c r="C29" s="20" t="inlineStr">
        <is>
          <t>Tasks (the baseline once it is set)</t>
        </is>
      </c>
      <c r="D29" s="29">
        <f>MAX(tsk_PlanFinish)</f>
        <v/>
      </c>
      <c r="E29" s="31" t="inlineStr">
        <is>
          <t>In Progress</t>
        </is>
      </c>
      <c r="F29" s="19">
        <f>COUNTIFS(tsk_Status,StatusSummary[[#This Row],[Status]],tsk_IsLeaf,1)</f>
        <v/>
      </c>
    </row>
    <row r="30">
      <c r="B30" s="19" t="inlineStr">
        <is>
          <t>Forecast finish</t>
        </is>
      </c>
      <c r="C30" s="20" t="inlineStr">
        <is>
          <t>Tasks</t>
        </is>
      </c>
      <c r="D30" s="29">
        <f>MAX(tsk_FcFinish)</f>
        <v/>
      </c>
      <c r="E30" s="32" t="inlineStr">
        <is>
          <t>Behind</t>
        </is>
      </c>
      <c r="F30" s="19">
        <f>COUNTIFS(tsk_Status,StatusSummary[[#This Row],[Status]],tsk_IsLeaf,1)</f>
        <v/>
      </c>
    </row>
    <row r="31">
      <c r="B31" s="19" t="inlineStr">
        <is>
          <t>Overall progress (duration-weighted)</t>
        </is>
      </c>
      <c r="C31" s="20" t="inlineStr">
        <is>
          <t>Tasks</t>
        </is>
      </c>
      <c r="D31" s="33">
        <f>IFERROR(SUM(tsk_WtDone)/SUM(tsk_WtDur),0)</f>
        <v/>
      </c>
      <c r="E31" s="34" t="inlineStr">
        <is>
          <t>Late Start</t>
        </is>
      </c>
      <c r="F31" s="19">
        <f>COUNTIFS(tsk_Status,StatusSummary[[#This Row],[Status]],tsk_IsLeaf,1)</f>
        <v/>
      </c>
    </row>
    <row r="32">
      <c r="B32" s="19" t="inlineStr">
        <is>
          <t>Planned progress by status date</t>
        </is>
      </c>
      <c r="C32" s="20" t="inlineStr">
        <is>
          <t>Tasks</t>
        </is>
      </c>
      <c r="D32" s="33">
        <f>IFERROR(SUM(tsk_WtPlanned)/SUM(tsk_WtDur),0)</f>
        <v/>
      </c>
      <c r="E32" s="35" t="inlineStr">
        <is>
          <t>Not Started</t>
        </is>
      </c>
      <c r="F32" s="19">
        <f>COUNTIFS(tsk_Status,StatusSummary[[#This Row],[Status]],tsk_IsLeaf,1)</f>
        <v/>
      </c>
    </row>
    <row r="33">
      <c r="B33" s="19" t="inlineStr">
        <is>
          <t>Schedule performance (SPI)</t>
        </is>
      </c>
      <c r="C33" s="20" t="inlineStr">
        <is>
          <t>Progress / planned progress</t>
        </is>
      </c>
      <c r="D33" s="36">
        <f>IF(sch_Planned&gt;0,sch_Progress/sch_Planned,"")</f>
        <v/>
      </c>
    </row>
    <row r="34">
      <c r="B34" s="19" t="inlineStr">
        <is>
          <t>Detail tasks</t>
        </is>
      </c>
      <c r="C34" s="20" t="inlineStr">
        <is>
          <t>Tasks</t>
        </is>
      </c>
      <c r="D34" s="37">
        <f>SUM(tsk_IsLeaf)</f>
        <v/>
      </c>
    </row>
    <row r="35">
      <c r="B35" s="19" t="inlineStr">
        <is>
          <t>Milestones</t>
        </is>
      </c>
      <c r="C35" s="20" t="inlineStr">
        <is>
          <t>Tasks</t>
        </is>
      </c>
      <c r="D35" s="37">
        <f>SUMPRODUCT(tsk_IsLeaf*(tsk_Duration=0)*(tsk_Name&lt;&gt;""))</f>
        <v/>
      </c>
    </row>
    <row r="36">
      <c r="B36" s="19" t="inlineStr">
        <is>
          <t>Total work (hrs)</t>
        </is>
      </c>
      <c r="C36" s="20" t="inlineStr">
        <is>
          <t>Tasks</t>
        </is>
      </c>
      <c r="D36" s="38">
        <f>SUMPRODUCT(tsk_Work,tsk_IsLeaf)</f>
        <v/>
      </c>
    </row>
    <row r="37">
      <c r="B37" s="19" t="inlineStr">
        <is>
          <t>Baseline</t>
        </is>
      </c>
      <c r="C37" s="20" t="inlineStr">
        <is>
          <t>Tasks &gt; BASELINE</t>
        </is>
      </c>
      <c r="D37" s="39">
        <f>IF(COUNT(tsk_BaseStart)=0,"Not set (planned = calculated)","Set on "&amp;COUNT(tsk_BaseStart)&amp;" tasks")</f>
        <v/>
      </c>
    </row>
    <row r="38">
      <c r="B38" s="19" t="inlineStr">
        <is>
          <t>Open critical tasks</t>
        </is>
      </c>
      <c r="C38" s="20" t="inlineStr">
        <is>
          <t>Tasks</t>
        </is>
      </c>
      <c r="D38" s="37">
        <f>COUNTIFS(tsk_Critical,"Yes",tsk_IsLeaf,1)</f>
        <v/>
      </c>
    </row>
    <row r="39">
      <c r="B39" s="19" t="inlineStr">
        <is>
          <t>Tasks with issues (see Tasks &gt; Issues)</t>
        </is>
      </c>
      <c r="C39" s="20" t="inlineStr">
        <is>
          <t>Tasks &gt; Issues</t>
        </is>
      </c>
      <c r="D39" s="37">
        <f>COUNTIF(tsk_Issues,"?*")</f>
        <v/>
      </c>
    </row>
    <row r="40">
      <c r="B40" s="19" t="inlineStr">
        <is>
          <t>Finish P50 (three-point estimates)</t>
        </is>
      </c>
      <c r="C40" s="20" t="inlineStr">
        <is>
          <t>Tasks &gt; ESTIMATES</t>
        </is>
      </c>
      <c r="D40" s="29">
        <f>PertP50</f>
        <v/>
      </c>
    </row>
    <row r="41">
      <c r="B41" s="19" t="inlineStr">
        <is>
          <t>Finish P80 (three-point estimates)</t>
        </is>
      </c>
      <c r="C41" s="20" t="inlineStr">
        <is>
          <t>Tasks &gt; ESTIMATES</t>
        </is>
      </c>
      <c r="D41" s="29">
        <f>PertP80</f>
        <v/>
      </c>
    </row>
    <row r="42"/>
    <row r="43"/>
    <row r="44">
      <c r="B44" s="17" t="inlineStr">
        <is>
          <t>Next milestones (forecast)</t>
        </is>
      </c>
      <c r="C44" s="17" t="inlineStr">
        <is>
          <t>Forecast date</t>
        </is>
      </c>
    </row>
    <row r="45">
      <c r="B45" s="20">
        <f>IFERROR(INDEX(tsk_Name,MATCH(SMALL(tsk_MilestoneKey,(ROW()-ROW(NextMilestones[[#Headers],[Next milestones (forecast)]]))),tsk_MilestoneKey,0)),"")</f>
        <v/>
      </c>
      <c r="C45" s="40">
        <f>IFERROR(INDEX(tsk_FcFinish,MATCH(SMALL(tsk_MilestoneKey,(ROW()-ROW(NextMilestones[[#Headers],[Next milestones (forecast)]]))),tsk_MilestoneKey,0)),"")</f>
        <v/>
      </c>
    </row>
    <row r="46">
      <c r="B46" s="20">
        <f>IFERROR(INDEX(tsk_Name,MATCH(SMALL(tsk_MilestoneKey,(ROW()-ROW(NextMilestones[[#Headers],[Next milestones (forecast)]]))),tsk_MilestoneKey,0)),"")</f>
        <v/>
      </c>
      <c r="C46" s="40">
        <f>IFERROR(INDEX(tsk_FcFinish,MATCH(SMALL(tsk_MilestoneKey,(ROW()-ROW(NextMilestones[[#Headers],[Next milestones (forecast)]]))),tsk_MilestoneKey,0)),"")</f>
        <v/>
      </c>
    </row>
    <row r="47">
      <c r="B47" s="20">
        <f>IFERROR(INDEX(tsk_Name,MATCH(SMALL(tsk_MilestoneKey,(ROW()-ROW(NextMilestones[[#Headers],[Next milestones (forecast)]]))),tsk_MilestoneKey,0)),"")</f>
        <v/>
      </c>
      <c r="C47" s="40">
        <f>IFERROR(INDEX(tsk_FcFinish,MATCH(SMALL(tsk_MilestoneKey,(ROW()-ROW(NextMilestones[[#Headers],[Next milestones (forecast)]]))),tsk_MilestoneKey,0)),"")</f>
        <v/>
      </c>
    </row>
    <row r="48">
      <c r="B48" s="20">
        <f>IFERROR(INDEX(tsk_Name,MATCH(SMALL(tsk_MilestoneKey,(ROW()-ROW(NextMilestones[[#Headers],[Next milestones (forecast)]]))),tsk_MilestoneKey,0)),"")</f>
        <v/>
      </c>
      <c r="C48" s="40">
        <f>IFERROR(INDEX(tsk_FcFinish,MATCH(SMALL(tsk_MilestoneKey,(ROW()-ROW(NextMilestones[[#Headers],[Next milestones (forecast)]]))),tsk_MilestoneKey,0)),"")</f>
        <v/>
      </c>
    </row>
    <row r="49">
      <c r="B49" s="20">
        <f>IFERROR(INDEX(tsk_Name,MATCH(SMALL(tsk_MilestoneKey,(ROW()-ROW(NextMilestones[[#Headers],[Next milestones (forecast)]]))),tsk_MilestoneKey,0)),"")</f>
        <v/>
      </c>
      <c r="C49" s="40">
        <f>IFERROR(INDEX(tsk_FcFinish,MATCH(SMALL(tsk_MilestoneKey,(ROW()-ROW(NextMilestones[[#Headers],[Next milestones (forecast)]]))),tsk_MilestoneKey,0)),"")</f>
        <v/>
      </c>
    </row>
    <row r="50"/>
    <row r="51">
      <c r="B51" s="28">
        <f>"LATE TASKS (most days late first)"&amp;": "&amp;COUNT(tsk_LateKey)&amp;IF(COUNT(tsk_LateKey)&gt;ROWS(LateTasks[_Task])," (showing the first "&amp;ROWS(LateTasks[_Task])&amp;")","")</f>
        <v/>
      </c>
    </row>
    <row r="52">
      <c r="A52" s="41" t="inlineStr">
        <is>
          <t>_Task</t>
        </is>
      </c>
      <c r="B52" s="17" t="inlineStr">
        <is>
          <t>Task</t>
        </is>
      </c>
      <c r="C52" s="17" t="inlineStr">
        <is>
          <t>Resources</t>
        </is>
      </c>
      <c r="D52" s="17" t="inlineStr">
        <is>
          <t>Finish</t>
        </is>
      </c>
      <c r="E52" s="17" t="inlineStr">
        <is>
          <t>Finish Var</t>
        </is>
      </c>
      <c r="F52" s="17" t="inlineStr">
        <is>
          <t>Status</t>
        </is>
      </c>
      <c r="G52" s="17" t="inlineStr">
        <is>
          <t>Critical</t>
        </is>
      </c>
    </row>
    <row r="53">
      <c r="A53" s="42">
        <f>IFERROR(MATCH(LARGE(tsk_LateKey,ROW()-ROW(LateTasks[[#Headers],[_Task]])),tsk_LateKey,0),"")</f>
        <v/>
      </c>
      <c r="B53" s="20">
        <f>IF(LateTasks[[#This Row],[_Task]]="","",INDEX(tsk_Name,LateTasks[[#This Row],[_Task]])&amp;"")</f>
        <v/>
      </c>
      <c r="C53" s="20">
        <f>IF(LateTasks[[#This Row],[_Task]]="","",INDEX(tsk_ResourceNames,LateTasks[[#This Row],[_Task]])&amp;"")</f>
        <v/>
      </c>
      <c r="D53" s="43">
        <f>IF(LateTasks[[#This Row],[_Task]]="","",IF(N(INDEX(tsk_FcFinish,LateTasks[[#This Row],[_Task]]))=0,"",INDEX(tsk_FcFinish,LateTasks[[#This Row],[_Task]])))</f>
        <v/>
      </c>
      <c r="E53" s="44">
        <f>IF(LateTasks[[#This Row],[_Task]]="","",INDEX(tsk_Variance,LateTasks[[#This Row],[_Task]]))</f>
        <v/>
      </c>
      <c r="F53" s="20">
        <f>IF(LateTasks[[#This Row],[_Task]]="","",INDEX(tsk_Status,LateTasks[[#This Row],[_Task]])&amp;"")</f>
        <v/>
      </c>
      <c r="G53" s="20">
        <f>IF(LateTasks[[#This Row],[_Task]]="","",INDEX(tsk_Critical,LateTasks[[#This Row],[_Task]])&amp;"")</f>
        <v/>
      </c>
    </row>
    <row r="54">
      <c r="A54" s="42">
        <f>IFERROR(MATCH(LARGE(tsk_LateKey,ROW()-ROW(LateTasks[[#Headers],[_Task]])),tsk_LateKey,0),"")</f>
        <v/>
      </c>
      <c r="B54" s="20">
        <f>IF(LateTasks[[#This Row],[_Task]]="","",INDEX(tsk_Name,LateTasks[[#This Row],[_Task]])&amp;"")</f>
        <v/>
      </c>
      <c r="C54" s="20">
        <f>IF(LateTasks[[#This Row],[_Task]]="","",INDEX(tsk_ResourceNames,LateTasks[[#This Row],[_Task]])&amp;"")</f>
        <v/>
      </c>
      <c r="D54" s="43">
        <f>IF(LateTasks[[#This Row],[_Task]]="","",IF(N(INDEX(tsk_FcFinish,LateTasks[[#This Row],[_Task]]))=0,"",INDEX(tsk_FcFinish,LateTasks[[#This Row],[_Task]])))</f>
        <v/>
      </c>
      <c r="E54" s="44">
        <f>IF(LateTasks[[#This Row],[_Task]]="","",INDEX(tsk_Variance,LateTasks[[#This Row],[_Task]]))</f>
        <v/>
      </c>
      <c r="F54" s="20">
        <f>IF(LateTasks[[#This Row],[_Task]]="","",INDEX(tsk_Status,LateTasks[[#This Row],[_Task]])&amp;"")</f>
        <v/>
      </c>
      <c r="G54" s="20">
        <f>IF(LateTasks[[#This Row],[_Task]]="","",INDEX(tsk_Critical,LateTasks[[#This Row],[_Task]])&amp;"")</f>
        <v/>
      </c>
    </row>
    <row r="55">
      <c r="A55" s="42">
        <f>IFERROR(MATCH(LARGE(tsk_LateKey,ROW()-ROW(LateTasks[[#Headers],[_Task]])),tsk_LateKey,0),"")</f>
        <v/>
      </c>
      <c r="B55" s="20">
        <f>IF(LateTasks[[#This Row],[_Task]]="","",INDEX(tsk_Name,LateTasks[[#This Row],[_Task]])&amp;"")</f>
        <v/>
      </c>
      <c r="C55" s="20">
        <f>IF(LateTasks[[#This Row],[_Task]]="","",INDEX(tsk_ResourceNames,LateTasks[[#This Row],[_Task]])&amp;"")</f>
        <v/>
      </c>
      <c r="D55" s="43">
        <f>IF(LateTasks[[#This Row],[_Task]]="","",IF(N(INDEX(tsk_FcFinish,LateTasks[[#This Row],[_Task]]))=0,"",INDEX(tsk_FcFinish,LateTasks[[#This Row],[_Task]])))</f>
        <v/>
      </c>
      <c r="E55" s="44">
        <f>IF(LateTasks[[#This Row],[_Task]]="","",INDEX(tsk_Variance,LateTasks[[#This Row],[_Task]]))</f>
        <v/>
      </c>
      <c r="F55" s="20">
        <f>IF(LateTasks[[#This Row],[_Task]]="","",INDEX(tsk_Status,LateTasks[[#This Row],[_Task]])&amp;"")</f>
        <v/>
      </c>
      <c r="G55" s="20">
        <f>IF(LateTasks[[#This Row],[_Task]]="","",INDEX(tsk_Critical,LateTasks[[#This Row],[_Task]])&amp;"")</f>
        <v/>
      </c>
    </row>
    <row r="56">
      <c r="A56" s="42">
        <f>IFERROR(MATCH(LARGE(tsk_LateKey,ROW()-ROW(LateTasks[[#Headers],[_Task]])),tsk_LateKey,0),"")</f>
        <v/>
      </c>
      <c r="B56" s="20">
        <f>IF(LateTasks[[#This Row],[_Task]]="","",INDEX(tsk_Name,LateTasks[[#This Row],[_Task]])&amp;"")</f>
        <v/>
      </c>
      <c r="C56" s="20">
        <f>IF(LateTasks[[#This Row],[_Task]]="","",INDEX(tsk_ResourceNames,LateTasks[[#This Row],[_Task]])&amp;"")</f>
        <v/>
      </c>
      <c r="D56" s="43">
        <f>IF(LateTasks[[#This Row],[_Task]]="","",IF(N(INDEX(tsk_FcFinish,LateTasks[[#This Row],[_Task]]))=0,"",INDEX(tsk_FcFinish,LateTasks[[#This Row],[_Task]])))</f>
        <v/>
      </c>
      <c r="E56" s="44">
        <f>IF(LateTasks[[#This Row],[_Task]]="","",INDEX(tsk_Variance,LateTasks[[#This Row],[_Task]]))</f>
        <v/>
      </c>
      <c r="F56" s="20">
        <f>IF(LateTasks[[#This Row],[_Task]]="","",INDEX(tsk_Status,LateTasks[[#This Row],[_Task]])&amp;"")</f>
        <v/>
      </c>
      <c r="G56" s="20">
        <f>IF(LateTasks[[#This Row],[_Task]]="","",INDEX(tsk_Critical,LateTasks[[#This Row],[_Task]])&amp;"")</f>
        <v/>
      </c>
    </row>
    <row r="57">
      <c r="A57" s="42">
        <f>IFERROR(MATCH(LARGE(tsk_LateKey,ROW()-ROW(LateTasks[[#Headers],[_Task]])),tsk_LateKey,0),"")</f>
        <v/>
      </c>
      <c r="B57" s="20">
        <f>IF(LateTasks[[#This Row],[_Task]]="","",INDEX(tsk_Name,LateTasks[[#This Row],[_Task]])&amp;"")</f>
        <v/>
      </c>
      <c r="C57" s="20">
        <f>IF(LateTasks[[#This Row],[_Task]]="","",INDEX(tsk_ResourceNames,LateTasks[[#This Row],[_Task]])&amp;"")</f>
        <v/>
      </c>
      <c r="D57" s="43">
        <f>IF(LateTasks[[#This Row],[_Task]]="","",IF(N(INDEX(tsk_FcFinish,LateTasks[[#This Row],[_Task]]))=0,"",INDEX(tsk_FcFinish,LateTasks[[#This Row],[_Task]])))</f>
        <v/>
      </c>
      <c r="E57" s="44">
        <f>IF(LateTasks[[#This Row],[_Task]]="","",INDEX(tsk_Variance,LateTasks[[#This Row],[_Task]]))</f>
        <v/>
      </c>
      <c r="F57" s="20">
        <f>IF(LateTasks[[#This Row],[_Task]]="","",INDEX(tsk_Status,LateTasks[[#This Row],[_Task]])&amp;"")</f>
        <v/>
      </c>
      <c r="G57" s="20">
        <f>IF(LateTasks[[#This Row],[_Task]]="","",INDEX(tsk_Critical,LateTasks[[#This Row],[_Task]])&amp;"")</f>
        <v/>
      </c>
    </row>
    <row r="58"/>
    <row r="59">
      <c r="B59" s="28">
        <f>"DUE BY "&amp;UPPER(TEXT(LookaheadEnd,"ddd dd-mmm"))&amp;": "&amp;COUNT(tsk_DueSoonKey)&amp;IF(COUNT(tsk_DueSoonKey)&gt;ROWS(DueSoon[_Task])," (showing the first "&amp;ROWS(DueSoon[_Task])&amp;")","")</f>
        <v/>
      </c>
    </row>
    <row r="60">
      <c r="A60" s="41" t="inlineStr">
        <is>
          <t>_Task</t>
        </is>
      </c>
      <c r="B60" s="17" t="inlineStr">
        <is>
          <t>Task</t>
        </is>
      </c>
      <c r="C60" s="17" t="inlineStr">
        <is>
          <t>Resources</t>
        </is>
      </c>
      <c r="D60" s="17" t="inlineStr">
        <is>
          <t>Finish</t>
        </is>
      </c>
      <c r="E60" s="17" t="inlineStr">
        <is>
          <t>Progress</t>
        </is>
      </c>
      <c r="F60" s="17" t="inlineStr">
        <is>
          <t>Deadline Check</t>
        </is>
      </c>
      <c r="G60" s="17" t="inlineStr">
        <is>
          <t>Critical</t>
        </is>
      </c>
    </row>
    <row r="61">
      <c r="A61" s="42">
        <f>IFERROR(MATCH(SMALL(tsk_DueSoonKey,ROW()-ROW(DueSoon[[#Headers],[_Task]])),tsk_DueSoonKey,0),"")</f>
        <v/>
      </c>
      <c r="B61" s="20">
        <f>IF(DueSoon[[#This Row],[_Task]]="","",INDEX(tsk_Name,DueSoon[[#This Row],[_Task]])&amp;"")</f>
        <v/>
      </c>
      <c r="C61" s="20">
        <f>IF(DueSoon[[#This Row],[_Task]]="","",INDEX(tsk_ResourceNames,DueSoon[[#This Row],[_Task]])&amp;"")</f>
        <v/>
      </c>
      <c r="D61" s="43">
        <f>IF(DueSoon[[#This Row],[_Task]]="","",IF(N(INDEX(tsk_FcFinish,DueSoon[[#This Row],[_Task]]))=0,"",INDEX(tsk_FcFinish,DueSoon[[#This Row],[_Task]])))</f>
        <v/>
      </c>
      <c r="E61" s="45">
        <f>IF(DueSoon[[#This Row],[_Task]]="","",INDEX(tsk_Progress,DueSoon[[#This Row],[_Task]]))</f>
        <v/>
      </c>
      <c r="F61" s="20">
        <f>IF(DueSoon[[#This Row],[_Task]]="","",INDEX(tsk_DeadlineCheck,DueSoon[[#This Row],[_Task]])&amp;"")</f>
        <v/>
      </c>
      <c r="G61" s="20">
        <f>IF(DueSoon[[#This Row],[_Task]]="","",INDEX(tsk_Critical,DueSoon[[#This Row],[_Task]])&amp;"")</f>
        <v/>
      </c>
    </row>
    <row r="62">
      <c r="A62" s="42">
        <f>IFERROR(MATCH(SMALL(tsk_DueSoonKey,ROW()-ROW(DueSoon[[#Headers],[_Task]])),tsk_DueSoonKey,0),"")</f>
        <v/>
      </c>
      <c r="B62" s="20">
        <f>IF(DueSoon[[#This Row],[_Task]]="","",INDEX(tsk_Name,DueSoon[[#This Row],[_Task]])&amp;"")</f>
        <v/>
      </c>
      <c r="C62" s="20">
        <f>IF(DueSoon[[#This Row],[_Task]]="","",INDEX(tsk_ResourceNames,DueSoon[[#This Row],[_Task]])&amp;"")</f>
        <v/>
      </c>
      <c r="D62" s="43">
        <f>IF(DueSoon[[#This Row],[_Task]]="","",IF(N(INDEX(tsk_FcFinish,DueSoon[[#This Row],[_Task]]))=0,"",INDEX(tsk_FcFinish,DueSoon[[#This Row],[_Task]])))</f>
        <v/>
      </c>
      <c r="E62" s="45">
        <f>IF(DueSoon[[#This Row],[_Task]]="","",INDEX(tsk_Progress,DueSoon[[#This Row],[_Task]]))</f>
        <v/>
      </c>
      <c r="F62" s="20">
        <f>IF(DueSoon[[#This Row],[_Task]]="","",INDEX(tsk_DeadlineCheck,DueSoon[[#This Row],[_Task]])&amp;"")</f>
        <v/>
      </c>
      <c r="G62" s="20">
        <f>IF(DueSoon[[#This Row],[_Task]]="","",INDEX(tsk_Critical,DueSoon[[#This Row],[_Task]])&amp;"")</f>
        <v/>
      </c>
    </row>
    <row r="63">
      <c r="A63" s="42">
        <f>IFERROR(MATCH(SMALL(tsk_DueSoonKey,ROW()-ROW(DueSoon[[#Headers],[_Task]])),tsk_DueSoonKey,0),"")</f>
        <v/>
      </c>
      <c r="B63" s="20">
        <f>IF(DueSoon[[#This Row],[_Task]]="","",INDEX(tsk_Name,DueSoon[[#This Row],[_Task]])&amp;"")</f>
        <v/>
      </c>
      <c r="C63" s="20">
        <f>IF(DueSoon[[#This Row],[_Task]]="","",INDEX(tsk_ResourceNames,DueSoon[[#This Row],[_Task]])&amp;"")</f>
        <v/>
      </c>
      <c r="D63" s="43">
        <f>IF(DueSoon[[#This Row],[_Task]]="","",IF(N(INDEX(tsk_FcFinish,DueSoon[[#This Row],[_Task]]))=0,"",INDEX(tsk_FcFinish,DueSoon[[#This Row],[_Task]])))</f>
        <v/>
      </c>
      <c r="E63" s="45">
        <f>IF(DueSoon[[#This Row],[_Task]]="","",INDEX(tsk_Progress,DueSoon[[#This Row],[_Task]]))</f>
        <v/>
      </c>
      <c r="F63" s="20">
        <f>IF(DueSoon[[#This Row],[_Task]]="","",INDEX(tsk_DeadlineCheck,DueSoon[[#This Row],[_Task]])&amp;"")</f>
        <v/>
      </c>
      <c r="G63" s="20">
        <f>IF(DueSoon[[#This Row],[_Task]]="","",INDEX(tsk_Critical,DueSoon[[#This Row],[_Task]])&amp;"")</f>
        <v/>
      </c>
    </row>
    <row r="64">
      <c r="A64" s="42">
        <f>IFERROR(MATCH(SMALL(tsk_DueSoonKey,ROW()-ROW(DueSoon[[#Headers],[_Task]])),tsk_DueSoonKey,0),"")</f>
        <v/>
      </c>
      <c r="B64" s="20">
        <f>IF(DueSoon[[#This Row],[_Task]]="","",INDEX(tsk_Name,DueSoon[[#This Row],[_Task]])&amp;"")</f>
        <v/>
      </c>
      <c r="C64" s="20">
        <f>IF(DueSoon[[#This Row],[_Task]]="","",INDEX(tsk_ResourceNames,DueSoon[[#This Row],[_Task]])&amp;"")</f>
        <v/>
      </c>
      <c r="D64" s="43">
        <f>IF(DueSoon[[#This Row],[_Task]]="","",IF(N(INDEX(tsk_FcFinish,DueSoon[[#This Row],[_Task]]))=0,"",INDEX(tsk_FcFinish,DueSoon[[#This Row],[_Task]])))</f>
        <v/>
      </c>
      <c r="E64" s="45">
        <f>IF(DueSoon[[#This Row],[_Task]]="","",INDEX(tsk_Progress,DueSoon[[#This Row],[_Task]]))</f>
        <v/>
      </c>
      <c r="F64" s="20">
        <f>IF(DueSoon[[#This Row],[_Task]]="","",INDEX(tsk_DeadlineCheck,DueSoon[[#This Row],[_Task]])&amp;"")</f>
        <v/>
      </c>
      <c r="G64" s="20">
        <f>IF(DueSoon[[#This Row],[_Task]]="","",INDEX(tsk_Critical,DueSoon[[#This Row],[_Task]])&amp;"")</f>
        <v/>
      </c>
    </row>
    <row r="65">
      <c r="A65" s="42">
        <f>IFERROR(MATCH(SMALL(tsk_DueSoonKey,ROW()-ROW(DueSoon[[#Headers],[_Task]])),tsk_DueSoonKey,0),"")</f>
        <v/>
      </c>
      <c r="B65" s="20">
        <f>IF(DueSoon[[#This Row],[_Task]]="","",INDEX(tsk_Name,DueSoon[[#This Row],[_Task]])&amp;"")</f>
        <v/>
      </c>
      <c r="C65" s="20">
        <f>IF(DueSoon[[#This Row],[_Task]]="","",INDEX(tsk_ResourceNames,DueSoon[[#This Row],[_Task]])&amp;"")</f>
        <v/>
      </c>
      <c r="D65" s="43">
        <f>IF(DueSoon[[#This Row],[_Task]]="","",IF(N(INDEX(tsk_FcFinish,DueSoon[[#This Row],[_Task]]))=0,"",INDEX(tsk_FcFinish,DueSoon[[#This Row],[_Task]])))</f>
        <v/>
      </c>
      <c r="E65" s="45">
        <f>IF(DueSoon[[#This Row],[_Task]]="","",INDEX(tsk_Progress,DueSoon[[#This Row],[_Task]]))</f>
        <v/>
      </c>
      <c r="F65" s="20">
        <f>IF(DueSoon[[#This Row],[_Task]]="","",INDEX(tsk_DeadlineCheck,DueSoon[[#This Row],[_Task]])&amp;"")</f>
        <v/>
      </c>
      <c r="G65" s="20">
        <f>IF(DueSoon[[#This Row],[_Task]]="","",INDEX(tsk_Critical,DueSoon[[#This Row],[_Task]])&amp;"")</f>
        <v/>
      </c>
    </row>
    <row r="66"/>
    <row r="67">
      <c r="B67" s="28">
        <f>"STARTING BY "&amp;UPPER(TEXT(LookaheadEnd,"ddd dd-mmm"))&amp;" (look-ahead "&amp;LookaheadDays&amp;" working days)"&amp;": "&amp;COUNT(tsk_StartSoonKey)&amp;IF(COUNT(tsk_StartSoonKey)&gt;ROWS(StartingSoon[_Task])," (showing the first "&amp;ROWS(StartingSoon[_Task])&amp;")","")</f>
        <v/>
      </c>
    </row>
    <row r="68">
      <c r="A68" s="41" t="inlineStr">
        <is>
          <t>_Task</t>
        </is>
      </c>
      <c r="B68" s="17" t="inlineStr">
        <is>
          <t>Task</t>
        </is>
      </c>
      <c r="C68" s="17" t="inlineStr">
        <is>
          <t>Resources</t>
        </is>
      </c>
      <c r="D68" s="17" t="inlineStr">
        <is>
          <t>Start</t>
        </is>
      </c>
      <c r="E68" s="17" t="inlineStr">
        <is>
          <t>Duration</t>
        </is>
      </c>
      <c r="F68" s="17" t="inlineStr">
        <is>
          <t>Predecessors</t>
        </is>
      </c>
      <c r="G68" s="17" t="inlineStr">
        <is>
          <t>Critical</t>
        </is>
      </c>
    </row>
    <row r="69">
      <c r="A69" s="42">
        <f>IFERROR(MATCH(SMALL(tsk_StartSoonKey,ROW()-ROW(StartingSoon[[#Headers],[_Task]])),tsk_StartSoonKey,0),"")</f>
        <v/>
      </c>
      <c r="B69" s="20">
        <f>IF(StartingSoon[[#This Row],[_Task]]="","",INDEX(tsk_Name,StartingSoon[[#This Row],[_Task]])&amp;"")</f>
        <v/>
      </c>
      <c r="C69" s="20">
        <f>IF(StartingSoon[[#This Row],[_Task]]="","",INDEX(tsk_ResourceNames,StartingSoon[[#This Row],[_Task]])&amp;"")</f>
        <v/>
      </c>
      <c r="D69" s="43">
        <f>IF(StartingSoon[[#This Row],[_Task]]="","",IF(N(INDEX(tsk_FcStart,StartingSoon[[#This Row],[_Task]]))=0,"",INDEX(tsk_FcStart,StartingSoon[[#This Row],[_Task]])))</f>
        <v/>
      </c>
      <c r="E69" s="21">
        <f>IF(StartingSoon[[#This Row],[_Task]]="","",INDEX(tsk_Duration,StartingSoon[[#This Row],[_Task]]))</f>
        <v/>
      </c>
      <c r="F69" s="20">
        <f>IF(StartingSoon[[#This Row],[_Task]]="","",INDEX(tsk_Predecessors,StartingSoon[[#This Row],[_Task]])&amp;"")</f>
        <v/>
      </c>
      <c r="G69" s="20">
        <f>IF(StartingSoon[[#This Row],[_Task]]="","",INDEX(tsk_Critical,StartingSoon[[#This Row],[_Task]])&amp;"")</f>
        <v/>
      </c>
    </row>
    <row r="70">
      <c r="A70" s="42">
        <f>IFERROR(MATCH(SMALL(tsk_StartSoonKey,ROW()-ROW(StartingSoon[[#Headers],[_Task]])),tsk_StartSoonKey,0),"")</f>
        <v/>
      </c>
      <c r="B70" s="20">
        <f>IF(StartingSoon[[#This Row],[_Task]]="","",INDEX(tsk_Name,StartingSoon[[#This Row],[_Task]])&amp;"")</f>
        <v/>
      </c>
      <c r="C70" s="20">
        <f>IF(StartingSoon[[#This Row],[_Task]]="","",INDEX(tsk_ResourceNames,StartingSoon[[#This Row],[_Task]])&amp;"")</f>
        <v/>
      </c>
      <c r="D70" s="43">
        <f>IF(StartingSoon[[#This Row],[_Task]]="","",IF(N(INDEX(tsk_FcStart,StartingSoon[[#This Row],[_Task]]))=0,"",INDEX(tsk_FcStart,StartingSoon[[#This Row],[_Task]])))</f>
        <v/>
      </c>
      <c r="E70" s="21">
        <f>IF(StartingSoon[[#This Row],[_Task]]="","",INDEX(tsk_Duration,StartingSoon[[#This Row],[_Task]]))</f>
        <v/>
      </c>
      <c r="F70" s="20">
        <f>IF(StartingSoon[[#This Row],[_Task]]="","",INDEX(tsk_Predecessors,StartingSoon[[#This Row],[_Task]])&amp;"")</f>
        <v/>
      </c>
      <c r="G70" s="20">
        <f>IF(StartingSoon[[#This Row],[_Task]]="","",INDEX(tsk_Critical,StartingSoon[[#This Row],[_Task]])&amp;"")</f>
        <v/>
      </c>
    </row>
    <row r="71">
      <c r="A71" s="42">
        <f>IFERROR(MATCH(SMALL(tsk_StartSoonKey,ROW()-ROW(StartingSoon[[#Headers],[_Task]])),tsk_StartSoonKey,0),"")</f>
        <v/>
      </c>
      <c r="B71" s="20">
        <f>IF(StartingSoon[[#This Row],[_Task]]="","",INDEX(tsk_Name,StartingSoon[[#This Row],[_Task]])&amp;"")</f>
        <v/>
      </c>
      <c r="C71" s="20">
        <f>IF(StartingSoon[[#This Row],[_Task]]="","",INDEX(tsk_ResourceNames,StartingSoon[[#This Row],[_Task]])&amp;"")</f>
        <v/>
      </c>
      <c r="D71" s="43">
        <f>IF(StartingSoon[[#This Row],[_Task]]="","",IF(N(INDEX(tsk_FcStart,StartingSoon[[#This Row],[_Task]]))=0,"",INDEX(tsk_FcStart,StartingSoon[[#This Row],[_Task]])))</f>
        <v/>
      </c>
      <c r="E71" s="21">
        <f>IF(StartingSoon[[#This Row],[_Task]]="","",INDEX(tsk_Duration,StartingSoon[[#This Row],[_Task]]))</f>
        <v/>
      </c>
      <c r="F71" s="20">
        <f>IF(StartingSoon[[#This Row],[_Task]]="","",INDEX(tsk_Predecessors,StartingSoon[[#This Row],[_Task]])&amp;"")</f>
        <v/>
      </c>
      <c r="G71" s="20">
        <f>IF(StartingSoon[[#This Row],[_Task]]="","",INDEX(tsk_Critical,StartingSoon[[#This Row],[_Task]])&amp;"")</f>
        <v/>
      </c>
    </row>
    <row r="72">
      <c r="A72" s="42">
        <f>IFERROR(MATCH(SMALL(tsk_StartSoonKey,ROW()-ROW(StartingSoon[[#Headers],[_Task]])),tsk_StartSoonKey,0),"")</f>
        <v/>
      </c>
      <c r="B72" s="20">
        <f>IF(StartingSoon[[#This Row],[_Task]]="","",INDEX(tsk_Name,StartingSoon[[#This Row],[_Task]])&amp;"")</f>
        <v/>
      </c>
      <c r="C72" s="20">
        <f>IF(StartingSoon[[#This Row],[_Task]]="","",INDEX(tsk_ResourceNames,StartingSoon[[#This Row],[_Task]])&amp;"")</f>
        <v/>
      </c>
      <c r="D72" s="43">
        <f>IF(StartingSoon[[#This Row],[_Task]]="","",IF(N(INDEX(tsk_FcStart,StartingSoon[[#This Row],[_Task]]))=0,"",INDEX(tsk_FcStart,StartingSoon[[#This Row],[_Task]])))</f>
        <v/>
      </c>
      <c r="E72" s="21">
        <f>IF(StartingSoon[[#This Row],[_Task]]="","",INDEX(tsk_Duration,StartingSoon[[#This Row],[_Task]]))</f>
        <v/>
      </c>
      <c r="F72" s="20">
        <f>IF(StartingSoon[[#This Row],[_Task]]="","",INDEX(tsk_Predecessors,StartingSoon[[#This Row],[_Task]])&amp;"")</f>
        <v/>
      </c>
      <c r="G72" s="20">
        <f>IF(StartingSoon[[#This Row],[_Task]]="","",INDEX(tsk_Critical,StartingSoon[[#This Row],[_Task]])&amp;"")</f>
        <v/>
      </c>
    </row>
    <row r="73">
      <c r="A73" s="42">
        <f>IFERROR(MATCH(SMALL(tsk_StartSoonKey,ROW()-ROW(StartingSoon[[#Headers],[_Task]])),tsk_StartSoonKey,0),"")</f>
        <v/>
      </c>
      <c r="B73" s="20">
        <f>IF(StartingSoon[[#This Row],[_Task]]="","",INDEX(tsk_Name,StartingSoon[[#This Row],[_Task]])&amp;"")</f>
        <v/>
      </c>
      <c r="C73" s="20">
        <f>IF(StartingSoon[[#This Row],[_Task]]="","",INDEX(tsk_ResourceNames,StartingSoon[[#This Row],[_Task]])&amp;"")</f>
        <v/>
      </c>
      <c r="D73" s="43">
        <f>IF(StartingSoon[[#This Row],[_Task]]="","",IF(N(INDEX(tsk_FcStart,StartingSoon[[#This Row],[_Task]]))=0,"",INDEX(tsk_FcStart,StartingSoon[[#This Row],[_Task]])))</f>
        <v/>
      </c>
      <c r="E73" s="21">
        <f>IF(StartingSoon[[#This Row],[_Task]]="","",INDEX(tsk_Duration,StartingSoon[[#This Row],[_Task]]))</f>
        <v/>
      </c>
      <c r="F73" s="20">
        <f>IF(StartingSoon[[#This Row],[_Task]]="","",INDEX(tsk_Predecessors,StartingSoon[[#This Row],[_Task]])&amp;"")</f>
        <v/>
      </c>
      <c r="G73" s="20">
        <f>IF(StartingSoon[[#This Row],[_Task]]="","",INDEX(tsk_Critical,StartingSoon[[#This Row],[_Task]])&amp;"")</f>
        <v/>
      </c>
    </row>
    <row r="74"/>
    <row r="75">
      <c r="B75" s="28">
        <f>"OPEN CRITICAL TASKS (by start)"&amp;": "&amp;COUNT(tsk_CriticalKey)&amp;IF(COUNT(tsk_CriticalKey)&gt;ROWS(CriticalTasks[_Task])," (showing the first "&amp;ROWS(CriticalTasks[_Task])&amp;")","")</f>
        <v/>
      </c>
    </row>
    <row r="76">
      <c r="A76" s="41" t="inlineStr">
        <is>
          <t>_Task</t>
        </is>
      </c>
      <c r="B76" s="17" t="inlineStr">
        <is>
          <t>Task</t>
        </is>
      </c>
      <c r="C76" s="17" t="inlineStr">
        <is>
          <t>Resources</t>
        </is>
      </c>
      <c r="D76" s="17" t="inlineStr">
        <is>
          <t>Start</t>
        </is>
      </c>
      <c r="E76" s="17" t="inlineStr">
        <is>
          <t>Total Slack</t>
        </is>
      </c>
      <c r="F76" s="17" t="inlineStr">
        <is>
          <t>Deadline Check</t>
        </is>
      </c>
      <c r="G76" s="17" t="inlineStr">
        <is>
          <t>Finish</t>
        </is>
      </c>
    </row>
    <row r="77">
      <c r="A77" s="42">
        <f>IFERROR(MATCH(SMALL(tsk_CriticalKey,ROW()-ROW(CriticalTasks[[#Headers],[_Task]])),tsk_CriticalKey,0),"")</f>
        <v/>
      </c>
      <c r="B77" s="20">
        <f>IF(CriticalTasks[[#This Row],[_Task]]="","",INDEX(tsk_Name,CriticalTasks[[#This Row],[_Task]])&amp;"")</f>
        <v/>
      </c>
      <c r="C77" s="20">
        <f>IF(CriticalTasks[[#This Row],[_Task]]="","",INDEX(tsk_ResourceNames,CriticalTasks[[#This Row],[_Task]])&amp;"")</f>
        <v/>
      </c>
      <c r="D77" s="43">
        <f>IF(CriticalTasks[[#This Row],[_Task]]="","",IF(N(INDEX(tsk_FcStart,CriticalTasks[[#This Row],[_Task]]))=0,"",INDEX(tsk_FcStart,CriticalTasks[[#This Row],[_Task]])))</f>
        <v/>
      </c>
      <c r="E77" s="21">
        <f>IF(CriticalTasks[[#This Row],[_Task]]="","",INDEX(tsk_TotalSlack,CriticalTasks[[#This Row],[_Task]]))</f>
        <v/>
      </c>
      <c r="F77" s="20">
        <f>IF(CriticalTasks[[#This Row],[_Task]]="","",INDEX(tsk_DeadlineCheck,CriticalTasks[[#This Row],[_Task]])&amp;"")</f>
        <v/>
      </c>
      <c r="G77" s="43">
        <f>IF(CriticalTasks[[#This Row],[_Task]]="","",IF(N(INDEX(tsk_FcFinish,CriticalTasks[[#This Row],[_Task]]))=0,"",INDEX(tsk_FcFinish,CriticalTasks[[#This Row],[_Task]])))</f>
        <v/>
      </c>
    </row>
    <row r="78">
      <c r="A78" s="42">
        <f>IFERROR(MATCH(SMALL(tsk_CriticalKey,ROW()-ROW(CriticalTasks[[#Headers],[_Task]])),tsk_CriticalKey,0),"")</f>
        <v/>
      </c>
      <c r="B78" s="20">
        <f>IF(CriticalTasks[[#This Row],[_Task]]="","",INDEX(tsk_Name,CriticalTasks[[#This Row],[_Task]])&amp;"")</f>
        <v/>
      </c>
      <c r="C78" s="20">
        <f>IF(CriticalTasks[[#This Row],[_Task]]="","",INDEX(tsk_ResourceNames,CriticalTasks[[#This Row],[_Task]])&amp;"")</f>
        <v/>
      </c>
      <c r="D78" s="43">
        <f>IF(CriticalTasks[[#This Row],[_Task]]="","",IF(N(INDEX(tsk_FcStart,CriticalTasks[[#This Row],[_Task]]))=0,"",INDEX(tsk_FcStart,CriticalTasks[[#This Row],[_Task]])))</f>
        <v/>
      </c>
      <c r="E78" s="21">
        <f>IF(CriticalTasks[[#This Row],[_Task]]="","",INDEX(tsk_TotalSlack,CriticalTasks[[#This Row],[_Task]]))</f>
        <v/>
      </c>
      <c r="F78" s="20">
        <f>IF(CriticalTasks[[#This Row],[_Task]]="","",INDEX(tsk_DeadlineCheck,CriticalTasks[[#This Row],[_Task]])&amp;"")</f>
        <v/>
      </c>
      <c r="G78" s="43">
        <f>IF(CriticalTasks[[#This Row],[_Task]]="","",IF(N(INDEX(tsk_FcFinish,CriticalTasks[[#This Row],[_Task]]))=0,"",INDEX(tsk_FcFinish,CriticalTasks[[#This Row],[_Task]])))</f>
        <v/>
      </c>
    </row>
    <row r="79">
      <c r="A79" s="42">
        <f>IFERROR(MATCH(SMALL(tsk_CriticalKey,ROW()-ROW(CriticalTasks[[#Headers],[_Task]])),tsk_CriticalKey,0),"")</f>
        <v/>
      </c>
      <c r="B79" s="20">
        <f>IF(CriticalTasks[[#This Row],[_Task]]="","",INDEX(tsk_Name,CriticalTasks[[#This Row],[_Task]])&amp;"")</f>
        <v/>
      </c>
      <c r="C79" s="20">
        <f>IF(CriticalTasks[[#This Row],[_Task]]="","",INDEX(tsk_ResourceNames,CriticalTasks[[#This Row],[_Task]])&amp;"")</f>
        <v/>
      </c>
      <c r="D79" s="43">
        <f>IF(CriticalTasks[[#This Row],[_Task]]="","",IF(N(INDEX(tsk_FcStart,CriticalTasks[[#This Row],[_Task]]))=0,"",INDEX(tsk_FcStart,CriticalTasks[[#This Row],[_Task]])))</f>
        <v/>
      </c>
      <c r="E79" s="21">
        <f>IF(CriticalTasks[[#This Row],[_Task]]="","",INDEX(tsk_TotalSlack,CriticalTasks[[#This Row],[_Task]]))</f>
        <v/>
      </c>
      <c r="F79" s="20">
        <f>IF(CriticalTasks[[#This Row],[_Task]]="","",INDEX(tsk_DeadlineCheck,CriticalTasks[[#This Row],[_Task]])&amp;"")</f>
        <v/>
      </c>
      <c r="G79" s="43">
        <f>IF(CriticalTasks[[#This Row],[_Task]]="","",IF(N(INDEX(tsk_FcFinish,CriticalTasks[[#This Row],[_Task]]))=0,"",INDEX(tsk_FcFinish,CriticalTasks[[#This Row],[_Task]])))</f>
        <v/>
      </c>
    </row>
    <row r="80">
      <c r="A80" s="42">
        <f>IFERROR(MATCH(SMALL(tsk_CriticalKey,ROW()-ROW(CriticalTasks[[#Headers],[_Task]])),tsk_CriticalKey,0),"")</f>
        <v/>
      </c>
      <c r="B80" s="20">
        <f>IF(CriticalTasks[[#This Row],[_Task]]="","",INDEX(tsk_Name,CriticalTasks[[#This Row],[_Task]])&amp;"")</f>
        <v/>
      </c>
      <c r="C80" s="20">
        <f>IF(CriticalTasks[[#This Row],[_Task]]="","",INDEX(tsk_ResourceNames,CriticalTasks[[#This Row],[_Task]])&amp;"")</f>
        <v/>
      </c>
      <c r="D80" s="43">
        <f>IF(CriticalTasks[[#This Row],[_Task]]="","",IF(N(INDEX(tsk_FcStart,CriticalTasks[[#This Row],[_Task]]))=0,"",INDEX(tsk_FcStart,CriticalTasks[[#This Row],[_Task]])))</f>
        <v/>
      </c>
      <c r="E80" s="21">
        <f>IF(CriticalTasks[[#This Row],[_Task]]="","",INDEX(tsk_TotalSlack,CriticalTasks[[#This Row],[_Task]]))</f>
        <v/>
      </c>
      <c r="F80" s="20">
        <f>IF(CriticalTasks[[#This Row],[_Task]]="","",INDEX(tsk_DeadlineCheck,CriticalTasks[[#This Row],[_Task]])&amp;"")</f>
        <v/>
      </c>
      <c r="G80" s="43">
        <f>IF(CriticalTasks[[#This Row],[_Task]]="","",IF(N(INDEX(tsk_FcFinish,CriticalTasks[[#This Row],[_Task]]))=0,"",INDEX(tsk_FcFinish,CriticalTasks[[#This Row],[_Task]])))</f>
        <v/>
      </c>
    </row>
    <row r="81">
      <c r="A81" s="42">
        <f>IFERROR(MATCH(SMALL(tsk_CriticalKey,ROW()-ROW(CriticalTasks[[#Headers],[_Task]])),tsk_CriticalKey,0),"")</f>
        <v/>
      </c>
      <c r="B81" s="20">
        <f>IF(CriticalTasks[[#This Row],[_Task]]="","",INDEX(tsk_Name,CriticalTasks[[#This Row],[_Task]])&amp;"")</f>
        <v/>
      </c>
      <c r="C81" s="20">
        <f>IF(CriticalTasks[[#This Row],[_Task]]="","",INDEX(tsk_ResourceNames,CriticalTasks[[#This Row],[_Task]])&amp;"")</f>
        <v/>
      </c>
      <c r="D81" s="43">
        <f>IF(CriticalTasks[[#This Row],[_Task]]="","",IF(N(INDEX(tsk_FcStart,CriticalTasks[[#This Row],[_Task]]))=0,"",INDEX(tsk_FcStart,CriticalTasks[[#This Row],[_Task]])))</f>
        <v/>
      </c>
      <c r="E81" s="21">
        <f>IF(CriticalTasks[[#This Row],[_Task]]="","",INDEX(tsk_TotalSlack,CriticalTasks[[#This Row],[_Task]]))</f>
        <v/>
      </c>
      <c r="F81" s="20">
        <f>IF(CriticalTasks[[#This Row],[_Task]]="","",INDEX(tsk_DeadlineCheck,CriticalTasks[[#This Row],[_Task]])&amp;"")</f>
        <v/>
      </c>
      <c r="G81" s="43">
        <f>IF(CriticalTasks[[#This Row],[_Task]]="","",IF(N(INDEX(tsk_FcFinish,CriticalTasks[[#This Row],[_Task]]))=0,"",INDEX(tsk_FcFinish,CriticalTasks[[#This Row],[_Task]])))</f>
        <v/>
      </c>
    </row>
    <row r="82"/>
    <row r="83">
      <c r="B83" s="28" t="inlineStr">
        <is>
          <t>COMMENTARY for this period (type in the Notes column)</t>
        </is>
      </c>
    </row>
    <row r="84">
      <c r="B84" s="17" t="inlineStr">
        <is>
          <t>Section</t>
        </is>
      </c>
      <c r="C84" s="18" t="inlineStr">
        <is>
          <t>Notes</t>
        </is>
      </c>
    </row>
    <row r="85" ht="36" customHeight="1">
      <c r="B85" s="46" t="inlineStr">
        <is>
          <t>Summary</t>
        </is>
      </c>
      <c r="C85" s="47" t="n"/>
    </row>
    <row r="86" ht="36" customHeight="1">
      <c r="B86" s="46" t="inlineStr">
        <is>
          <t>Achievements this period</t>
        </is>
      </c>
      <c r="C86" s="47" t="n"/>
    </row>
    <row r="87" ht="36" customHeight="1">
      <c r="B87" s="46" t="inlineStr">
        <is>
          <t>Planned for next period</t>
        </is>
      </c>
      <c r="C87" s="47" t="n"/>
    </row>
    <row r="88" ht="36" customHeight="1">
      <c r="B88" s="46" t="inlineStr">
        <is>
          <t>Issues and escalations</t>
        </is>
      </c>
      <c r="C88" s="47" t="n"/>
    </row>
    <row r="89" ht="36" customHeight="1">
      <c r="B89" s="46" t="inlineStr">
        <is>
          <t>Decisions needed</t>
        </is>
      </c>
      <c r="C89" s="47" t="n"/>
    </row>
    <row r="90" ht="36" customHeight="1">
      <c r="B90" s="46" t="inlineStr">
        <is>
          <t>Risks to watch</t>
        </is>
      </c>
      <c r="C90" s="47" t="n"/>
    </row>
  </sheetData>
  <sheetProtection selectLockedCells="0" selectUnlockedCells="0" sheet="1" objects="0" insertRows="1" insertHyperlinks="1" autoFilter="0" scenarios="0" formatColumns="0" deleteColumns="1" insertColumns="1" pivotTables="1" deleteRows="1" formatCells="1" formatRows="0" sort="0"/>
  <mergeCells count="1">
    <mergeCell ref="B24:H24"/>
  </mergeCells>
  <conditionalFormatting sqref="C5">
    <cfRule type="expression" priority="1" dxfId="0">
      <formula>N(C5)=0</formula>
    </cfRule>
  </conditionalFormatting>
  <conditionalFormatting sqref="E14:G21">
    <cfRule type="expression" priority="2" dxfId="1">
      <formula>E14="Green"</formula>
    </cfRule>
    <cfRule type="expression" priority="3" dxfId="2">
      <formula>E14="Amber"</formula>
    </cfRule>
    <cfRule type="expression" priority="4" dxfId="3">
      <formula>E14="Red"</formula>
    </cfRule>
  </conditionalFormatting>
  <conditionalFormatting sqref="D39">
    <cfRule type="expression" priority="5" dxfId="4">
      <formula>D39&gt;0</formula>
    </cfRule>
    <cfRule type="expression" priority="6" dxfId="5">
      <formula>D39&lt;=0</formula>
    </cfRule>
  </conditionalFormatting>
  <conditionalFormatting sqref="E53:E57">
    <cfRule type="expression" priority="7" dxfId="6">
      <formula>AND(ISNUMBER(E53),E53&gt;0)</formula>
    </cfRule>
  </conditionalFormatting>
  <conditionalFormatting sqref="G53:G57">
    <cfRule type="expression" priority="8" dxfId="7">
      <formula>G53="Yes"</formula>
    </cfRule>
  </conditionalFormatting>
  <conditionalFormatting sqref="G61:G65">
    <cfRule type="expression" priority="9" dxfId="7">
      <formula>G61="Yes"</formula>
    </cfRule>
  </conditionalFormatting>
  <conditionalFormatting sqref="F61:F65">
    <cfRule type="expression" priority="10" dxfId="6">
      <formula>LEFT(F61,4)="Late"</formula>
    </cfRule>
  </conditionalFormatting>
  <conditionalFormatting sqref="G69:G73">
    <cfRule type="expression" priority="11" dxfId="7">
      <formula>G69="Yes"</formula>
    </cfRule>
  </conditionalFormatting>
  <conditionalFormatting sqref="F77:F81">
    <cfRule type="expression" priority="12" dxfId="6">
      <formula>LEFT(F77,4)="Late"</formula>
    </cfRule>
  </conditionalFormatting>
  <dataValidations count="2">
    <dataValidation sqref="C5" showDropDown="0" showInputMessage="1" showErrorMessage="0" allowBlank="1" promptTitle="Status date" prompt="The date progress is reported as of. Type it, or press Ctrl+; for today. It is a typed date rather than TODAY() on purpose: TODAY() would make Excel recalculate the whole schedule after every edit."/>
    <dataValidation sqref="F14 F17:F21" showDropDown="0" showInputMessage="0" showErrorMessage="0" allowBlank="0" type="list">
      <formula1>=L_RAG</formula1>
    </dataValidation>
  </dataValidations>
  <hyperlinks>
    <hyperlink ref="C6" location="'Tasks'!A1"/>
  </hyperlinks>
  <printOptions horizontalCentered="1"/>
  <pageMargins left="0.75" right="0.75" top="0.6" bottom="0.6" header="0.3" footer="0.3"/>
  <pageSetup orientation="portrait" fitToHeight="1" fitToWidth="1"/>
  <headerFooter>
    <oddHeader>&amp;L&amp;"Arial"&amp;8 &amp;A&amp;R&amp;"Arial"&amp;8 &amp;F</oddHeader>
    <oddFooter>&amp;L&amp;"Arial"&amp;8 Project Planner template 1.1 M365&amp;R&amp;"Arial"&amp;8 Page &amp;P of &amp;N</oddFooter>
    <evenHeader/>
    <evenFooter/>
    <firstHeader/>
    <firstFooter/>
  </headerFooter>
  <drawing xmlns:r="http://schemas.openxmlformats.org/officeDocument/2006/relationships" r:id="rId1"/>
  <legacyDrawing xmlns:r="http://schemas.openxmlformats.org/officeDocument/2006/relationships" r:id="anysvml"/>
  <tableParts count="10">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s>
</worksheet>
</file>

<file path=xl/worksheets/sheet3.xml><?xml version="1.0" encoding="utf-8"?>
<worksheet xmlns="http://schemas.openxmlformats.org/spreadsheetml/2006/main">
  <sheetPr>
    <tabColor rgb="00548235"/>
    <outlinePr summaryBelow="1" summaryRight="1"/>
    <pageSetUpPr fitToPage="1"/>
  </sheetPr>
  <dimension ref="A1:AI39"/>
  <sheetViews>
    <sheetView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hidden="1" width="4" customWidth="1" min="2" max="2"/>
    <col width="6" customWidth="1" min="3" max="3"/>
    <col width="32" customWidth="1" min="4" max="4"/>
    <col width="14" customWidth="1" min="5" max="5"/>
    <col width="10" customWidth="1" min="6" max="6"/>
    <col width="10" customWidth="1" min="7" max="7"/>
    <col width="10" customWidth="1" min="8" max="8"/>
    <col width="10" customWidth="1" min="9" max="9"/>
    <col width="9" customWidth="1" min="10" max="10"/>
    <col width="8" customWidth="1" min="11" max="11"/>
    <col width="10" customWidth="1" min="12" max="12"/>
    <col width="7" customWidth="1" min="13" max="13"/>
    <col width="26" customWidth="1" min="14" max="14"/>
    <col width="10" customWidth="1" min="15" max="15"/>
    <col hidden="1" width="4" customWidth="1" min="16" max="16"/>
    <col width="1" customWidth="1" min="17" max="17"/>
    <col width="4.6" customWidth="1" min="18" max="18"/>
    <col width="4.6" customWidth="1" min="19" max="19"/>
    <col width="4.6" customWidth="1" min="20" max="20"/>
    <col width="4.6" customWidth="1" min="21" max="21"/>
    <col width="4.6" customWidth="1" min="22" max="22"/>
    <col width="4.6" customWidth="1" min="23" max="23"/>
    <col width="4.6" customWidth="1" min="24" max="24"/>
    <col width="4.6" customWidth="1" min="25" max="25"/>
    <col width="4.6" customWidth="1" min="26" max="26"/>
    <col width="4.6" customWidth="1" min="27" max="27"/>
    <col width="4.6" customWidth="1" min="28" max="28"/>
    <col width="4.6" customWidth="1" min="29" max="29"/>
    <col width="4.6" customWidth="1" min="30" max="30"/>
    <col width="4.6" customWidth="1" min="31" max="31"/>
    <col width="4.6" customWidth="1" min="32" max="32"/>
    <col width="4.6" customWidth="1" min="33" max="33"/>
    <col width="4.6" customWidth="1" min="34" max="34"/>
    <col width="4.6" customWidth="1" min="35" max="35"/>
  </cols>
  <sheetData>
    <row r="1">
      <c r="A1" s="14">
        <f>ProjectName&amp;"  -  Roadmap"</f>
        <v/>
      </c>
    </row>
    <row r="2">
      <c r="A2" s="48">
        <f>"Status date "&amp;TEXT(StatusDate,"dd-mmm-yyyy")&amp;"   Forecast finish "&amp;TEXT(ProjectFinish,"dd-mmm-yyyy")&amp;" ("&amp;TEXT(FinishVarianceDays,"+0;-0;0")&amp;" working days vs plan)"</f>
        <v/>
      </c>
    </row>
    <row r="3"/>
    <row r="4">
      <c r="R4" s="49">
        <f>IF(OR(COLUMN()-COLUMN(rm_Origin)=1,MONTH(EDATE(RoadmapStart,COLUMN()-COLUMN(rm_Origin)-1))=1),TEXT(EDATE(RoadmapStart,COLUMN()-COLUMN(rm_Origin)-1),"yyyy"),"")</f>
        <v/>
      </c>
      <c r="S4" s="49">
        <f>IF(OR(COLUMN()-COLUMN(rm_Origin)=1,MONTH(EDATE(RoadmapStart,COLUMN()-COLUMN(rm_Origin)-1))=1),TEXT(EDATE(RoadmapStart,COLUMN()-COLUMN(rm_Origin)-1),"yyyy"),"")</f>
        <v/>
      </c>
      <c r="T4" s="49">
        <f>IF(OR(COLUMN()-COLUMN(rm_Origin)=1,MONTH(EDATE(RoadmapStart,COLUMN()-COLUMN(rm_Origin)-1))=1),TEXT(EDATE(RoadmapStart,COLUMN()-COLUMN(rm_Origin)-1),"yyyy"),"")</f>
        <v/>
      </c>
      <c r="U4" s="49">
        <f>IF(OR(COLUMN()-COLUMN(rm_Origin)=1,MONTH(EDATE(RoadmapStart,COLUMN()-COLUMN(rm_Origin)-1))=1),TEXT(EDATE(RoadmapStart,COLUMN()-COLUMN(rm_Origin)-1),"yyyy"),"")</f>
        <v/>
      </c>
      <c r="V4" s="49">
        <f>IF(OR(COLUMN()-COLUMN(rm_Origin)=1,MONTH(EDATE(RoadmapStart,COLUMN()-COLUMN(rm_Origin)-1))=1),TEXT(EDATE(RoadmapStart,COLUMN()-COLUMN(rm_Origin)-1),"yyyy"),"")</f>
        <v/>
      </c>
      <c r="W4" s="49">
        <f>IF(OR(COLUMN()-COLUMN(rm_Origin)=1,MONTH(EDATE(RoadmapStart,COLUMN()-COLUMN(rm_Origin)-1))=1),TEXT(EDATE(RoadmapStart,COLUMN()-COLUMN(rm_Origin)-1),"yyyy"),"")</f>
        <v/>
      </c>
      <c r="X4" s="49">
        <f>IF(OR(COLUMN()-COLUMN(rm_Origin)=1,MONTH(EDATE(RoadmapStart,COLUMN()-COLUMN(rm_Origin)-1))=1),TEXT(EDATE(RoadmapStart,COLUMN()-COLUMN(rm_Origin)-1),"yyyy"),"")</f>
        <v/>
      </c>
      <c r="Y4" s="49">
        <f>IF(OR(COLUMN()-COLUMN(rm_Origin)=1,MONTH(EDATE(RoadmapStart,COLUMN()-COLUMN(rm_Origin)-1))=1),TEXT(EDATE(RoadmapStart,COLUMN()-COLUMN(rm_Origin)-1),"yyyy"),"")</f>
        <v/>
      </c>
      <c r="Z4" s="49">
        <f>IF(OR(COLUMN()-COLUMN(rm_Origin)=1,MONTH(EDATE(RoadmapStart,COLUMN()-COLUMN(rm_Origin)-1))=1),TEXT(EDATE(RoadmapStart,COLUMN()-COLUMN(rm_Origin)-1),"yyyy"),"")</f>
        <v/>
      </c>
      <c r="AA4" s="49">
        <f>IF(OR(COLUMN()-COLUMN(rm_Origin)=1,MONTH(EDATE(RoadmapStart,COLUMN()-COLUMN(rm_Origin)-1))=1),TEXT(EDATE(RoadmapStart,COLUMN()-COLUMN(rm_Origin)-1),"yyyy"),"")</f>
        <v/>
      </c>
      <c r="AB4" s="49">
        <f>IF(OR(COLUMN()-COLUMN(rm_Origin)=1,MONTH(EDATE(RoadmapStart,COLUMN()-COLUMN(rm_Origin)-1))=1),TEXT(EDATE(RoadmapStart,COLUMN()-COLUMN(rm_Origin)-1),"yyyy"),"")</f>
        <v/>
      </c>
      <c r="AC4" s="49">
        <f>IF(OR(COLUMN()-COLUMN(rm_Origin)=1,MONTH(EDATE(RoadmapStart,COLUMN()-COLUMN(rm_Origin)-1))=1),TEXT(EDATE(RoadmapStart,COLUMN()-COLUMN(rm_Origin)-1),"yyyy"),"")</f>
        <v/>
      </c>
      <c r="AD4" s="49">
        <f>IF(OR(COLUMN()-COLUMN(rm_Origin)=1,MONTH(EDATE(RoadmapStart,COLUMN()-COLUMN(rm_Origin)-1))=1),TEXT(EDATE(RoadmapStart,COLUMN()-COLUMN(rm_Origin)-1),"yyyy"),"")</f>
        <v/>
      </c>
      <c r="AE4" s="49">
        <f>IF(OR(COLUMN()-COLUMN(rm_Origin)=1,MONTH(EDATE(RoadmapStart,COLUMN()-COLUMN(rm_Origin)-1))=1),TEXT(EDATE(RoadmapStart,COLUMN()-COLUMN(rm_Origin)-1),"yyyy"),"")</f>
        <v/>
      </c>
      <c r="AF4" s="49">
        <f>IF(OR(COLUMN()-COLUMN(rm_Origin)=1,MONTH(EDATE(RoadmapStart,COLUMN()-COLUMN(rm_Origin)-1))=1),TEXT(EDATE(RoadmapStart,COLUMN()-COLUMN(rm_Origin)-1),"yyyy"),"")</f>
        <v/>
      </c>
      <c r="AG4" s="49">
        <f>IF(OR(COLUMN()-COLUMN(rm_Origin)=1,MONTH(EDATE(RoadmapStart,COLUMN()-COLUMN(rm_Origin)-1))=1),TEXT(EDATE(RoadmapStart,COLUMN()-COLUMN(rm_Origin)-1),"yyyy"),"")</f>
        <v/>
      </c>
      <c r="AH4" s="49">
        <f>IF(OR(COLUMN()-COLUMN(rm_Origin)=1,MONTH(EDATE(RoadmapStart,COLUMN()-COLUMN(rm_Origin)-1))=1),TEXT(EDATE(RoadmapStart,COLUMN()-COLUMN(rm_Origin)-1),"yyyy"),"")</f>
        <v/>
      </c>
      <c r="AI4" s="49">
        <f>IF(OR(COLUMN()-COLUMN(rm_Origin)=1,MONTH(EDATE(RoadmapStart,COLUMN()-COLUMN(rm_Origin)-1))=1),TEXT(EDATE(RoadmapStart,COLUMN()-COLUMN(rm_Origin)-1),"yyyy"),"")</f>
        <v/>
      </c>
    </row>
    <row r="5">
      <c r="R5" s="50">
        <f>EDATE(RoadmapStart,COLUMN()-COLUMN(rm_Origin)-1)</f>
        <v/>
      </c>
      <c r="S5" s="50">
        <f>EDATE(RoadmapStart,COLUMN()-COLUMN(rm_Origin)-1)</f>
        <v/>
      </c>
      <c r="T5" s="50">
        <f>EDATE(RoadmapStart,COLUMN()-COLUMN(rm_Origin)-1)</f>
        <v/>
      </c>
      <c r="U5" s="50">
        <f>EDATE(RoadmapStart,COLUMN()-COLUMN(rm_Origin)-1)</f>
        <v/>
      </c>
      <c r="V5" s="50">
        <f>EDATE(RoadmapStart,COLUMN()-COLUMN(rm_Origin)-1)</f>
        <v/>
      </c>
      <c r="W5" s="50">
        <f>EDATE(RoadmapStart,COLUMN()-COLUMN(rm_Origin)-1)</f>
        <v/>
      </c>
      <c r="X5" s="50">
        <f>EDATE(RoadmapStart,COLUMN()-COLUMN(rm_Origin)-1)</f>
        <v/>
      </c>
      <c r="Y5" s="50">
        <f>EDATE(RoadmapStart,COLUMN()-COLUMN(rm_Origin)-1)</f>
        <v/>
      </c>
      <c r="Z5" s="50">
        <f>EDATE(RoadmapStart,COLUMN()-COLUMN(rm_Origin)-1)</f>
        <v/>
      </c>
      <c r="AA5" s="50">
        <f>EDATE(RoadmapStart,COLUMN()-COLUMN(rm_Origin)-1)</f>
        <v/>
      </c>
      <c r="AB5" s="50">
        <f>EDATE(RoadmapStart,COLUMN()-COLUMN(rm_Origin)-1)</f>
        <v/>
      </c>
      <c r="AC5" s="50">
        <f>EDATE(RoadmapStart,COLUMN()-COLUMN(rm_Origin)-1)</f>
        <v/>
      </c>
      <c r="AD5" s="50">
        <f>EDATE(RoadmapStart,COLUMN()-COLUMN(rm_Origin)-1)</f>
        <v/>
      </c>
      <c r="AE5" s="50">
        <f>EDATE(RoadmapStart,COLUMN()-COLUMN(rm_Origin)-1)</f>
        <v/>
      </c>
      <c r="AF5" s="50">
        <f>EDATE(RoadmapStart,COLUMN()-COLUMN(rm_Origin)-1)</f>
        <v/>
      </c>
      <c r="AG5" s="50">
        <f>EDATE(RoadmapStart,COLUMN()-COLUMN(rm_Origin)-1)</f>
        <v/>
      </c>
      <c r="AH5" s="50">
        <f>EDATE(RoadmapStart,COLUMN()-COLUMN(rm_Origin)-1)</f>
        <v/>
      </c>
      <c r="AI5" s="50">
        <f>EDATE(RoadmapStart,COLUMN()-COLUMN(rm_Origin)-1)</f>
        <v/>
      </c>
    </row>
    <row r="6">
      <c r="C6" s="28">
        <f>"Phases"&amp;": "&amp;COUNT(tsk_PhaseKey)&amp;IF(COUNT(tsk_PhaseKey)&gt;ROWS(RoadmapPhases[_Task])," (showing the first "&amp;ROWS(RoadmapPhases[_Task])&amp;")","")</f>
        <v/>
      </c>
    </row>
    <row r="7">
      <c r="B7" s="41" t="inlineStr">
        <is>
          <t>_Task</t>
        </is>
      </c>
      <c r="C7" s="17" t="inlineStr">
        <is>
          <t>WBS</t>
        </is>
      </c>
      <c r="D7" s="17" t="inlineStr">
        <is>
          <t>Phase</t>
        </is>
      </c>
      <c r="E7" s="17" t="inlineStr">
        <is>
          <t>Owner</t>
        </is>
      </c>
      <c r="F7" s="17" t="inlineStr">
        <is>
          <t>Planned Start</t>
        </is>
      </c>
      <c r="G7" s="17" t="inlineStr">
        <is>
          <t>Planned Finish</t>
        </is>
      </c>
      <c r="H7" s="17" t="inlineStr">
        <is>
          <t>Start</t>
        </is>
      </c>
      <c r="I7" s="17" t="inlineStr">
        <is>
          <t>Finish</t>
        </is>
      </c>
      <c r="J7" s="17" t="inlineStr">
        <is>
          <t>Progress</t>
        </is>
      </c>
      <c r="K7" s="17" t="inlineStr">
        <is>
          <t>Finish Var</t>
        </is>
      </c>
      <c r="L7" s="17" t="inlineStr">
        <is>
          <t>Tasks Done</t>
        </is>
      </c>
      <c r="M7" s="17" t="inlineStr">
        <is>
          <t>RAG</t>
        </is>
      </c>
      <c r="N7" s="17" t="inlineStr">
        <is>
          <t>Next Milestone</t>
        </is>
      </c>
      <c r="O7" s="17" t="inlineStr">
        <is>
          <t>Link</t>
        </is>
      </c>
      <c r="P7" s="41" t="inlineStr">
        <is>
          <t>_Milestone</t>
        </is>
      </c>
    </row>
    <row r="8">
      <c r="B8" s="42">
        <f>IFERROR(MATCH(SMALL(tsk_PhaseKey,ROW()-ROW(RoadmapPhases[[#Headers],[_Task]])),tsk_PhaseKey,0),"")</f>
        <v/>
      </c>
      <c r="C8" s="20">
        <f>IF(RoadmapPhases[[#This Row],[_Task]]="","",INDEX(tsk_WBS,RoadmapPhases[[#This Row],[_Task]])&amp;"")</f>
        <v/>
      </c>
      <c r="D8" s="20">
        <f>IF(RoadmapPhases[[#This Row],[_Task]]="","",INDEX(tsk_Name,RoadmapPhases[[#This Row],[_Task]])&amp;"")</f>
        <v/>
      </c>
      <c r="E8" s="20">
        <f>IF(RoadmapPhases[[#This Row],[_Task]]="","",INDEX(tsk_Owner,RoadmapPhases[[#This Row],[_Task]])&amp;"")</f>
        <v/>
      </c>
      <c r="F8" s="51">
        <f>IF(RoadmapPhases[[#This Row],[_Task]]="","",IF(N(INDEX(tsk_PlanStart,RoadmapPhases[[#This Row],[_Task]]))=0,"",INDEX(tsk_PlanStart,RoadmapPhases[[#This Row],[_Task]])))</f>
        <v/>
      </c>
      <c r="G8" s="51">
        <f>IF(RoadmapPhases[[#This Row],[_Task]]="","",IF(N(INDEX(tsk_PlanFinish,RoadmapPhases[[#This Row],[_Task]]))=0,"",INDEX(tsk_PlanFinish,RoadmapPhases[[#This Row],[_Task]])))</f>
        <v/>
      </c>
      <c r="H8" s="51">
        <f>IF(RoadmapPhases[[#This Row],[_Task]]="","",IF(N(INDEX(tsk_FcStart,RoadmapPhases[[#This Row],[_Task]]))=0,"",INDEX(tsk_FcStart,RoadmapPhases[[#This Row],[_Task]])))</f>
        <v/>
      </c>
      <c r="I8" s="51">
        <f>IF(RoadmapPhases[[#This Row],[_Task]]="","",IF(N(INDEX(tsk_FcFinish,RoadmapPhases[[#This Row],[_Task]]))=0,"",INDEX(tsk_FcFinish,RoadmapPhases[[#This Row],[_Task]])))</f>
        <v/>
      </c>
      <c r="J8" s="45">
        <f>IF(RoadmapPhases[[#This Row],[_Task]]="","",INDEX(tsk_Progress,RoadmapPhases[[#This Row],[_Task]]))</f>
        <v/>
      </c>
      <c r="K8" s="44">
        <f>IF(RoadmapPhases[[#This Row],[_Task]]="","",INDEX(tsk_Variance,RoadmapPhases[[#This Row],[_Task]]))</f>
        <v/>
      </c>
      <c r="L8" s="21">
        <f>IF(RoadmapPhases[[#This Row],[_Task]]="","",COUNTIFS(tsk_Phase,RoadmapPhases[[#This Row],[WBS]],tsk_IsLeaf,1,tsk_Duration,"&gt;0",tsk_Progress,"&gt;=1")&amp;" of "&amp;COUNTIFS(tsk_Phase,RoadmapPhases[[#This Row],[WBS]],tsk_IsLeaf,1,tsk_Duration,"&gt;0")&amp;" done")</f>
        <v/>
      </c>
      <c r="M8" s="21">
        <f>IF(RoadmapPhases[[#This Row],[_Task]]="","",CHOOSE(IF(N(RoadmapPhases[[#This Row],[Finish Var]])&gt;=RAGRedSlipDays,2,IF(N(RoadmapPhases[[#This Row],[Finish Var]])&gt;=RAGAmberSlipDays,1,0))+1,"Green","Amber","Red"))</f>
        <v/>
      </c>
      <c r="N8" s="20">
        <f>IF(OR(RoadmapPhases[[#This Row],[_Task]]="",RoadmapPhases[[#This Row],[_Milestone]]=""),"",INDEX(tsk_Name,RoadmapPhases[[#This Row],[_Milestone]])&amp;" ("&amp;TEXT(INDEX(tsk_FcFinish,RoadmapPhases[[#This Row],[_Milestone]]),"dd-mmm")&amp;")")</f>
        <v/>
      </c>
      <c r="O8" s="20">
        <f>IF(RoadmapPhases[[#This Row],[_Task]]="","",HYPERLINK("#"&amp;ADDRESS(ROW(Tasks[[#Headers],[Task Name]])+RoadmapPhases[[#This Row],[_Task]],COLUMN(Tasks[[#Headers],[Task Name]]),1,1,"Tasks"),"Go to phase"))</f>
        <v/>
      </c>
      <c r="P8" s="42">
        <f>IF(RoadmapPhases[[#This Row],[_Task]]="","",IFERROR(MATCH(_xlfn.MINIFS(tsk_MilestoneKey,tsk_Phase,RoadmapPhases[[#This Row],[WBS]]),tsk_MilestoneKey,0),""))</f>
        <v/>
      </c>
    </row>
    <row r="9">
      <c r="B9" s="42">
        <f>IFERROR(MATCH(SMALL(tsk_PhaseKey,ROW()-ROW(RoadmapPhases[[#Headers],[_Task]])),tsk_PhaseKey,0),"")</f>
        <v/>
      </c>
      <c r="C9" s="20">
        <f>IF(RoadmapPhases[[#This Row],[_Task]]="","",INDEX(tsk_WBS,RoadmapPhases[[#This Row],[_Task]])&amp;"")</f>
        <v/>
      </c>
      <c r="D9" s="20">
        <f>IF(RoadmapPhases[[#This Row],[_Task]]="","",INDEX(tsk_Name,RoadmapPhases[[#This Row],[_Task]])&amp;"")</f>
        <v/>
      </c>
      <c r="E9" s="20">
        <f>IF(RoadmapPhases[[#This Row],[_Task]]="","",INDEX(tsk_Owner,RoadmapPhases[[#This Row],[_Task]])&amp;"")</f>
        <v/>
      </c>
      <c r="F9" s="51">
        <f>IF(RoadmapPhases[[#This Row],[_Task]]="","",IF(N(INDEX(tsk_PlanStart,RoadmapPhases[[#This Row],[_Task]]))=0,"",INDEX(tsk_PlanStart,RoadmapPhases[[#This Row],[_Task]])))</f>
        <v/>
      </c>
      <c r="G9" s="51">
        <f>IF(RoadmapPhases[[#This Row],[_Task]]="","",IF(N(INDEX(tsk_PlanFinish,RoadmapPhases[[#This Row],[_Task]]))=0,"",INDEX(tsk_PlanFinish,RoadmapPhases[[#This Row],[_Task]])))</f>
        <v/>
      </c>
      <c r="H9" s="51">
        <f>IF(RoadmapPhases[[#This Row],[_Task]]="","",IF(N(INDEX(tsk_FcStart,RoadmapPhases[[#This Row],[_Task]]))=0,"",INDEX(tsk_FcStart,RoadmapPhases[[#This Row],[_Task]])))</f>
        <v/>
      </c>
      <c r="I9" s="51">
        <f>IF(RoadmapPhases[[#This Row],[_Task]]="","",IF(N(INDEX(tsk_FcFinish,RoadmapPhases[[#This Row],[_Task]]))=0,"",INDEX(tsk_FcFinish,RoadmapPhases[[#This Row],[_Task]])))</f>
        <v/>
      </c>
      <c r="J9" s="45">
        <f>IF(RoadmapPhases[[#This Row],[_Task]]="","",INDEX(tsk_Progress,RoadmapPhases[[#This Row],[_Task]]))</f>
        <v/>
      </c>
      <c r="K9" s="44">
        <f>IF(RoadmapPhases[[#This Row],[_Task]]="","",INDEX(tsk_Variance,RoadmapPhases[[#This Row],[_Task]]))</f>
        <v/>
      </c>
      <c r="L9" s="21">
        <f>IF(RoadmapPhases[[#This Row],[_Task]]="","",COUNTIFS(tsk_Phase,RoadmapPhases[[#This Row],[WBS]],tsk_IsLeaf,1,tsk_Duration,"&gt;0",tsk_Progress,"&gt;=1")&amp;" of "&amp;COUNTIFS(tsk_Phase,RoadmapPhases[[#This Row],[WBS]],tsk_IsLeaf,1,tsk_Duration,"&gt;0")&amp;" done")</f>
        <v/>
      </c>
      <c r="M9" s="21">
        <f>IF(RoadmapPhases[[#This Row],[_Task]]="","",CHOOSE(IF(N(RoadmapPhases[[#This Row],[Finish Var]])&gt;=RAGRedSlipDays,2,IF(N(RoadmapPhases[[#This Row],[Finish Var]])&gt;=RAGAmberSlipDays,1,0))+1,"Green","Amber","Red"))</f>
        <v/>
      </c>
      <c r="N9" s="20">
        <f>IF(OR(RoadmapPhases[[#This Row],[_Task]]="",RoadmapPhases[[#This Row],[_Milestone]]=""),"",INDEX(tsk_Name,RoadmapPhases[[#This Row],[_Milestone]])&amp;" ("&amp;TEXT(INDEX(tsk_FcFinish,RoadmapPhases[[#This Row],[_Milestone]]),"dd-mmm")&amp;")")</f>
        <v/>
      </c>
      <c r="O9" s="20">
        <f>IF(RoadmapPhases[[#This Row],[_Task]]="","",HYPERLINK("#"&amp;ADDRESS(ROW(Tasks[[#Headers],[Task Name]])+RoadmapPhases[[#This Row],[_Task]],COLUMN(Tasks[[#Headers],[Task Name]]),1,1,"Tasks"),"Go to phase"))</f>
        <v/>
      </c>
      <c r="P9" s="42">
        <f>IF(RoadmapPhases[[#This Row],[_Task]]="","",IFERROR(MATCH(_xlfn.MINIFS(tsk_MilestoneKey,tsk_Phase,RoadmapPhases[[#This Row],[WBS]]),tsk_MilestoneKey,0),""))</f>
        <v/>
      </c>
    </row>
    <row r="10">
      <c r="B10" s="42">
        <f>IFERROR(MATCH(SMALL(tsk_PhaseKey,ROW()-ROW(RoadmapPhases[[#Headers],[_Task]])),tsk_PhaseKey,0),"")</f>
        <v/>
      </c>
      <c r="C10" s="20">
        <f>IF(RoadmapPhases[[#This Row],[_Task]]="","",INDEX(tsk_WBS,RoadmapPhases[[#This Row],[_Task]])&amp;"")</f>
        <v/>
      </c>
      <c r="D10" s="20">
        <f>IF(RoadmapPhases[[#This Row],[_Task]]="","",INDEX(tsk_Name,RoadmapPhases[[#This Row],[_Task]])&amp;"")</f>
        <v/>
      </c>
      <c r="E10" s="20">
        <f>IF(RoadmapPhases[[#This Row],[_Task]]="","",INDEX(tsk_Owner,RoadmapPhases[[#This Row],[_Task]])&amp;"")</f>
        <v/>
      </c>
      <c r="F10" s="51">
        <f>IF(RoadmapPhases[[#This Row],[_Task]]="","",IF(N(INDEX(tsk_PlanStart,RoadmapPhases[[#This Row],[_Task]]))=0,"",INDEX(tsk_PlanStart,RoadmapPhases[[#This Row],[_Task]])))</f>
        <v/>
      </c>
      <c r="G10" s="51">
        <f>IF(RoadmapPhases[[#This Row],[_Task]]="","",IF(N(INDEX(tsk_PlanFinish,RoadmapPhases[[#This Row],[_Task]]))=0,"",INDEX(tsk_PlanFinish,RoadmapPhases[[#This Row],[_Task]])))</f>
        <v/>
      </c>
      <c r="H10" s="51">
        <f>IF(RoadmapPhases[[#This Row],[_Task]]="","",IF(N(INDEX(tsk_FcStart,RoadmapPhases[[#This Row],[_Task]]))=0,"",INDEX(tsk_FcStart,RoadmapPhases[[#This Row],[_Task]])))</f>
        <v/>
      </c>
      <c r="I10" s="51">
        <f>IF(RoadmapPhases[[#This Row],[_Task]]="","",IF(N(INDEX(tsk_FcFinish,RoadmapPhases[[#This Row],[_Task]]))=0,"",INDEX(tsk_FcFinish,RoadmapPhases[[#This Row],[_Task]])))</f>
        <v/>
      </c>
      <c r="J10" s="45">
        <f>IF(RoadmapPhases[[#This Row],[_Task]]="","",INDEX(tsk_Progress,RoadmapPhases[[#This Row],[_Task]]))</f>
        <v/>
      </c>
      <c r="K10" s="44">
        <f>IF(RoadmapPhases[[#This Row],[_Task]]="","",INDEX(tsk_Variance,RoadmapPhases[[#This Row],[_Task]]))</f>
        <v/>
      </c>
      <c r="L10" s="21">
        <f>IF(RoadmapPhases[[#This Row],[_Task]]="","",COUNTIFS(tsk_Phase,RoadmapPhases[[#This Row],[WBS]],tsk_IsLeaf,1,tsk_Duration,"&gt;0",tsk_Progress,"&gt;=1")&amp;" of "&amp;COUNTIFS(tsk_Phase,RoadmapPhases[[#This Row],[WBS]],tsk_IsLeaf,1,tsk_Duration,"&gt;0")&amp;" done")</f>
        <v/>
      </c>
      <c r="M10" s="21">
        <f>IF(RoadmapPhases[[#This Row],[_Task]]="","",CHOOSE(IF(N(RoadmapPhases[[#This Row],[Finish Var]])&gt;=RAGRedSlipDays,2,IF(N(RoadmapPhases[[#This Row],[Finish Var]])&gt;=RAGAmberSlipDays,1,0))+1,"Green","Amber","Red"))</f>
        <v/>
      </c>
      <c r="N10" s="20">
        <f>IF(OR(RoadmapPhases[[#This Row],[_Task]]="",RoadmapPhases[[#This Row],[_Milestone]]=""),"",INDEX(tsk_Name,RoadmapPhases[[#This Row],[_Milestone]])&amp;" ("&amp;TEXT(INDEX(tsk_FcFinish,RoadmapPhases[[#This Row],[_Milestone]]),"dd-mmm")&amp;")")</f>
        <v/>
      </c>
      <c r="O10" s="20">
        <f>IF(RoadmapPhases[[#This Row],[_Task]]="","",HYPERLINK("#"&amp;ADDRESS(ROW(Tasks[[#Headers],[Task Name]])+RoadmapPhases[[#This Row],[_Task]],COLUMN(Tasks[[#Headers],[Task Name]]),1,1,"Tasks"),"Go to phase"))</f>
        <v/>
      </c>
      <c r="P10" s="42">
        <f>IF(RoadmapPhases[[#This Row],[_Task]]="","",IFERROR(MATCH(_xlfn.MINIFS(tsk_MilestoneKey,tsk_Phase,RoadmapPhases[[#This Row],[WBS]]),tsk_MilestoneKey,0),""))</f>
        <v/>
      </c>
    </row>
    <row r="11">
      <c r="B11" s="42">
        <f>IFERROR(MATCH(SMALL(tsk_PhaseKey,ROW()-ROW(RoadmapPhases[[#Headers],[_Task]])),tsk_PhaseKey,0),"")</f>
        <v/>
      </c>
      <c r="C11" s="20">
        <f>IF(RoadmapPhases[[#This Row],[_Task]]="","",INDEX(tsk_WBS,RoadmapPhases[[#This Row],[_Task]])&amp;"")</f>
        <v/>
      </c>
      <c r="D11" s="20">
        <f>IF(RoadmapPhases[[#This Row],[_Task]]="","",INDEX(tsk_Name,RoadmapPhases[[#This Row],[_Task]])&amp;"")</f>
        <v/>
      </c>
      <c r="E11" s="20">
        <f>IF(RoadmapPhases[[#This Row],[_Task]]="","",INDEX(tsk_Owner,RoadmapPhases[[#This Row],[_Task]])&amp;"")</f>
        <v/>
      </c>
      <c r="F11" s="51">
        <f>IF(RoadmapPhases[[#This Row],[_Task]]="","",IF(N(INDEX(tsk_PlanStart,RoadmapPhases[[#This Row],[_Task]]))=0,"",INDEX(tsk_PlanStart,RoadmapPhases[[#This Row],[_Task]])))</f>
        <v/>
      </c>
      <c r="G11" s="51">
        <f>IF(RoadmapPhases[[#This Row],[_Task]]="","",IF(N(INDEX(tsk_PlanFinish,RoadmapPhases[[#This Row],[_Task]]))=0,"",INDEX(tsk_PlanFinish,RoadmapPhases[[#This Row],[_Task]])))</f>
        <v/>
      </c>
      <c r="H11" s="51">
        <f>IF(RoadmapPhases[[#This Row],[_Task]]="","",IF(N(INDEX(tsk_FcStart,RoadmapPhases[[#This Row],[_Task]]))=0,"",INDEX(tsk_FcStart,RoadmapPhases[[#This Row],[_Task]])))</f>
        <v/>
      </c>
      <c r="I11" s="51">
        <f>IF(RoadmapPhases[[#This Row],[_Task]]="","",IF(N(INDEX(tsk_FcFinish,RoadmapPhases[[#This Row],[_Task]]))=0,"",INDEX(tsk_FcFinish,RoadmapPhases[[#This Row],[_Task]])))</f>
        <v/>
      </c>
      <c r="J11" s="45">
        <f>IF(RoadmapPhases[[#This Row],[_Task]]="","",INDEX(tsk_Progress,RoadmapPhases[[#This Row],[_Task]]))</f>
        <v/>
      </c>
      <c r="K11" s="44">
        <f>IF(RoadmapPhases[[#This Row],[_Task]]="","",INDEX(tsk_Variance,RoadmapPhases[[#This Row],[_Task]]))</f>
        <v/>
      </c>
      <c r="L11" s="21">
        <f>IF(RoadmapPhases[[#This Row],[_Task]]="","",COUNTIFS(tsk_Phase,RoadmapPhases[[#This Row],[WBS]],tsk_IsLeaf,1,tsk_Duration,"&gt;0",tsk_Progress,"&gt;=1")&amp;" of "&amp;COUNTIFS(tsk_Phase,RoadmapPhases[[#This Row],[WBS]],tsk_IsLeaf,1,tsk_Duration,"&gt;0")&amp;" done")</f>
        <v/>
      </c>
      <c r="M11" s="21">
        <f>IF(RoadmapPhases[[#This Row],[_Task]]="","",CHOOSE(IF(N(RoadmapPhases[[#This Row],[Finish Var]])&gt;=RAGRedSlipDays,2,IF(N(RoadmapPhases[[#This Row],[Finish Var]])&gt;=RAGAmberSlipDays,1,0))+1,"Green","Amber","Red"))</f>
        <v/>
      </c>
      <c r="N11" s="20">
        <f>IF(OR(RoadmapPhases[[#This Row],[_Task]]="",RoadmapPhases[[#This Row],[_Milestone]]=""),"",INDEX(tsk_Name,RoadmapPhases[[#This Row],[_Milestone]])&amp;" ("&amp;TEXT(INDEX(tsk_FcFinish,RoadmapPhases[[#This Row],[_Milestone]]),"dd-mmm")&amp;")")</f>
        <v/>
      </c>
      <c r="O11" s="20">
        <f>IF(RoadmapPhases[[#This Row],[_Task]]="","",HYPERLINK("#"&amp;ADDRESS(ROW(Tasks[[#Headers],[Task Name]])+RoadmapPhases[[#This Row],[_Task]],COLUMN(Tasks[[#Headers],[Task Name]]),1,1,"Tasks"),"Go to phase"))</f>
        <v/>
      </c>
      <c r="P11" s="42">
        <f>IF(RoadmapPhases[[#This Row],[_Task]]="","",IFERROR(MATCH(_xlfn.MINIFS(tsk_MilestoneKey,tsk_Phase,RoadmapPhases[[#This Row],[WBS]]),tsk_MilestoneKey,0),""))</f>
        <v/>
      </c>
    </row>
    <row r="12">
      <c r="B12" s="42">
        <f>IFERROR(MATCH(SMALL(tsk_PhaseKey,ROW()-ROW(RoadmapPhases[[#Headers],[_Task]])),tsk_PhaseKey,0),"")</f>
        <v/>
      </c>
      <c r="C12" s="20">
        <f>IF(RoadmapPhases[[#This Row],[_Task]]="","",INDEX(tsk_WBS,RoadmapPhases[[#This Row],[_Task]])&amp;"")</f>
        <v/>
      </c>
      <c r="D12" s="20">
        <f>IF(RoadmapPhases[[#This Row],[_Task]]="","",INDEX(tsk_Name,RoadmapPhases[[#This Row],[_Task]])&amp;"")</f>
        <v/>
      </c>
      <c r="E12" s="20">
        <f>IF(RoadmapPhases[[#This Row],[_Task]]="","",INDEX(tsk_Owner,RoadmapPhases[[#This Row],[_Task]])&amp;"")</f>
        <v/>
      </c>
      <c r="F12" s="51">
        <f>IF(RoadmapPhases[[#This Row],[_Task]]="","",IF(N(INDEX(tsk_PlanStart,RoadmapPhases[[#This Row],[_Task]]))=0,"",INDEX(tsk_PlanStart,RoadmapPhases[[#This Row],[_Task]])))</f>
        <v/>
      </c>
      <c r="G12" s="51">
        <f>IF(RoadmapPhases[[#This Row],[_Task]]="","",IF(N(INDEX(tsk_PlanFinish,RoadmapPhases[[#This Row],[_Task]]))=0,"",INDEX(tsk_PlanFinish,RoadmapPhases[[#This Row],[_Task]])))</f>
        <v/>
      </c>
      <c r="H12" s="51">
        <f>IF(RoadmapPhases[[#This Row],[_Task]]="","",IF(N(INDEX(tsk_FcStart,RoadmapPhases[[#This Row],[_Task]]))=0,"",INDEX(tsk_FcStart,RoadmapPhases[[#This Row],[_Task]])))</f>
        <v/>
      </c>
      <c r="I12" s="51">
        <f>IF(RoadmapPhases[[#This Row],[_Task]]="","",IF(N(INDEX(tsk_FcFinish,RoadmapPhases[[#This Row],[_Task]]))=0,"",INDEX(tsk_FcFinish,RoadmapPhases[[#This Row],[_Task]])))</f>
        <v/>
      </c>
      <c r="J12" s="45">
        <f>IF(RoadmapPhases[[#This Row],[_Task]]="","",INDEX(tsk_Progress,RoadmapPhases[[#This Row],[_Task]]))</f>
        <v/>
      </c>
      <c r="K12" s="44">
        <f>IF(RoadmapPhases[[#This Row],[_Task]]="","",INDEX(tsk_Variance,RoadmapPhases[[#This Row],[_Task]]))</f>
        <v/>
      </c>
      <c r="L12" s="21">
        <f>IF(RoadmapPhases[[#This Row],[_Task]]="","",COUNTIFS(tsk_Phase,RoadmapPhases[[#This Row],[WBS]],tsk_IsLeaf,1,tsk_Duration,"&gt;0",tsk_Progress,"&gt;=1")&amp;" of "&amp;COUNTIFS(tsk_Phase,RoadmapPhases[[#This Row],[WBS]],tsk_IsLeaf,1,tsk_Duration,"&gt;0")&amp;" done")</f>
        <v/>
      </c>
      <c r="M12" s="21">
        <f>IF(RoadmapPhases[[#This Row],[_Task]]="","",CHOOSE(IF(N(RoadmapPhases[[#This Row],[Finish Var]])&gt;=RAGRedSlipDays,2,IF(N(RoadmapPhases[[#This Row],[Finish Var]])&gt;=RAGAmberSlipDays,1,0))+1,"Green","Amber","Red"))</f>
        <v/>
      </c>
      <c r="N12" s="20">
        <f>IF(OR(RoadmapPhases[[#This Row],[_Task]]="",RoadmapPhases[[#This Row],[_Milestone]]=""),"",INDEX(tsk_Name,RoadmapPhases[[#This Row],[_Milestone]])&amp;" ("&amp;TEXT(INDEX(tsk_FcFinish,RoadmapPhases[[#This Row],[_Milestone]]),"dd-mmm")&amp;")")</f>
        <v/>
      </c>
      <c r="O12" s="20">
        <f>IF(RoadmapPhases[[#This Row],[_Task]]="","",HYPERLINK("#"&amp;ADDRESS(ROW(Tasks[[#Headers],[Task Name]])+RoadmapPhases[[#This Row],[_Task]],COLUMN(Tasks[[#Headers],[Task Name]]),1,1,"Tasks"),"Go to phase"))</f>
        <v/>
      </c>
      <c r="P12" s="42">
        <f>IF(RoadmapPhases[[#This Row],[_Task]]="","",IFERROR(MATCH(_xlfn.MINIFS(tsk_MilestoneKey,tsk_Phase,RoadmapPhases[[#This Row],[WBS]]),tsk_MilestoneKey,0),""))</f>
        <v/>
      </c>
    </row>
    <row r="13">
      <c r="B13" s="42">
        <f>IFERROR(MATCH(SMALL(tsk_PhaseKey,ROW()-ROW(RoadmapPhases[[#Headers],[_Task]])),tsk_PhaseKey,0),"")</f>
        <v/>
      </c>
      <c r="C13" s="20">
        <f>IF(RoadmapPhases[[#This Row],[_Task]]="","",INDEX(tsk_WBS,RoadmapPhases[[#This Row],[_Task]])&amp;"")</f>
        <v/>
      </c>
      <c r="D13" s="20">
        <f>IF(RoadmapPhases[[#This Row],[_Task]]="","",INDEX(tsk_Name,RoadmapPhases[[#This Row],[_Task]])&amp;"")</f>
        <v/>
      </c>
      <c r="E13" s="20">
        <f>IF(RoadmapPhases[[#This Row],[_Task]]="","",INDEX(tsk_Owner,RoadmapPhases[[#This Row],[_Task]])&amp;"")</f>
        <v/>
      </c>
      <c r="F13" s="51">
        <f>IF(RoadmapPhases[[#This Row],[_Task]]="","",IF(N(INDEX(tsk_PlanStart,RoadmapPhases[[#This Row],[_Task]]))=0,"",INDEX(tsk_PlanStart,RoadmapPhases[[#This Row],[_Task]])))</f>
        <v/>
      </c>
      <c r="G13" s="51">
        <f>IF(RoadmapPhases[[#This Row],[_Task]]="","",IF(N(INDEX(tsk_PlanFinish,RoadmapPhases[[#This Row],[_Task]]))=0,"",INDEX(tsk_PlanFinish,RoadmapPhases[[#This Row],[_Task]])))</f>
        <v/>
      </c>
      <c r="H13" s="51">
        <f>IF(RoadmapPhases[[#This Row],[_Task]]="","",IF(N(INDEX(tsk_FcStart,RoadmapPhases[[#This Row],[_Task]]))=0,"",INDEX(tsk_FcStart,RoadmapPhases[[#This Row],[_Task]])))</f>
        <v/>
      </c>
      <c r="I13" s="51">
        <f>IF(RoadmapPhases[[#This Row],[_Task]]="","",IF(N(INDEX(tsk_FcFinish,RoadmapPhases[[#This Row],[_Task]]))=0,"",INDEX(tsk_FcFinish,RoadmapPhases[[#This Row],[_Task]])))</f>
        <v/>
      </c>
      <c r="J13" s="45">
        <f>IF(RoadmapPhases[[#This Row],[_Task]]="","",INDEX(tsk_Progress,RoadmapPhases[[#This Row],[_Task]]))</f>
        <v/>
      </c>
      <c r="K13" s="44">
        <f>IF(RoadmapPhases[[#This Row],[_Task]]="","",INDEX(tsk_Variance,RoadmapPhases[[#This Row],[_Task]]))</f>
        <v/>
      </c>
      <c r="L13" s="21">
        <f>IF(RoadmapPhases[[#This Row],[_Task]]="","",COUNTIFS(tsk_Phase,RoadmapPhases[[#This Row],[WBS]],tsk_IsLeaf,1,tsk_Duration,"&gt;0",tsk_Progress,"&gt;=1")&amp;" of "&amp;COUNTIFS(tsk_Phase,RoadmapPhases[[#This Row],[WBS]],tsk_IsLeaf,1,tsk_Duration,"&gt;0")&amp;" done")</f>
        <v/>
      </c>
      <c r="M13" s="21">
        <f>IF(RoadmapPhases[[#This Row],[_Task]]="","",CHOOSE(IF(N(RoadmapPhases[[#This Row],[Finish Var]])&gt;=RAGRedSlipDays,2,IF(N(RoadmapPhases[[#This Row],[Finish Var]])&gt;=RAGAmberSlipDays,1,0))+1,"Green","Amber","Red"))</f>
        <v/>
      </c>
      <c r="N13" s="20">
        <f>IF(OR(RoadmapPhases[[#This Row],[_Task]]="",RoadmapPhases[[#This Row],[_Milestone]]=""),"",INDEX(tsk_Name,RoadmapPhases[[#This Row],[_Milestone]])&amp;" ("&amp;TEXT(INDEX(tsk_FcFinish,RoadmapPhases[[#This Row],[_Milestone]]),"dd-mmm")&amp;")")</f>
        <v/>
      </c>
      <c r="O13" s="20">
        <f>IF(RoadmapPhases[[#This Row],[_Task]]="","",HYPERLINK("#"&amp;ADDRESS(ROW(Tasks[[#Headers],[Task Name]])+RoadmapPhases[[#This Row],[_Task]],COLUMN(Tasks[[#Headers],[Task Name]]),1,1,"Tasks"),"Go to phase"))</f>
        <v/>
      </c>
      <c r="P13" s="42">
        <f>IF(RoadmapPhases[[#This Row],[_Task]]="","",IFERROR(MATCH(_xlfn.MINIFS(tsk_MilestoneKey,tsk_Phase,RoadmapPhases[[#This Row],[WBS]]),tsk_MilestoneKey,0),""))</f>
        <v/>
      </c>
    </row>
    <row r="14">
      <c r="B14" s="42">
        <f>IFERROR(MATCH(SMALL(tsk_PhaseKey,ROW()-ROW(RoadmapPhases[[#Headers],[_Task]])),tsk_PhaseKey,0),"")</f>
        <v/>
      </c>
      <c r="C14" s="20">
        <f>IF(RoadmapPhases[[#This Row],[_Task]]="","",INDEX(tsk_WBS,RoadmapPhases[[#This Row],[_Task]])&amp;"")</f>
        <v/>
      </c>
      <c r="D14" s="20">
        <f>IF(RoadmapPhases[[#This Row],[_Task]]="","",INDEX(tsk_Name,RoadmapPhases[[#This Row],[_Task]])&amp;"")</f>
        <v/>
      </c>
      <c r="E14" s="20">
        <f>IF(RoadmapPhases[[#This Row],[_Task]]="","",INDEX(tsk_Owner,RoadmapPhases[[#This Row],[_Task]])&amp;"")</f>
        <v/>
      </c>
      <c r="F14" s="51">
        <f>IF(RoadmapPhases[[#This Row],[_Task]]="","",IF(N(INDEX(tsk_PlanStart,RoadmapPhases[[#This Row],[_Task]]))=0,"",INDEX(tsk_PlanStart,RoadmapPhases[[#This Row],[_Task]])))</f>
        <v/>
      </c>
      <c r="G14" s="51">
        <f>IF(RoadmapPhases[[#This Row],[_Task]]="","",IF(N(INDEX(tsk_PlanFinish,RoadmapPhases[[#This Row],[_Task]]))=0,"",INDEX(tsk_PlanFinish,RoadmapPhases[[#This Row],[_Task]])))</f>
        <v/>
      </c>
      <c r="H14" s="51">
        <f>IF(RoadmapPhases[[#This Row],[_Task]]="","",IF(N(INDEX(tsk_FcStart,RoadmapPhases[[#This Row],[_Task]]))=0,"",INDEX(tsk_FcStart,RoadmapPhases[[#This Row],[_Task]])))</f>
        <v/>
      </c>
      <c r="I14" s="51">
        <f>IF(RoadmapPhases[[#This Row],[_Task]]="","",IF(N(INDEX(tsk_FcFinish,RoadmapPhases[[#This Row],[_Task]]))=0,"",INDEX(tsk_FcFinish,RoadmapPhases[[#This Row],[_Task]])))</f>
        <v/>
      </c>
      <c r="J14" s="45">
        <f>IF(RoadmapPhases[[#This Row],[_Task]]="","",INDEX(tsk_Progress,RoadmapPhases[[#This Row],[_Task]]))</f>
        <v/>
      </c>
      <c r="K14" s="44">
        <f>IF(RoadmapPhases[[#This Row],[_Task]]="","",INDEX(tsk_Variance,RoadmapPhases[[#This Row],[_Task]]))</f>
        <v/>
      </c>
      <c r="L14" s="21">
        <f>IF(RoadmapPhases[[#This Row],[_Task]]="","",COUNTIFS(tsk_Phase,RoadmapPhases[[#This Row],[WBS]],tsk_IsLeaf,1,tsk_Duration,"&gt;0",tsk_Progress,"&gt;=1")&amp;" of "&amp;COUNTIFS(tsk_Phase,RoadmapPhases[[#This Row],[WBS]],tsk_IsLeaf,1,tsk_Duration,"&gt;0")&amp;" done")</f>
        <v/>
      </c>
      <c r="M14" s="21">
        <f>IF(RoadmapPhases[[#This Row],[_Task]]="","",CHOOSE(IF(N(RoadmapPhases[[#This Row],[Finish Var]])&gt;=RAGRedSlipDays,2,IF(N(RoadmapPhases[[#This Row],[Finish Var]])&gt;=RAGAmberSlipDays,1,0))+1,"Green","Amber","Red"))</f>
        <v/>
      </c>
      <c r="N14" s="20">
        <f>IF(OR(RoadmapPhases[[#This Row],[_Task]]="",RoadmapPhases[[#This Row],[_Milestone]]=""),"",INDEX(tsk_Name,RoadmapPhases[[#This Row],[_Milestone]])&amp;" ("&amp;TEXT(INDEX(tsk_FcFinish,RoadmapPhases[[#This Row],[_Milestone]]),"dd-mmm")&amp;")")</f>
        <v/>
      </c>
      <c r="O14" s="20">
        <f>IF(RoadmapPhases[[#This Row],[_Task]]="","",HYPERLINK("#"&amp;ADDRESS(ROW(Tasks[[#Headers],[Task Name]])+RoadmapPhases[[#This Row],[_Task]],COLUMN(Tasks[[#Headers],[Task Name]]),1,1,"Tasks"),"Go to phase"))</f>
        <v/>
      </c>
      <c r="P14" s="42">
        <f>IF(RoadmapPhases[[#This Row],[_Task]]="","",IFERROR(MATCH(_xlfn.MINIFS(tsk_MilestoneKey,tsk_Phase,RoadmapPhases[[#This Row],[WBS]]),tsk_MilestoneKey,0),""))</f>
        <v/>
      </c>
    </row>
    <row r="15">
      <c r="B15" s="42">
        <f>IFERROR(MATCH(SMALL(tsk_PhaseKey,ROW()-ROW(RoadmapPhases[[#Headers],[_Task]])),tsk_PhaseKey,0),"")</f>
        <v/>
      </c>
      <c r="C15" s="20">
        <f>IF(RoadmapPhases[[#This Row],[_Task]]="","",INDEX(tsk_WBS,RoadmapPhases[[#This Row],[_Task]])&amp;"")</f>
        <v/>
      </c>
      <c r="D15" s="20">
        <f>IF(RoadmapPhases[[#This Row],[_Task]]="","",INDEX(tsk_Name,RoadmapPhases[[#This Row],[_Task]])&amp;"")</f>
        <v/>
      </c>
      <c r="E15" s="20">
        <f>IF(RoadmapPhases[[#This Row],[_Task]]="","",INDEX(tsk_Owner,RoadmapPhases[[#This Row],[_Task]])&amp;"")</f>
        <v/>
      </c>
      <c r="F15" s="51">
        <f>IF(RoadmapPhases[[#This Row],[_Task]]="","",IF(N(INDEX(tsk_PlanStart,RoadmapPhases[[#This Row],[_Task]]))=0,"",INDEX(tsk_PlanStart,RoadmapPhases[[#This Row],[_Task]])))</f>
        <v/>
      </c>
      <c r="G15" s="51">
        <f>IF(RoadmapPhases[[#This Row],[_Task]]="","",IF(N(INDEX(tsk_PlanFinish,RoadmapPhases[[#This Row],[_Task]]))=0,"",INDEX(tsk_PlanFinish,RoadmapPhases[[#This Row],[_Task]])))</f>
        <v/>
      </c>
      <c r="H15" s="51">
        <f>IF(RoadmapPhases[[#This Row],[_Task]]="","",IF(N(INDEX(tsk_FcStart,RoadmapPhases[[#This Row],[_Task]]))=0,"",INDEX(tsk_FcStart,RoadmapPhases[[#This Row],[_Task]])))</f>
        <v/>
      </c>
      <c r="I15" s="51">
        <f>IF(RoadmapPhases[[#This Row],[_Task]]="","",IF(N(INDEX(tsk_FcFinish,RoadmapPhases[[#This Row],[_Task]]))=0,"",INDEX(tsk_FcFinish,RoadmapPhases[[#This Row],[_Task]])))</f>
        <v/>
      </c>
      <c r="J15" s="45">
        <f>IF(RoadmapPhases[[#This Row],[_Task]]="","",INDEX(tsk_Progress,RoadmapPhases[[#This Row],[_Task]]))</f>
        <v/>
      </c>
      <c r="K15" s="44">
        <f>IF(RoadmapPhases[[#This Row],[_Task]]="","",INDEX(tsk_Variance,RoadmapPhases[[#This Row],[_Task]]))</f>
        <v/>
      </c>
      <c r="L15" s="21">
        <f>IF(RoadmapPhases[[#This Row],[_Task]]="","",COUNTIFS(tsk_Phase,RoadmapPhases[[#This Row],[WBS]],tsk_IsLeaf,1,tsk_Duration,"&gt;0",tsk_Progress,"&gt;=1")&amp;" of "&amp;COUNTIFS(tsk_Phase,RoadmapPhases[[#This Row],[WBS]],tsk_IsLeaf,1,tsk_Duration,"&gt;0")&amp;" done")</f>
        <v/>
      </c>
      <c r="M15" s="21">
        <f>IF(RoadmapPhases[[#This Row],[_Task]]="","",CHOOSE(IF(N(RoadmapPhases[[#This Row],[Finish Var]])&gt;=RAGRedSlipDays,2,IF(N(RoadmapPhases[[#This Row],[Finish Var]])&gt;=RAGAmberSlipDays,1,0))+1,"Green","Amber","Red"))</f>
        <v/>
      </c>
      <c r="N15" s="20">
        <f>IF(OR(RoadmapPhases[[#This Row],[_Task]]="",RoadmapPhases[[#This Row],[_Milestone]]=""),"",INDEX(tsk_Name,RoadmapPhases[[#This Row],[_Milestone]])&amp;" ("&amp;TEXT(INDEX(tsk_FcFinish,RoadmapPhases[[#This Row],[_Milestone]]),"dd-mmm")&amp;")")</f>
        <v/>
      </c>
      <c r="O15" s="20">
        <f>IF(RoadmapPhases[[#This Row],[_Task]]="","",HYPERLINK("#"&amp;ADDRESS(ROW(Tasks[[#Headers],[Task Name]])+RoadmapPhases[[#This Row],[_Task]],COLUMN(Tasks[[#Headers],[Task Name]]),1,1,"Tasks"),"Go to phase"))</f>
        <v/>
      </c>
      <c r="P15" s="42">
        <f>IF(RoadmapPhases[[#This Row],[_Task]]="","",IFERROR(MATCH(_xlfn.MINIFS(tsk_MilestoneKey,tsk_Phase,RoadmapPhases[[#This Row],[WBS]]),tsk_MilestoneKey,0),""))</f>
        <v/>
      </c>
    </row>
    <row r="16">
      <c r="B16" s="42">
        <f>IFERROR(MATCH(SMALL(tsk_PhaseKey,ROW()-ROW(RoadmapPhases[[#Headers],[_Task]])),tsk_PhaseKey,0),"")</f>
        <v/>
      </c>
      <c r="C16" s="20">
        <f>IF(RoadmapPhases[[#This Row],[_Task]]="","",INDEX(tsk_WBS,RoadmapPhases[[#This Row],[_Task]])&amp;"")</f>
        <v/>
      </c>
      <c r="D16" s="20">
        <f>IF(RoadmapPhases[[#This Row],[_Task]]="","",INDEX(tsk_Name,RoadmapPhases[[#This Row],[_Task]])&amp;"")</f>
        <v/>
      </c>
      <c r="E16" s="20">
        <f>IF(RoadmapPhases[[#This Row],[_Task]]="","",INDEX(tsk_Owner,RoadmapPhases[[#This Row],[_Task]])&amp;"")</f>
        <v/>
      </c>
      <c r="F16" s="51">
        <f>IF(RoadmapPhases[[#This Row],[_Task]]="","",IF(N(INDEX(tsk_PlanStart,RoadmapPhases[[#This Row],[_Task]]))=0,"",INDEX(tsk_PlanStart,RoadmapPhases[[#This Row],[_Task]])))</f>
        <v/>
      </c>
      <c r="G16" s="51">
        <f>IF(RoadmapPhases[[#This Row],[_Task]]="","",IF(N(INDEX(tsk_PlanFinish,RoadmapPhases[[#This Row],[_Task]]))=0,"",INDEX(tsk_PlanFinish,RoadmapPhases[[#This Row],[_Task]])))</f>
        <v/>
      </c>
      <c r="H16" s="51">
        <f>IF(RoadmapPhases[[#This Row],[_Task]]="","",IF(N(INDEX(tsk_FcStart,RoadmapPhases[[#This Row],[_Task]]))=0,"",INDEX(tsk_FcStart,RoadmapPhases[[#This Row],[_Task]])))</f>
        <v/>
      </c>
      <c r="I16" s="51">
        <f>IF(RoadmapPhases[[#This Row],[_Task]]="","",IF(N(INDEX(tsk_FcFinish,RoadmapPhases[[#This Row],[_Task]]))=0,"",INDEX(tsk_FcFinish,RoadmapPhases[[#This Row],[_Task]])))</f>
        <v/>
      </c>
      <c r="J16" s="45">
        <f>IF(RoadmapPhases[[#This Row],[_Task]]="","",INDEX(tsk_Progress,RoadmapPhases[[#This Row],[_Task]]))</f>
        <v/>
      </c>
      <c r="K16" s="44">
        <f>IF(RoadmapPhases[[#This Row],[_Task]]="","",INDEX(tsk_Variance,RoadmapPhases[[#This Row],[_Task]]))</f>
        <v/>
      </c>
      <c r="L16" s="21">
        <f>IF(RoadmapPhases[[#This Row],[_Task]]="","",COUNTIFS(tsk_Phase,RoadmapPhases[[#This Row],[WBS]],tsk_IsLeaf,1,tsk_Duration,"&gt;0",tsk_Progress,"&gt;=1")&amp;" of "&amp;COUNTIFS(tsk_Phase,RoadmapPhases[[#This Row],[WBS]],tsk_IsLeaf,1,tsk_Duration,"&gt;0")&amp;" done")</f>
        <v/>
      </c>
      <c r="M16" s="21">
        <f>IF(RoadmapPhases[[#This Row],[_Task]]="","",CHOOSE(IF(N(RoadmapPhases[[#This Row],[Finish Var]])&gt;=RAGRedSlipDays,2,IF(N(RoadmapPhases[[#This Row],[Finish Var]])&gt;=RAGAmberSlipDays,1,0))+1,"Green","Amber","Red"))</f>
        <v/>
      </c>
      <c r="N16" s="20">
        <f>IF(OR(RoadmapPhases[[#This Row],[_Task]]="",RoadmapPhases[[#This Row],[_Milestone]]=""),"",INDEX(tsk_Name,RoadmapPhases[[#This Row],[_Milestone]])&amp;" ("&amp;TEXT(INDEX(tsk_FcFinish,RoadmapPhases[[#This Row],[_Milestone]]),"dd-mmm")&amp;")")</f>
        <v/>
      </c>
      <c r="O16" s="20">
        <f>IF(RoadmapPhases[[#This Row],[_Task]]="","",HYPERLINK("#"&amp;ADDRESS(ROW(Tasks[[#Headers],[Task Name]])+RoadmapPhases[[#This Row],[_Task]],COLUMN(Tasks[[#Headers],[Task Name]]),1,1,"Tasks"),"Go to phase"))</f>
        <v/>
      </c>
      <c r="P16" s="42">
        <f>IF(RoadmapPhases[[#This Row],[_Task]]="","",IFERROR(MATCH(_xlfn.MINIFS(tsk_MilestoneKey,tsk_Phase,RoadmapPhases[[#This Row],[WBS]]),tsk_MilestoneKey,0),""))</f>
        <v/>
      </c>
    </row>
    <row r="17">
      <c r="B17" s="42">
        <f>IFERROR(MATCH(SMALL(tsk_PhaseKey,ROW()-ROW(RoadmapPhases[[#Headers],[_Task]])),tsk_PhaseKey,0),"")</f>
        <v/>
      </c>
      <c r="C17" s="20">
        <f>IF(RoadmapPhases[[#This Row],[_Task]]="","",INDEX(tsk_WBS,RoadmapPhases[[#This Row],[_Task]])&amp;"")</f>
        <v/>
      </c>
      <c r="D17" s="20">
        <f>IF(RoadmapPhases[[#This Row],[_Task]]="","",INDEX(tsk_Name,RoadmapPhases[[#This Row],[_Task]])&amp;"")</f>
        <v/>
      </c>
      <c r="E17" s="20">
        <f>IF(RoadmapPhases[[#This Row],[_Task]]="","",INDEX(tsk_Owner,RoadmapPhases[[#This Row],[_Task]])&amp;"")</f>
        <v/>
      </c>
      <c r="F17" s="51">
        <f>IF(RoadmapPhases[[#This Row],[_Task]]="","",IF(N(INDEX(tsk_PlanStart,RoadmapPhases[[#This Row],[_Task]]))=0,"",INDEX(tsk_PlanStart,RoadmapPhases[[#This Row],[_Task]])))</f>
        <v/>
      </c>
      <c r="G17" s="51">
        <f>IF(RoadmapPhases[[#This Row],[_Task]]="","",IF(N(INDEX(tsk_PlanFinish,RoadmapPhases[[#This Row],[_Task]]))=0,"",INDEX(tsk_PlanFinish,RoadmapPhases[[#This Row],[_Task]])))</f>
        <v/>
      </c>
      <c r="H17" s="51">
        <f>IF(RoadmapPhases[[#This Row],[_Task]]="","",IF(N(INDEX(tsk_FcStart,RoadmapPhases[[#This Row],[_Task]]))=0,"",INDEX(tsk_FcStart,RoadmapPhases[[#This Row],[_Task]])))</f>
        <v/>
      </c>
      <c r="I17" s="51">
        <f>IF(RoadmapPhases[[#This Row],[_Task]]="","",IF(N(INDEX(tsk_FcFinish,RoadmapPhases[[#This Row],[_Task]]))=0,"",INDEX(tsk_FcFinish,RoadmapPhases[[#This Row],[_Task]])))</f>
        <v/>
      </c>
      <c r="J17" s="45">
        <f>IF(RoadmapPhases[[#This Row],[_Task]]="","",INDEX(tsk_Progress,RoadmapPhases[[#This Row],[_Task]]))</f>
        <v/>
      </c>
      <c r="K17" s="44">
        <f>IF(RoadmapPhases[[#This Row],[_Task]]="","",INDEX(tsk_Variance,RoadmapPhases[[#This Row],[_Task]]))</f>
        <v/>
      </c>
      <c r="L17" s="21">
        <f>IF(RoadmapPhases[[#This Row],[_Task]]="","",COUNTIFS(tsk_Phase,RoadmapPhases[[#This Row],[WBS]],tsk_IsLeaf,1,tsk_Duration,"&gt;0",tsk_Progress,"&gt;=1")&amp;" of "&amp;COUNTIFS(tsk_Phase,RoadmapPhases[[#This Row],[WBS]],tsk_IsLeaf,1,tsk_Duration,"&gt;0")&amp;" done")</f>
        <v/>
      </c>
      <c r="M17" s="21">
        <f>IF(RoadmapPhases[[#This Row],[_Task]]="","",CHOOSE(IF(N(RoadmapPhases[[#This Row],[Finish Var]])&gt;=RAGRedSlipDays,2,IF(N(RoadmapPhases[[#This Row],[Finish Var]])&gt;=RAGAmberSlipDays,1,0))+1,"Green","Amber","Red"))</f>
        <v/>
      </c>
      <c r="N17" s="20">
        <f>IF(OR(RoadmapPhases[[#This Row],[_Task]]="",RoadmapPhases[[#This Row],[_Milestone]]=""),"",INDEX(tsk_Name,RoadmapPhases[[#This Row],[_Milestone]])&amp;" ("&amp;TEXT(INDEX(tsk_FcFinish,RoadmapPhases[[#This Row],[_Milestone]]),"dd-mmm")&amp;")")</f>
        <v/>
      </c>
      <c r="O17" s="20">
        <f>IF(RoadmapPhases[[#This Row],[_Task]]="","",HYPERLINK("#"&amp;ADDRESS(ROW(Tasks[[#Headers],[Task Name]])+RoadmapPhases[[#This Row],[_Task]],COLUMN(Tasks[[#Headers],[Task Name]]),1,1,"Tasks"),"Go to phase"))</f>
        <v/>
      </c>
      <c r="P17" s="42">
        <f>IF(RoadmapPhases[[#This Row],[_Task]]="","",IFERROR(MATCH(_xlfn.MINIFS(tsk_MilestoneKey,tsk_Phase,RoadmapPhases[[#This Row],[WBS]]),tsk_MilestoneKey,0),""))</f>
        <v/>
      </c>
    </row>
    <row r="18"/>
    <row r="19">
      <c r="C19" s="28">
        <f>"Milestones (in planned order)"&amp;": "&amp;COUNT(tsk_MilestoneOrder)&amp;IF(COUNT(tsk_MilestoneOrder)&gt;ROWS(RoadmapMilestones[_Task])," (showing the first "&amp;ROWS(RoadmapMilestones[_Task])&amp;")","")</f>
        <v/>
      </c>
    </row>
    <row r="20">
      <c r="B20" s="41" t="inlineStr">
        <is>
          <t>_Task</t>
        </is>
      </c>
      <c r="C20" s="17" t="inlineStr">
        <is>
          <t>WBS</t>
        </is>
      </c>
      <c r="D20" s="17" t="inlineStr">
        <is>
          <t>Milestone</t>
        </is>
      </c>
      <c r="E20" s="17" t="inlineStr">
        <is>
          <t>Planned</t>
        </is>
      </c>
      <c r="F20" s="17" t="inlineStr">
        <is>
          <t>Deadline</t>
        </is>
      </c>
      <c r="G20" s="17" t="inlineStr">
        <is>
          <t>Forecast</t>
        </is>
      </c>
      <c r="H20" s="17" t="inlineStr">
        <is>
          <t>Deadline Check</t>
        </is>
      </c>
      <c r="I20" s="17" t="inlineStr">
        <is>
          <t>Status</t>
        </is>
      </c>
      <c r="J20" s="17" t="inlineStr">
        <is>
          <t>Finish Var</t>
        </is>
      </c>
    </row>
    <row r="21">
      <c r="B21" s="42">
        <f>IFERROR(MATCH(SMALL(tsk_MilestoneOrder,ROW()-ROW(RoadmapMilestones[[#Headers],[_Task]])),tsk_MilestoneOrder,0),"")</f>
        <v/>
      </c>
      <c r="C21" s="20">
        <f>IF(RoadmapMilestones[[#This Row],[_Task]]="","",INDEX(tsk_WBS,RoadmapMilestones[[#This Row],[_Task]])&amp;"")</f>
        <v/>
      </c>
      <c r="D21" s="20">
        <f>IF(RoadmapMilestones[[#This Row],[_Task]]="","",INDEX(tsk_Name,RoadmapMilestones[[#This Row],[_Task]])&amp;"")</f>
        <v/>
      </c>
      <c r="E21" s="51">
        <f>IF(RoadmapMilestones[[#This Row],[_Task]]="","",IF(N(INDEX(tsk_PlanFinish,RoadmapMilestones[[#This Row],[_Task]]))=0,"",INDEX(tsk_PlanFinish,RoadmapMilestones[[#This Row],[_Task]])))</f>
        <v/>
      </c>
      <c r="F21" s="51">
        <f>IF(RoadmapMilestones[[#This Row],[_Task]]="","",IF(N(INDEX(tsk_Deadline,RoadmapMilestones[[#This Row],[_Task]]))=0,"",INDEX(tsk_Deadline,RoadmapMilestones[[#This Row],[_Task]])))</f>
        <v/>
      </c>
      <c r="G21" s="51">
        <f>IF(RoadmapMilestones[[#This Row],[_Task]]="","",IF(N(INDEX(tsk_FcFinish,RoadmapMilestones[[#This Row],[_Task]]))=0,"",INDEX(tsk_FcFinish,RoadmapMilestones[[#This Row],[_Task]])))</f>
        <v/>
      </c>
      <c r="H21" s="20">
        <f>IF(RoadmapMilestones[[#This Row],[_Task]]="","",INDEX(tsk_DeadlineCheck,RoadmapMilestones[[#This Row],[_Task]])&amp;"")</f>
        <v/>
      </c>
      <c r="I21" s="20">
        <f>IF(RoadmapMilestones[[#This Row],[_Task]]="","",INDEX(tsk_Status,RoadmapMilestones[[#This Row],[_Task]])&amp;"")</f>
        <v/>
      </c>
      <c r="J21" s="44">
        <f>IF(RoadmapMilestones[[#This Row],[_Task]]="","",INDEX(tsk_Variance,RoadmapMilestones[[#This Row],[_Task]]))</f>
        <v/>
      </c>
    </row>
    <row r="22">
      <c r="B22" s="42">
        <f>IFERROR(MATCH(SMALL(tsk_MilestoneOrder,ROW()-ROW(RoadmapMilestones[[#Headers],[_Task]])),tsk_MilestoneOrder,0),"")</f>
        <v/>
      </c>
      <c r="C22" s="20">
        <f>IF(RoadmapMilestones[[#This Row],[_Task]]="","",INDEX(tsk_WBS,RoadmapMilestones[[#This Row],[_Task]])&amp;"")</f>
        <v/>
      </c>
      <c r="D22" s="20">
        <f>IF(RoadmapMilestones[[#This Row],[_Task]]="","",INDEX(tsk_Name,RoadmapMilestones[[#This Row],[_Task]])&amp;"")</f>
        <v/>
      </c>
      <c r="E22" s="51">
        <f>IF(RoadmapMilestones[[#This Row],[_Task]]="","",IF(N(INDEX(tsk_PlanFinish,RoadmapMilestones[[#This Row],[_Task]]))=0,"",INDEX(tsk_PlanFinish,RoadmapMilestones[[#This Row],[_Task]])))</f>
        <v/>
      </c>
      <c r="F22" s="51">
        <f>IF(RoadmapMilestones[[#This Row],[_Task]]="","",IF(N(INDEX(tsk_Deadline,RoadmapMilestones[[#This Row],[_Task]]))=0,"",INDEX(tsk_Deadline,RoadmapMilestones[[#This Row],[_Task]])))</f>
        <v/>
      </c>
      <c r="G22" s="51">
        <f>IF(RoadmapMilestones[[#This Row],[_Task]]="","",IF(N(INDEX(tsk_FcFinish,RoadmapMilestones[[#This Row],[_Task]]))=0,"",INDEX(tsk_FcFinish,RoadmapMilestones[[#This Row],[_Task]])))</f>
        <v/>
      </c>
      <c r="H22" s="20">
        <f>IF(RoadmapMilestones[[#This Row],[_Task]]="","",INDEX(tsk_DeadlineCheck,RoadmapMilestones[[#This Row],[_Task]])&amp;"")</f>
        <v/>
      </c>
      <c r="I22" s="20">
        <f>IF(RoadmapMilestones[[#This Row],[_Task]]="","",INDEX(tsk_Status,RoadmapMilestones[[#This Row],[_Task]])&amp;"")</f>
        <v/>
      </c>
      <c r="J22" s="44">
        <f>IF(RoadmapMilestones[[#This Row],[_Task]]="","",INDEX(tsk_Variance,RoadmapMilestones[[#This Row],[_Task]]))</f>
        <v/>
      </c>
    </row>
    <row r="23">
      <c r="B23" s="42">
        <f>IFERROR(MATCH(SMALL(tsk_MilestoneOrder,ROW()-ROW(RoadmapMilestones[[#Headers],[_Task]])),tsk_MilestoneOrder,0),"")</f>
        <v/>
      </c>
      <c r="C23" s="20">
        <f>IF(RoadmapMilestones[[#This Row],[_Task]]="","",INDEX(tsk_WBS,RoadmapMilestones[[#This Row],[_Task]])&amp;"")</f>
        <v/>
      </c>
      <c r="D23" s="20">
        <f>IF(RoadmapMilestones[[#This Row],[_Task]]="","",INDEX(tsk_Name,RoadmapMilestones[[#This Row],[_Task]])&amp;"")</f>
        <v/>
      </c>
      <c r="E23" s="51">
        <f>IF(RoadmapMilestones[[#This Row],[_Task]]="","",IF(N(INDEX(tsk_PlanFinish,RoadmapMilestones[[#This Row],[_Task]]))=0,"",INDEX(tsk_PlanFinish,RoadmapMilestones[[#This Row],[_Task]])))</f>
        <v/>
      </c>
      <c r="F23" s="51">
        <f>IF(RoadmapMilestones[[#This Row],[_Task]]="","",IF(N(INDEX(tsk_Deadline,RoadmapMilestones[[#This Row],[_Task]]))=0,"",INDEX(tsk_Deadline,RoadmapMilestones[[#This Row],[_Task]])))</f>
        <v/>
      </c>
      <c r="G23" s="51">
        <f>IF(RoadmapMilestones[[#This Row],[_Task]]="","",IF(N(INDEX(tsk_FcFinish,RoadmapMilestones[[#This Row],[_Task]]))=0,"",INDEX(tsk_FcFinish,RoadmapMilestones[[#This Row],[_Task]])))</f>
        <v/>
      </c>
      <c r="H23" s="20">
        <f>IF(RoadmapMilestones[[#This Row],[_Task]]="","",INDEX(tsk_DeadlineCheck,RoadmapMilestones[[#This Row],[_Task]])&amp;"")</f>
        <v/>
      </c>
      <c r="I23" s="20">
        <f>IF(RoadmapMilestones[[#This Row],[_Task]]="","",INDEX(tsk_Status,RoadmapMilestones[[#This Row],[_Task]])&amp;"")</f>
        <v/>
      </c>
      <c r="J23" s="44">
        <f>IF(RoadmapMilestones[[#This Row],[_Task]]="","",INDEX(tsk_Variance,RoadmapMilestones[[#This Row],[_Task]]))</f>
        <v/>
      </c>
    </row>
    <row r="24">
      <c r="B24" s="42">
        <f>IFERROR(MATCH(SMALL(tsk_MilestoneOrder,ROW()-ROW(RoadmapMilestones[[#Headers],[_Task]])),tsk_MilestoneOrder,0),"")</f>
        <v/>
      </c>
      <c r="C24" s="20">
        <f>IF(RoadmapMilestones[[#This Row],[_Task]]="","",INDEX(tsk_WBS,RoadmapMilestones[[#This Row],[_Task]])&amp;"")</f>
        <v/>
      </c>
      <c r="D24" s="20">
        <f>IF(RoadmapMilestones[[#This Row],[_Task]]="","",INDEX(tsk_Name,RoadmapMilestones[[#This Row],[_Task]])&amp;"")</f>
        <v/>
      </c>
      <c r="E24" s="51">
        <f>IF(RoadmapMilestones[[#This Row],[_Task]]="","",IF(N(INDEX(tsk_PlanFinish,RoadmapMilestones[[#This Row],[_Task]]))=0,"",INDEX(tsk_PlanFinish,RoadmapMilestones[[#This Row],[_Task]])))</f>
        <v/>
      </c>
      <c r="F24" s="51">
        <f>IF(RoadmapMilestones[[#This Row],[_Task]]="","",IF(N(INDEX(tsk_Deadline,RoadmapMilestones[[#This Row],[_Task]]))=0,"",INDEX(tsk_Deadline,RoadmapMilestones[[#This Row],[_Task]])))</f>
        <v/>
      </c>
      <c r="G24" s="51">
        <f>IF(RoadmapMilestones[[#This Row],[_Task]]="","",IF(N(INDEX(tsk_FcFinish,RoadmapMilestones[[#This Row],[_Task]]))=0,"",INDEX(tsk_FcFinish,RoadmapMilestones[[#This Row],[_Task]])))</f>
        <v/>
      </c>
      <c r="H24" s="20">
        <f>IF(RoadmapMilestones[[#This Row],[_Task]]="","",INDEX(tsk_DeadlineCheck,RoadmapMilestones[[#This Row],[_Task]])&amp;"")</f>
        <v/>
      </c>
      <c r="I24" s="20">
        <f>IF(RoadmapMilestones[[#This Row],[_Task]]="","",INDEX(tsk_Status,RoadmapMilestones[[#This Row],[_Task]])&amp;"")</f>
        <v/>
      </c>
      <c r="J24" s="44">
        <f>IF(RoadmapMilestones[[#This Row],[_Task]]="","",INDEX(tsk_Variance,RoadmapMilestones[[#This Row],[_Task]]))</f>
        <v/>
      </c>
    </row>
    <row r="25">
      <c r="B25" s="42">
        <f>IFERROR(MATCH(SMALL(tsk_MilestoneOrder,ROW()-ROW(RoadmapMilestones[[#Headers],[_Task]])),tsk_MilestoneOrder,0),"")</f>
        <v/>
      </c>
      <c r="C25" s="20">
        <f>IF(RoadmapMilestones[[#This Row],[_Task]]="","",INDEX(tsk_WBS,RoadmapMilestones[[#This Row],[_Task]])&amp;"")</f>
        <v/>
      </c>
      <c r="D25" s="20">
        <f>IF(RoadmapMilestones[[#This Row],[_Task]]="","",INDEX(tsk_Name,RoadmapMilestones[[#This Row],[_Task]])&amp;"")</f>
        <v/>
      </c>
      <c r="E25" s="51">
        <f>IF(RoadmapMilestones[[#This Row],[_Task]]="","",IF(N(INDEX(tsk_PlanFinish,RoadmapMilestones[[#This Row],[_Task]]))=0,"",INDEX(tsk_PlanFinish,RoadmapMilestones[[#This Row],[_Task]])))</f>
        <v/>
      </c>
      <c r="F25" s="51">
        <f>IF(RoadmapMilestones[[#This Row],[_Task]]="","",IF(N(INDEX(tsk_Deadline,RoadmapMilestones[[#This Row],[_Task]]))=0,"",INDEX(tsk_Deadline,RoadmapMilestones[[#This Row],[_Task]])))</f>
        <v/>
      </c>
      <c r="G25" s="51">
        <f>IF(RoadmapMilestones[[#This Row],[_Task]]="","",IF(N(INDEX(tsk_FcFinish,RoadmapMilestones[[#This Row],[_Task]]))=0,"",INDEX(tsk_FcFinish,RoadmapMilestones[[#This Row],[_Task]])))</f>
        <v/>
      </c>
      <c r="H25" s="20">
        <f>IF(RoadmapMilestones[[#This Row],[_Task]]="","",INDEX(tsk_DeadlineCheck,RoadmapMilestones[[#This Row],[_Task]])&amp;"")</f>
        <v/>
      </c>
      <c r="I25" s="20">
        <f>IF(RoadmapMilestones[[#This Row],[_Task]]="","",INDEX(tsk_Status,RoadmapMilestones[[#This Row],[_Task]])&amp;"")</f>
        <v/>
      </c>
      <c r="J25" s="44">
        <f>IF(RoadmapMilestones[[#This Row],[_Task]]="","",INDEX(tsk_Variance,RoadmapMilestones[[#This Row],[_Task]]))</f>
        <v/>
      </c>
    </row>
    <row r="26">
      <c r="B26" s="42">
        <f>IFERROR(MATCH(SMALL(tsk_MilestoneOrder,ROW()-ROW(RoadmapMilestones[[#Headers],[_Task]])),tsk_MilestoneOrder,0),"")</f>
        <v/>
      </c>
      <c r="C26" s="20">
        <f>IF(RoadmapMilestones[[#This Row],[_Task]]="","",INDEX(tsk_WBS,RoadmapMilestones[[#This Row],[_Task]])&amp;"")</f>
        <v/>
      </c>
      <c r="D26" s="20">
        <f>IF(RoadmapMilestones[[#This Row],[_Task]]="","",INDEX(tsk_Name,RoadmapMilestones[[#This Row],[_Task]])&amp;"")</f>
        <v/>
      </c>
      <c r="E26" s="51">
        <f>IF(RoadmapMilestones[[#This Row],[_Task]]="","",IF(N(INDEX(tsk_PlanFinish,RoadmapMilestones[[#This Row],[_Task]]))=0,"",INDEX(tsk_PlanFinish,RoadmapMilestones[[#This Row],[_Task]])))</f>
        <v/>
      </c>
      <c r="F26" s="51">
        <f>IF(RoadmapMilestones[[#This Row],[_Task]]="","",IF(N(INDEX(tsk_Deadline,RoadmapMilestones[[#This Row],[_Task]]))=0,"",INDEX(tsk_Deadline,RoadmapMilestones[[#This Row],[_Task]])))</f>
        <v/>
      </c>
      <c r="G26" s="51">
        <f>IF(RoadmapMilestones[[#This Row],[_Task]]="","",IF(N(INDEX(tsk_FcFinish,RoadmapMilestones[[#This Row],[_Task]]))=0,"",INDEX(tsk_FcFinish,RoadmapMilestones[[#This Row],[_Task]])))</f>
        <v/>
      </c>
      <c r="H26" s="20">
        <f>IF(RoadmapMilestones[[#This Row],[_Task]]="","",INDEX(tsk_DeadlineCheck,RoadmapMilestones[[#This Row],[_Task]])&amp;"")</f>
        <v/>
      </c>
      <c r="I26" s="20">
        <f>IF(RoadmapMilestones[[#This Row],[_Task]]="","",INDEX(tsk_Status,RoadmapMilestones[[#This Row],[_Task]])&amp;"")</f>
        <v/>
      </c>
      <c r="J26" s="44">
        <f>IF(RoadmapMilestones[[#This Row],[_Task]]="","",INDEX(tsk_Variance,RoadmapMilestones[[#This Row],[_Task]]))</f>
        <v/>
      </c>
    </row>
    <row r="27">
      <c r="B27" s="42">
        <f>IFERROR(MATCH(SMALL(tsk_MilestoneOrder,ROW()-ROW(RoadmapMilestones[[#Headers],[_Task]])),tsk_MilestoneOrder,0),"")</f>
        <v/>
      </c>
      <c r="C27" s="20">
        <f>IF(RoadmapMilestones[[#This Row],[_Task]]="","",INDEX(tsk_WBS,RoadmapMilestones[[#This Row],[_Task]])&amp;"")</f>
        <v/>
      </c>
      <c r="D27" s="20">
        <f>IF(RoadmapMilestones[[#This Row],[_Task]]="","",INDEX(tsk_Name,RoadmapMilestones[[#This Row],[_Task]])&amp;"")</f>
        <v/>
      </c>
      <c r="E27" s="51">
        <f>IF(RoadmapMilestones[[#This Row],[_Task]]="","",IF(N(INDEX(tsk_PlanFinish,RoadmapMilestones[[#This Row],[_Task]]))=0,"",INDEX(tsk_PlanFinish,RoadmapMilestones[[#This Row],[_Task]])))</f>
        <v/>
      </c>
      <c r="F27" s="51">
        <f>IF(RoadmapMilestones[[#This Row],[_Task]]="","",IF(N(INDEX(tsk_Deadline,RoadmapMilestones[[#This Row],[_Task]]))=0,"",INDEX(tsk_Deadline,RoadmapMilestones[[#This Row],[_Task]])))</f>
        <v/>
      </c>
      <c r="G27" s="51">
        <f>IF(RoadmapMilestones[[#This Row],[_Task]]="","",IF(N(INDEX(tsk_FcFinish,RoadmapMilestones[[#This Row],[_Task]]))=0,"",INDEX(tsk_FcFinish,RoadmapMilestones[[#This Row],[_Task]])))</f>
        <v/>
      </c>
      <c r="H27" s="20">
        <f>IF(RoadmapMilestones[[#This Row],[_Task]]="","",INDEX(tsk_DeadlineCheck,RoadmapMilestones[[#This Row],[_Task]])&amp;"")</f>
        <v/>
      </c>
      <c r="I27" s="20">
        <f>IF(RoadmapMilestones[[#This Row],[_Task]]="","",INDEX(tsk_Status,RoadmapMilestones[[#This Row],[_Task]])&amp;"")</f>
        <v/>
      </c>
      <c r="J27" s="44">
        <f>IF(RoadmapMilestones[[#This Row],[_Task]]="","",INDEX(tsk_Variance,RoadmapMilestones[[#This Row],[_Task]]))</f>
        <v/>
      </c>
    </row>
    <row r="28">
      <c r="B28" s="42">
        <f>IFERROR(MATCH(SMALL(tsk_MilestoneOrder,ROW()-ROW(RoadmapMilestones[[#Headers],[_Task]])),tsk_MilestoneOrder,0),"")</f>
        <v/>
      </c>
      <c r="C28" s="20">
        <f>IF(RoadmapMilestones[[#This Row],[_Task]]="","",INDEX(tsk_WBS,RoadmapMilestones[[#This Row],[_Task]])&amp;"")</f>
        <v/>
      </c>
      <c r="D28" s="20">
        <f>IF(RoadmapMilestones[[#This Row],[_Task]]="","",INDEX(tsk_Name,RoadmapMilestones[[#This Row],[_Task]])&amp;"")</f>
        <v/>
      </c>
      <c r="E28" s="51">
        <f>IF(RoadmapMilestones[[#This Row],[_Task]]="","",IF(N(INDEX(tsk_PlanFinish,RoadmapMilestones[[#This Row],[_Task]]))=0,"",INDEX(tsk_PlanFinish,RoadmapMilestones[[#This Row],[_Task]])))</f>
        <v/>
      </c>
      <c r="F28" s="51">
        <f>IF(RoadmapMilestones[[#This Row],[_Task]]="","",IF(N(INDEX(tsk_Deadline,RoadmapMilestones[[#This Row],[_Task]]))=0,"",INDEX(tsk_Deadline,RoadmapMilestones[[#This Row],[_Task]])))</f>
        <v/>
      </c>
      <c r="G28" s="51">
        <f>IF(RoadmapMilestones[[#This Row],[_Task]]="","",IF(N(INDEX(tsk_FcFinish,RoadmapMilestones[[#This Row],[_Task]]))=0,"",INDEX(tsk_FcFinish,RoadmapMilestones[[#This Row],[_Task]])))</f>
        <v/>
      </c>
      <c r="H28" s="20">
        <f>IF(RoadmapMilestones[[#This Row],[_Task]]="","",INDEX(tsk_DeadlineCheck,RoadmapMilestones[[#This Row],[_Task]])&amp;"")</f>
        <v/>
      </c>
      <c r="I28" s="20">
        <f>IF(RoadmapMilestones[[#This Row],[_Task]]="","",INDEX(tsk_Status,RoadmapMilestones[[#This Row],[_Task]])&amp;"")</f>
        <v/>
      </c>
      <c r="J28" s="44">
        <f>IF(RoadmapMilestones[[#This Row],[_Task]]="","",INDEX(tsk_Variance,RoadmapMilestones[[#This Row],[_Task]]))</f>
        <v/>
      </c>
    </row>
    <row r="29">
      <c r="B29" s="42">
        <f>IFERROR(MATCH(SMALL(tsk_MilestoneOrder,ROW()-ROW(RoadmapMilestones[[#Headers],[_Task]])),tsk_MilestoneOrder,0),"")</f>
        <v/>
      </c>
      <c r="C29" s="20">
        <f>IF(RoadmapMilestones[[#This Row],[_Task]]="","",INDEX(tsk_WBS,RoadmapMilestones[[#This Row],[_Task]])&amp;"")</f>
        <v/>
      </c>
      <c r="D29" s="20">
        <f>IF(RoadmapMilestones[[#This Row],[_Task]]="","",INDEX(tsk_Name,RoadmapMilestones[[#This Row],[_Task]])&amp;"")</f>
        <v/>
      </c>
      <c r="E29" s="51">
        <f>IF(RoadmapMilestones[[#This Row],[_Task]]="","",IF(N(INDEX(tsk_PlanFinish,RoadmapMilestones[[#This Row],[_Task]]))=0,"",INDEX(tsk_PlanFinish,RoadmapMilestones[[#This Row],[_Task]])))</f>
        <v/>
      </c>
      <c r="F29" s="51">
        <f>IF(RoadmapMilestones[[#This Row],[_Task]]="","",IF(N(INDEX(tsk_Deadline,RoadmapMilestones[[#This Row],[_Task]]))=0,"",INDEX(tsk_Deadline,RoadmapMilestones[[#This Row],[_Task]])))</f>
        <v/>
      </c>
      <c r="G29" s="51">
        <f>IF(RoadmapMilestones[[#This Row],[_Task]]="","",IF(N(INDEX(tsk_FcFinish,RoadmapMilestones[[#This Row],[_Task]]))=0,"",INDEX(tsk_FcFinish,RoadmapMilestones[[#This Row],[_Task]])))</f>
        <v/>
      </c>
      <c r="H29" s="20">
        <f>IF(RoadmapMilestones[[#This Row],[_Task]]="","",INDEX(tsk_DeadlineCheck,RoadmapMilestones[[#This Row],[_Task]])&amp;"")</f>
        <v/>
      </c>
      <c r="I29" s="20">
        <f>IF(RoadmapMilestones[[#This Row],[_Task]]="","",INDEX(tsk_Status,RoadmapMilestones[[#This Row],[_Task]])&amp;"")</f>
        <v/>
      </c>
      <c r="J29" s="44">
        <f>IF(RoadmapMilestones[[#This Row],[_Task]]="","",INDEX(tsk_Variance,RoadmapMilestones[[#This Row],[_Task]]))</f>
        <v/>
      </c>
    </row>
    <row r="30">
      <c r="B30" s="42">
        <f>IFERROR(MATCH(SMALL(tsk_MilestoneOrder,ROW()-ROW(RoadmapMilestones[[#Headers],[_Task]])),tsk_MilestoneOrder,0),"")</f>
        <v/>
      </c>
      <c r="C30" s="20">
        <f>IF(RoadmapMilestones[[#This Row],[_Task]]="","",INDEX(tsk_WBS,RoadmapMilestones[[#This Row],[_Task]])&amp;"")</f>
        <v/>
      </c>
      <c r="D30" s="20">
        <f>IF(RoadmapMilestones[[#This Row],[_Task]]="","",INDEX(tsk_Name,RoadmapMilestones[[#This Row],[_Task]])&amp;"")</f>
        <v/>
      </c>
      <c r="E30" s="51">
        <f>IF(RoadmapMilestones[[#This Row],[_Task]]="","",IF(N(INDEX(tsk_PlanFinish,RoadmapMilestones[[#This Row],[_Task]]))=0,"",INDEX(tsk_PlanFinish,RoadmapMilestones[[#This Row],[_Task]])))</f>
        <v/>
      </c>
      <c r="F30" s="51">
        <f>IF(RoadmapMilestones[[#This Row],[_Task]]="","",IF(N(INDEX(tsk_Deadline,RoadmapMilestones[[#This Row],[_Task]]))=0,"",INDEX(tsk_Deadline,RoadmapMilestones[[#This Row],[_Task]])))</f>
        <v/>
      </c>
      <c r="G30" s="51">
        <f>IF(RoadmapMilestones[[#This Row],[_Task]]="","",IF(N(INDEX(tsk_FcFinish,RoadmapMilestones[[#This Row],[_Task]]))=0,"",INDEX(tsk_FcFinish,RoadmapMilestones[[#This Row],[_Task]])))</f>
        <v/>
      </c>
      <c r="H30" s="20">
        <f>IF(RoadmapMilestones[[#This Row],[_Task]]="","",INDEX(tsk_DeadlineCheck,RoadmapMilestones[[#This Row],[_Task]])&amp;"")</f>
        <v/>
      </c>
      <c r="I30" s="20">
        <f>IF(RoadmapMilestones[[#This Row],[_Task]]="","",INDEX(tsk_Status,RoadmapMilestones[[#This Row],[_Task]])&amp;"")</f>
        <v/>
      </c>
      <c r="J30" s="44">
        <f>IF(RoadmapMilestones[[#This Row],[_Task]]="","",INDEX(tsk_Variance,RoadmapMilestones[[#This Row],[_Task]]))</f>
        <v/>
      </c>
    </row>
    <row r="31">
      <c r="B31" s="42">
        <f>IFERROR(MATCH(SMALL(tsk_MilestoneOrder,ROW()-ROW(RoadmapMilestones[[#Headers],[_Task]])),tsk_MilestoneOrder,0),"")</f>
        <v/>
      </c>
      <c r="C31" s="20">
        <f>IF(RoadmapMilestones[[#This Row],[_Task]]="","",INDEX(tsk_WBS,RoadmapMilestones[[#This Row],[_Task]])&amp;"")</f>
        <v/>
      </c>
      <c r="D31" s="20">
        <f>IF(RoadmapMilestones[[#This Row],[_Task]]="","",INDEX(tsk_Name,RoadmapMilestones[[#This Row],[_Task]])&amp;"")</f>
        <v/>
      </c>
      <c r="E31" s="51">
        <f>IF(RoadmapMilestones[[#This Row],[_Task]]="","",IF(N(INDEX(tsk_PlanFinish,RoadmapMilestones[[#This Row],[_Task]]))=0,"",INDEX(tsk_PlanFinish,RoadmapMilestones[[#This Row],[_Task]])))</f>
        <v/>
      </c>
      <c r="F31" s="51">
        <f>IF(RoadmapMilestones[[#This Row],[_Task]]="","",IF(N(INDEX(tsk_Deadline,RoadmapMilestones[[#This Row],[_Task]]))=0,"",INDEX(tsk_Deadline,RoadmapMilestones[[#This Row],[_Task]])))</f>
        <v/>
      </c>
      <c r="G31" s="51">
        <f>IF(RoadmapMilestones[[#This Row],[_Task]]="","",IF(N(INDEX(tsk_FcFinish,RoadmapMilestones[[#This Row],[_Task]]))=0,"",INDEX(tsk_FcFinish,RoadmapMilestones[[#This Row],[_Task]])))</f>
        <v/>
      </c>
      <c r="H31" s="20">
        <f>IF(RoadmapMilestones[[#This Row],[_Task]]="","",INDEX(tsk_DeadlineCheck,RoadmapMilestones[[#This Row],[_Task]])&amp;"")</f>
        <v/>
      </c>
      <c r="I31" s="20">
        <f>IF(RoadmapMilestones[[#This Row],[_Task]]="","",INDEX(tsk_Status,RoadmapMilestones[[#This Row],[_Task]])&amp;"")</f>
        <v/>
      </c>
      <c r="J31" s="44">
        <f>IF(RoadmapMilestones[[#This Row],[_Task]]="","",INDEX(tsk_Variance,RoadmapMilestones[[#This Row],[_Task]]))</f>
        <v/>
      </c>
    </row>
    <row r="32">
      <c r="B32" s="42">
        <f>IFERROR(MATCH(SMALL(tsk_MilestoneOrder,ROW()-ROW(RoadmapMilestones[[#Headers],[_Task]])),tsk_MilestoneOrder,0),"")</f>
        <v/>
      </c>
      <c r="C32" s="20">
        <f>IF(RoadmapMilestones[[#This Row],[_Task]]="","",INDEX(tsk_WBS,RoadmapMilestones[[#This Row],[_Task]])&amp;"")</f>
        <v/>
      </c>
      <c r="D32" s="20">
        <f>IF(RoadmapMilestones[[#This Row],[_Task]]="","",INDEX(tsk_Name,RoadmapMilestones[[#This Row],[_Task]])&amp;"")</f>
        <v/>
      </c>
      <c r="E32" s="51">
        <f>IF(RoadmapMilestones[[#This Row],[_Task]]="","",IF(N(INDEX(tsk_PlanFinish,RoadmapMilestones[[#This Row],[_Task]]))=0,"",INDEX(tsk_PlanFinish,RoadmapMilestones[[#This Row],[_Task]])))</f>
        <v/>
      </c>
      <c r="F32" s="51">
        <f>IF(RoadmapMilestones[[#This Row],[_Task]]="","",IF(N(INDEX(tsk_Deadline,RoadmapMilestones[[#This Row],[_Task]]))=0,"",INDEX(tsk_Deadline,RoadmapMilestones[[#This Row],[_Task]])))</f>
        <v/>
      </c>
      <c r="G32" s="51">
        <f>IF(RoadmapMilestones[[#This Row],[_Task]]="","",IF(N(INDEX(tsk_FcFinish,RoadmapMilestones[[#This Row],[_Task]]))=0,"",INDEX(tsk_FcFinish,RoadmapMilestones[[#This Row],[_Task]])))</f>
        <v/>
      </c>
      <c r="H32" s="20">
        <f>IF(RoadmapMilestones[[#This Row],[_Task]]="","",INDEX(tsk_DeadlineCheck,RoadmapMilestones[[#This Row],[_Task]])&amp;"")</f>
        <v/>
      </c>
      <c r="I32" s="20">
        <f>IF(RoadmapMilestones[[#This Row],[_Task]]="","",INDEX(tsk_Status,RoadmapMilestones[[#This Row],[_Task]])&amp;"")</f>
        <v/>
      </c>
      <c r="J32" s="44">
        <f>IF(RoadmapMilestones[[#This Row],[_Task]]="","",INDEX(tsk_Variance,RoadmapMilestones[[#This Row],[_Task]]))</f>
        <v/>
      </c>
    </row>
    <row r="33">
      <c r="B33" s="42">
        <f>IFERROR(MATCH(SMALL(tsk_MilestoneOrder,ROW()-ROW(RoadmapMilestones[[#Headers],[_Task]])),tsk_MilestoneOrder,0),"")</f>
        <v/>
      </c>
      <c r="C33" s="20">
        <f>IF(RoadmapMilestones[[#This Row],[_Task]]="","",INDEX(tsk_WBS,RoadmapMilestones[[#This Row],[_Task]])&amp;"")</f>
        <v/>
      </c>
      <c r="D33" s="20">
        <f>IF(RoadmapMilestones[[#This Row],[_Task]]="","",INDEX(tsk_Name,RoadmapMilestones[[#This Row],[_Task]])&amp;"")</f>
        <v/>
      </c>
      <c r="E33" s="51">
        <f>IF(RoadmapMilestones[[#This Row],[_Task]]="","",IF(N(INDEX(tsk_PlanFinish,RoadmapMilestones[[#This Row],[_Task]]))=0,"",INDEX(tsk_PlanFinish,RoadmapMilestones[[#This Row],[_Task]])))</f>
        <v/>
      </c>
      <c r="F33" s="51">
        <f>IF(RoadmapMilestones[[#This Row],[_Task]]="","",IF(N(INDEX(tsk_Deadline,RoadmapMilestones[[#This Row],[_Task]]))=0,"",INDEX(tsk_Deadline,RoadmapMilestones[[#This Row],[_Task]])))</f>
        <v/>
      </c>
      <c r="G33" s="51">
        <f>IF(RoadmapMilestones[[#This Row],[_Task]]="","",IF(N(INDEX(tsk_FcFinish,RoadmapMilestones[[#This Row],[_Task]]))=0,"",INDEX(tsk_FcFinish,RoadmapMilestones[[#This Row],[_Task]])))</f>
        <v/>
      </c>
      <c r="H33" s="20">
        <f>IF(RoadmapMilestones[[#This Row],[_Task]]="","",INDEX(tsk_DeadlineCheck,RoadmapMilestones[[#This Row],[_Task]])&amp;"")</f>
        <v/>
      </c>
      <c r="I33" s="20">
        <f>IF(RoadmapMilestones[[#This Row],[_Task]]="","",INDEX(tsk_Status,RoadmapMilestones[[#This Row],[_Task]])&amp;"")</f>
        <v/>
      </c>
      <c r="J33" s="44">
        <f>IF(RoadmapMilestones[[#This Row],[_Task]]="","",INDEX(tsk_Variance,RoadmapMilestones[[#This Row],[_Task]]))</f>
        <v/>
      </c>
    </row>
    <row r="34">
      <c r="B34" s="42">
        <f>IFERROR(MATCH(SMALL(tsk_MilestoneOrder,ROW()-ROW(RoadmapMilestones[[#Headers],[_Task]])),tsk_MilestoneOrder,0),"")</f>
        <v/>
      </c>
      <c r="C34" s="20">
        <f>IF(RoadmapMilestones[[#This Row],[_Task]]="","",INDEX(tsk_WBS,RoadmapMilestones[[#This Row],[_Task]])&amp;"")</f>
        <v/>
      </c>
      <c r="D34" s="20">
        <f>IF(RoadmapMilestones[[#This Row],[_Task]]="","",INDEX(tsk_Name,RoadmapMilestones[[#This Row],[_Task]])&amp;"")</f>
        <v/>
      </c>
      <c r="E34" s="51">
        <f>IF(RoadmapMilestones[[#This Row],[_Task]]="","",IF(N(INDEX(tsk_PlanFinish,RoadmapMilestones[[#This Row],[_Task]]))=0,"",INDEX(tsk_PlanFinish,RoadmapMilestones[[#This Row],[_Task]])))</f>
        <v/>
      </c>
      <c r="F34" s="51">
        <f>IF(RoadmapMilestones[[#This Row],[_Task]]="","",IF(N(INDEX(tsk_Deadline,RoadmapMilestones[[#This Row],[_Task]]))=0,"",INDEX(tsk_Deadline,RoadmapMilestones[[#This Row],[_Task]])))</f>
        <v/>
      </c>
      <c r="G34" s="51">
        <f>IF(RoadmapMilestones[[#This Row],[_Task]]="","",IF(N(INDEX(tsk_FcFinish,RoadmapMilestones[[#This Row],[_Task]]))=0,"",INDEX(tsk_FcFinish,RoadmapMilestones[[#This Row],[_Task]])))</f>
        <v/>
      </c>
      <c r="H34" s="20">
        <f>IF(RoadmapMilestones[[#This Row],[_Task]]="","",INDEX(tsk_DeadlineCheck,RoadmapMilestones[[#This Row],[_Task]])&amp;"")</f>
        <v/>
      </c>
      <c r="I34" s="20">
        <f>IF(RoadmapMilestones[[#This Row],[_Task]]="","",INDEX(tsk_Status,RoadmapMilestones[[#This Row],[_Task]])&amp;"")</f>
        <v/>
      </c>
      <c r="J34" s="44">
        <f>IF(RoadmapMilestones[[#This Row],[_Task]]="","",INDEX(tsk_Variance,RoadmapMilestones[[#This Row],[_Task]]))</f>
        <v/>
      </c>
    </row>
    <row r="35">
      <c r="B35" s="42">
        <f>IFERROR(MATCH(SMALL(tsk_MilestoneOrder,ROW()-ROW(RoadmapMilestones[[#Headers],[_Task]])),tsk_MilestoneOrder,0),"")</f>
        <v/>
      </c>
      <c r="C35" s="20">
        <f>IF(RoadmapMilestones[[#This Row],[_Task]]="","",INDEX(tsk_WBS,RoadmapMilestones[[#This Row],[_Task]])&amp;"")</f>
        <v/>
      </c>
      <c r="D35" s="20">
        <f>IF(RoadmapMilestones[[#This Row],[_Task]]="","",INDEX(tsk_Name,RoadmapMilestones[[#This Row],[_Task]])&amp;"")</f>
        <v/>
      </c>
      <c r="E35" s="51">
        <f>IF(RoadmapMilestones[[#This Row],[_Task]]="","",IF(N(INDEX(tsk_PlanFinish,RoadmapMilestones[[#This Row],[_Task]]))=0,"",INDEX(tsk_PlanFinish,RoadmapMilestones[[#This Row],[_Task]])))</f>
        <v/>
      </c>
      <c r="F35" s="51">
        <f>IF(RoadmapMilestones[[#This Row],[_Task]]="","",IF(N(INDEX(tsk_Deadline,RoadmapMilestones[[#This Row],[_Task]]))=0,"",INDEX(tsk_Deadline,RoadmapMilestones[[#This Row],[_Task]])))</f>
        <v/>
      </c>
      <c r="G35" s="51">
        <f>IF(RoadmapMilestones[[#This Row],[_Task]]="","",IF(N(INDEX(tsk_FcFinish,RoadmapMilestones[[#This Row],[_Task]]))=0,"",INDEX(tsk_FcFinish,RoadmapMilestones[[#This Row],[_Task]])))</f>
        <v/>
      </c>
      <c r="H35" s="20">
        <f>IF(RoadmapMilestones[[#This Row],[_Task]]="","",INDEX(tsk_DeadlineCheck,RoadmapMilestones[[#This Row],[_Task]])&amp;"")</f>
        <v/>
      </c>
      <c r="I35" s="20">
        <f>IF(RoadmapMilestones[[#This Row],[_Task]]="","",INDEX(tsk_Status,RoadmapMilestones[[#This Row],[_Task]])&amp;"")</f>
        <v/>
      </c>
      <c r="J35" s="44">
        <f>IF(RoadmapMilestones[[#This Row],[_Task]]="","",INDEX(tsk_Variance,RoadmapMilestones[[#This Row],[_Task]]))</f>
        <v/>
      </c>
    </row>
    <row r="36"/>
    <row r="37">
      <c r="C37" s="52" t="n"/>
      <c r="D37" s="53" t="inlineStr">
        <is>
          <t>Forecast</t>
        </is>
      </c>
      <c r="E37" s="54" t="n"/>
      <c r="F37" s="53" t="inlineStr">
        <is>
          <t>Done</t>
        </is>
      </c>
      <c r="G37" s="55" t="n"/>
      <c r="H37" s="53" t="inlineStr">
        <is>
          <t>Late vs plan</t>
        </is>
      </c>
      <c r="I37" s="56" t="n"/>
      <c r="J37" s="53" t="inlineStr">
        <is>
          <t>Planned (outline)</t>
        </is>
      </c>
    </row>
    <row r="38">
      <c r="C38" s="57" t="n"/>
      <c r="D38" s="53" t="inlineStr">
        <is>
          <t>Milestone</t>
        </is>
      </c>
      <c r="E38" s="58" t="n"/>
      <c r="F38" s="53" t="inlineStr">
        <is>
          <t>Deadline missed</t>
        </is>
      </c>
      <c r="G38" s="59" t="n"/>
      <c r="H38" s="53" t="inlineStr">
        <is>
          <t>Status date month</t>
        </is>
      </c>
    </row>
    <row r="39">
      <c r="C39" s="2" t="inlineStr">
        <is>
          <t>Months: Settings &gt; RoadmapStart. Lists: drag a table's corner down for more rows. The timeline is conditional formatting only.</t>
        </is>
      </c>
    </row>
  </sheetData>
  <sheetProtection selectLockedCells="0" selectUnlockedCells="0" sheet="1" objects="0" insertRows="1" insertHyperlinks="1" autoFilter="0" scenarios="0" formatColumns="0" deleteColumns="1" insertColumns="1" pivotTables="1" deleteRows="1" formatCells="1" formatRows="0" sort="0"/>
  <conditionalFormatting sqref="M8:M17">
    <cfRule type="expression" priority="1" dxfId="1">
      <formula>M8="Green"</formula>
    </cfRule>
    <cfRule type="expression" priority="2" dxfId="2">
      <formula>M8="Amber"</formula>
    </cfRule>
    <cfRule type="expression" priority="3" dxfId="3">
      <formula>M8="Red"</formula>
    </cfRule>
  </conditionalFormatting>
  <conditionalFormatting sqref="R8:AI17">
    <cfRule type="expression" priority="4" dxfId="8">
      <formula>AND(AND(ISNUMBER($H8),ISNUMBER($I8),R$5&lt;=$I8,EDATE(R$5,1)&gt;$H8),N($J8)&gt;0,R$5&lt;$H8+($I8-$H8+1)*N($J8))</formula>
    </cfRule>
    <cfRule type="expression" priority="5" dxfId="9">
      <formula>AND(AND(ISNUMBER($H8),ISNUMBER($I8),R$5&lt;=$I8,EDATE(R$5,1)&gt;$H8),N($K8)&gt;0)</formula>
    </cfRule>
    <cfRule type="expression" priority="6" dxfId="10">
      <formula>AND(ISNUMBER($H8),ISNUMBER($I8),R$5&lt;=$I8,EDATE(R$5,1)&gt;$H8)</formula>
    </cfRule>
    <cfRule type="expression" priority="7" dxfId="11">
      <formula>AND(ISNUMBER($F8),ISNUMBER($G8),R$5&lt;=$G8,EDATE(R$5,1)&gt;$F8)</formula>
    </cfRule>
    <cfRule type="expression" priority="8" dxfId="12">
      <formula>AND(StatusDate&gt;=R$5,StatusDate&lt;EDATE(R$5,1))</formula>
    </cfRule>
  </conditionalFormatting>
  <conditionalFormatting sqref="R21:AI35">
    <cfRule type="expression" priority="9" dxfId="13">
      <formula>AND(AND(ISNUMBER($G21),$G21&gt;=R$5,$G21&lt;EDATE(R$5,1)),LEFT($H21,4)="Late")</formula>
    </cfRule>
    <cfRule type="expression" priority="10" dxfId="14">
      <formula>AND(ISNUMBER($G21),$G21&gt;=R$5,$G21&lt;EDATE(R$5,1))</formula>
    </cfRule>
    <cfRule type="expression" priority="11" dxfId="11">
      <formula>AND(ISNUMBER($E21),$E21&gt;=R$5,$E21&lt;EDATE(R$5,1))</formula>
    </cfRule>
    <cfRule type="expression" priority="12" dxfId="15">
      <formula>AND(ISNUMBER($F21),$F21&gt;=R$5,$F21&lt;EDATE(R$5,1))</formula>
    </cfRule>
    <cfRule type="expression" priority="13" dxfId="12">
      <formula>AND(StatusDate&gt;=R$5,StatusDate&lt;EDATE(R$5,1))</formula>
    </cfRule>
  </conditionalFormatting>
  <conditionalFormatting sqref="H21:H35">
    <cfRule type="expression" priority="14" dxfId="6">
      <formula>LEFT($H21,4)="Late"</formula>
    </cfRule>
  </conditionalFormatting>
  <printOptions horizontalCentered="1" gridLines="0"/>
  <pageMargins left="0.75" right="0.75" top="0.6" bottom="0.6" header="0.3" footer="0.3"/>
  <pageSetup orientation="landscape" fitToHeight="1" fitToWidth="1"/>
  <headerFooter>
    <oddHeader>&amp;L&amp;"Arial"&amp;8 &amp;A&amp;R&amp;"Arial"&amp;8 &amp;F</oddHeader>
    <oddFooter>&amp;L&amp;"Arial"&amp;8 Project Planner template 1.1 M365&amp;R&amp;"Arial"&amp;8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BF8F00"/>
    <outlinePr summaryBelow="1" summaryRight="0"/>
    <pageSetUpPr/>
  </sheetPr>
  <dimension ref="A1:AT158"/>
  <sheetViews>
    <sheetView workbookViewId="0">
      <selection activeCell="A1" sqref="A1"/>
    </sheetView>
  </sheetViews>
  <sheetFormatPr baseColWidth="8" defaultRowHeight="15"/>
  <cols>
    <col width="3" customWidth="1" min="1" max="1"/>
    <col width="34" customWidth="1" min="2" max="2"/>
    <col width="24" customWidth="1" min="3" max="3"/>
    <col width="24" customWidth="1" min="4" max="4"/>
    <col width="80" customWidth="1" min="5" max="5"/>
    <col width="18" customWidth="1" min="6" max="6"/>
    <col hidden="1" outlineLevel="1" width="16" customWidth="1" min="7" max="7"/>
    <col hidden="1" outlineLevel="1" width="13" customWidth="1" min="8" max="8"/>
    <col hidden="1" outlineLevel="1" width="16" customWidth="1" min="9" max="9"/>
    <col hidden="1" outlineLevel="1" width="13" customWidth="1" min="10" max="10"/>
    <col hidden="1" outlineLevel="1" width="16" customWidth="1" min="11" max="11"/>
    <col hidden="1" outlineLevel="1" width="13" customWidth="1" min="12" max="12"/>
    <col hidden="1" outlineLevel="1" width="16" customWidth="1" min="13" max="13"/>
    <col hidden="1" outlineLevel="1" width="13" customWidth="1" min="14" max="14"/>
    <col hidden="1" outlineLevel="1" width="16" customWidth="1" min="15" max="15"/>
    <col hidden="1" outlineLevel="1" width="13" customWidth="1" min="16" max="16"/>
    <col hidden="1" outlineLevel="1" width="16" customWidth="1" min="17" max="17"/>
    <col hidden="1" outlineLevel="1" width="13" customWidth="1" min="18" max="18"/>
    <col hidden="1" outlineLevel="1" width="16" customWidth="1" min="19" max="19"/>
    <col hidden="1" outlineLevel="1" width="13" customWidth="1" min="20" max="20"/>
    <col hidden="1" outlineLevel="1" width="16" customWidth="1" min="21" max="21"/>
    <col hidden="1" outlineLevel="1" width="13" customWidth="1" min="22" max="22"/>
    <col hidden="1" outlineLevel="1" width="16" customWidth="1" min="23" max="23"/>
    <col hidden="1" outlineLevel="1" width="13" customWidth="1" min="24" max="24"/>
    <col hidden="1" outlineLevel="1" width="16" customWidth="1" min="25" max="25"/>
    <col hidden="1" outlineLevel="1" width="13" customWidth="1" min="26" max="26"/>
    <col hidden="1" outlineLevel="1" width="16" customWidth="1" min="27" max="27"/>
    <col hidden="1" outlineLevel="1" width="13" customWidth="1" min="28" max="28"/>
    <col hidden="1" outlineLevel="1" width="16" customWidth="1" min="29" max="29"/>
    <col hidden="1" outlineLevel="1" width="13" customWidth="1" min="30" max="30"/>
    <col hidden="1" outlineLevel="1" width="18" customWidth="1" min="31" max="31"/>
    <col hidden="1" outlineLevel="1" width="10" customWidth="1" min="32" max="32"/>
    <col hidden="1" outlineLevel="1" width="10" customWidth="1" min="33" max="33"/>
    <col hidden="1" outlineLevel="1" width="10" customWidth="1" min="34" max="34"/>
    <col hidden="1" outlineLevel="1" width="14" customWidth="1" min="35" max="35"/>
    <col hidden="1" outlineLevel="1" width="14" customWidth="1" min="36" max="36"/>
    <col hidden="1" outlineLevel="1" width="14" customWidth="1" min="37" max="37"/>
    <col hidden="1" outlineLevel="1" width="14" customWidth="1" min="38" max="38"/>
    <col hidden="1" outlineLevel="1" width="14" customWidth="1" min="39" max="39"/>
    <col hidden="1" outlineLevel="1" width="14" customWidth="1" min="40" max="40"/>
    <col hidden="1" outlineLevel="1" width="7" customWidth="1" min="41" max="41"/>
    <col hidden="1" outlineLevel="1" width="7" customWidth="1" min="42" max="42"/>
    <col hidden="1" outlineLevel="1" width="7" customWidth="1" min="43" max="43"/>
    <col hidden="1" outlineLevel="1" width="7" customWidth="1" min="44" max="44"/>
    <col hidden="1" outlineLevel="1" width="7" customWidth="1" min="45" max="45"/>
    <col hidden="1" outlineLevel="1" width="7" customWidth="1" min="46" max="46"/>
  </cols>
  <sheetData>
    <row r="1">
      <c r="A1" s="14" t="inlineStr">
        <is>
          <t>Project Settings</t>
        </is>
      </c>
    </row>
    <row r="2">
      <c r="A2" s="2" t="inlineStr">
        <is>
          <t>Blue = edit me. Grey = calculated. Column D shows the defined name every formula uses for that setting. The settings every plan needs are on the Start sheet.</t>
        </is>
      </c>
    </row>
    <row r="3"/>
    <row r="4">
      <c r="B4" s="17" t="inlineStr">
        <is>
          <t>Setting</t>
        </is>
      </c>
      <c r="C4" s="17" t="inlineStr">
        <is>
          <t>Value</t>
        </is>
      </c>
      <c r="D4" s="17" t="inlineStr">
        <is>
          <t>Named range</t>
        </is>
      </c>
      <c r="E4" s="17" t="inlineStr">
        <is>
          <t>Notes</t>
        </is>
      </c>
      <c r="F4" s="28" t="inlineStr">
        <is>
          <t>Dropdown lists (+)</t>
        </is>
      </c>
      <c r="G4" s="18" t="inlineStr">
        <is>
          <t>Link Type</t>
        </is>
      </c>
      <c r="I4" s="18" t="inlineStr">
        <is>
          <t>Task Mode</t>
        </is>
      </c>
      <c r="K4" s="18" t="inlineStr">
        <is>
          <t>Working Week</t>
        </is>
      </c>
      <c r="M4" s="18" t="inlineStr">
        <is>
          <t>Constraint</t>
        </is>
      </c>
      <c r="O4" s="18" t="inlineStr">
        <is>
          <t>Yes / No</t>
        </is>
      </c>
      <c r="Q4" s="18" t="inlineStr">
        <is>
          <t>Resource Type</t>
        </is>
      </c>
      <c r="S4" s="18" t="inlineStr">
        <is>
          <t>Gantt Days per Column</t>
        </is>
      </c>
      <c r="U4" s="18" t="inlineStr">
        <is>
          <t>RAG</t>
        </is>
      </c>
      <c r="W4" s="18" t="inlineStr">
        <is>
          <t>Log Type</t>
        </is>
      </c>
      <c r="Y4" s="18" t="inlineStr">
        <is>
          <t>RAID Status</t>
        </is>
      </c>
      <c r="AA4" s="18" t="inlineStr">
        <is>
          <t>Decision Status</t>
        </is>
      </c>
      <c r="AC4" s="18" t="inlineStr">
        <is>
          <t>Change Status</t>
        </is>
      </c>
      <c r="AE4" s="18" t="inlineStr">
        <is>
          <t>Project Type</t>
        </is>
      </c>
      <c r="AF4" s="18" t="inlineStr">
        <is>
          <t>Sprint Length</t>
        </is>
      </c>
      <c r="AG4" s="18" t="inlineStr">
        <is>
          <t>Amber Slip</t>
        </is>
      </c>
      <c r="AH4" s="18" t="inlineStr">
        <is>
          <t>Red Slip</t>
        </is>
      </c>
      <c r="AI4" s="18" t="inlineStr">
        <is>
          <t>Stage 1</t>
        </is>
      </c>
      <c r="AJ4" s="18" t="inlineStr">
        <is>
          <t>Stage 2</t>
        </is>
      </c>
      <c r="AK4" s="18" t="inlineStr">
        <is>
          <t>Stage 3</t>
        </is>
      </c>
      <c r="AL4" s="18" t="inlineStr">
        <is>
          <t>Stage 4</t>
        </is>
      </c>
      <c r="AM4" s="18" t="inlineStr">
        <is>
          <t>Stage 5</t>
        </is>
      </c>
      <c r="AN4" s="18" t="inlineStr">
        <is>
          <t>Stage 6</t>
        </is>
      </c>
      <c r="AO4" s="18" t="inlineStr">
        <is>
          <t>% 1</t>
        </is>
      </c>
      <c r="AP4" s="18" t="inlineStr">
        <is>
          <t>% 2</t>
        </is>
      </c>
      <c r="AQ4" s="18" t="inlineStr">
        <is>
          <t>% 3</t>
        </is>
      </c>
      <c r="AR4" s="18" t="inlineStr">
        <is>
          <t>% 4</t>
        </is>
      </c>
      <c r="AS4" s="18" t="inlineStr">
        <is>
          <t>% 5</t>
        </is>
      </c>
      <c r="AT4" s="18" t="inlineStr">
        <is>
          <t>% 6</t>
        </is>
      </c>
    </row>
    <row r="5">
      <c r="B5" s="60" t="inlineStr">
        <is>
          <t>Project start (in use)</t>
        </is>
      </c>
      <c r="C5" s="61">
        <f>MAX(1,N(ProjectStartDate))</f>
        <v/>
      </c>
      <c r="D5" s="62" t="inlineStr">
        <is>
          <t>ProjectStart</t>
        </is>
      </c>
      <c r="E5" s="2" t="inlineStr">
        <is>
          <t>Copy of the date above (dates show as 1900 until it is entered).</t>
        </is>
      </c>
      <c r="G5" s="23" t="inlineStr">
        <is>
          <t>FS</t>
        </is>
      </c>
      <c r="I5" s="23" t="inlineStr">
        <is>
          <t>Auto</t>
        </is>
      </c>
      <c r="K5" s="23" t="inlineStr">
        <is>
          <t>Mon-Fri</t>
        </is>
      </c>
      <c r="M5" s="23" t="inlineStr">
        <is>
          <t>As Soon As Possible</t>
        </is>
      </c>
      <c r="O5" s="23" t="inlineStr">
        <is>
          <t>Yes</t>
        </is>
      </c>
      <c r="Q5" s="23" t="inlineStr">
        <is>
          <t>Work</t>
        </is>
      </c>
      <c r="S5" s="23" t="n">
        <v>1</v>
      </c>
      <c r="U5" s="23" t="inlineStr">
        <is>
          <t>Green</t>
        </is>
      </c>
      <c r="W5" s="23" t="inlineStr">
        <is>
          <t>Risk</t>
        </is>
      </c>
      <c r="Y5" s="23" t="inlineStr">
        <is>
          <t>Open</t>
        </is>
      </c>
      <c r="AA5" s="23" t="inlineStr">
        <is>
          <t>Proposed</t>
        </is>
      </c>
      <c r="AC5" s="23" t="inlineStr">
        <is>
          <t>Submitted</t>
        </is>
      </c>
      <c r="AE5" s="23" t="inlineStr">
        <is>
          <t>Software / Agile</t>
        </is>
      </c>
      <c r="AF5" s="23" t="n">
        <v>14</v>
      </c>
      <c r="AG5" s="23" t="n">
        <v>3</v>
      </c>
      <c r="AH5" s="23" t="n">
        <v>10</v>
      </c>
      <c r="AI5" s="23" t="inlineStr">
        <is>
          <t>Not Started</t>
        </is>
      </c>
      <c r="AJ5" s="23" t="inlineStr">
        <is>
          <t>Design</t>
        </is>
      </c>
      <c r="AK5" s="23" t="inlineStr">
        <is>
          <t>In Development</t>
        </is>
      </c>
      <c r="AL5" s="23" t="inlineStr">
        <is>
          <t>Test Ready</t>
        </is>
      </c>
      <c r="AM5" s="23" t="inlineStr">
        <is>
          <t>In Testing</t>
        </is>
      </c>
      <c r="AN5" s="23" t="inlineStr">
        <is>
          <t>Complete</t>
        </is>
      </c>
      <c r="AO5" s="63" t="n">
        <v>0</v>
      </c>
      <c r="AP5" s="63" t="n">
        <v>0.15</v>
      </c>
      <c r="AQ5" s="63" t="n">
        <v>0.4</v>
      </c>
      <c r="AR5" s="63" t="n">
        <v>0.7</v>
      </c>
      <c r="AS5" s="63" t="n">
        <v>0.85</v>
      </c>
      <c r="AT5" s="63" t="n">
        <v>1</v>
      </c>
    </row>
    <row r="6">
      <c r="B6" s="60" t="inlineStr">
        <is>
          <t>Status date (in use)</t>
        </is>
      </c>
      <c r="C6" s="61">
        <f>IF(N(StatusDateInput)&gt;0,StatusDateInput,ProjectStart)</f>
        <v/>
      </c>
      <c r="D6" s="62" t="inlineStr">
        <is>
          <t>StatusDate</t>
        </is>
      </c>
      <c r="E6" s="2" t="inlineStr">
        <is>
          <t>The project start until a status date is entered. Drives Status, the red status-date line on the Gantt and rescheduling of late work.</t>
        </is>
      </c>
      <c r="G6" s="23" t="inlineStr">
        <is>
          <t>SS</t>
        </is>
      </c>
      <c r="I6" s="23" t="inlineStr">
        <is>
          <t>Manual</t>
        </is>
      </c>
      <c r="K6" s="23" t="inlineStr">
        <is>
          <t>Sun-Thu</t>
        </is>
      </c>
      <c r="M6" s="23" t="inlineStr">
        <is>
          <t>As Late As Possible</t>
        </is>
      </c>
      <c r="O6" s="23" t="inlineStr">
        <is>
          <t>No</t>
        </is>
      </c>
      <c r="Q6" s="23" t="inlineStr">
        <is>
          <t>Material</t>
        </is>
      </c>
      <c r="S6" s="23" t="n">
        <v>7</v>
      </c>
      <c r="U6" s="23" t="inlineStr">
        <is>
          <t>Amber</t>
        </is>
      </c>
      <c r="W6" s="23" t="inlineStr">
        <is>
          <t>Assumption</t>
        </is>
      </c>
      <c r="Y6" s="23" t="inlineStr">
        <is>
          <t>In Progress</t>
        </is>
      </c>
      <c r="AA6" s="23" t="inlineStr">
        <is>
          <t>Approved</t>
        </is>
      </c>
      <c r="AC6" s="23" t="inlineStr">
        <is>
          <t>Under Review</t>
        </is>
      </c>
      <c r="AE6" s="23" t="inlineStr">
        <is>
          <t>Construction</t>
        </is>
      </c>
      <c r="AF6" s="23" t="n">
        <v>28</v>
      </c>
      <c r="AG6" s="23" t="n">
        <v>5</v>
      </c>
      <c r="AH6" s="23" t="n">
        <v>15</v>
      </c>
      <c r="AI6" s="23" t="inlineStr">
        <is>
          <t>Not Started</t>
        </is>
      </c>
      <c r="AJ6" s="23" t="inlineStr">
        <is>
          <t>Mobilised</t>
        </is>
      </c>
      <c r="AK6" s="23" t="inlineStr">
        <is>
          <t>Under Way</t>
        </is>
      </c>
      <c r="AL6" s="23" t="inlineStr">
        <is>
          <t>Inspection</t>
        </is>
      </c>
      <c r="AM6" s="23" t="inlineStr">
        <is>
          <t>Snagging</t>
        </is>
      </c>
      <c r="AN6" s="23" t="inlineStr">
        <is>
          <t>Complete</t>
        </is>
      </c>
      <c r="AO6" s="63" t="n">
        <v>0</v>
      </c>
      <c r="AP6" s="63" t="n">
        <v>0.1</v>
      </c>
      <c r="AQ6" s="63" t="n">
        <v>0.5</v>
      </c>
      <c r="AR6" s="63" t="n">
        <v>0.85</v>
      </c>
      <c r="AS6" s="63" t="n">
        <v>0.95</v>
      </c>
      <c r="AT6" s="63" t="n">
        <v>1</v>
      </c>
    </row>
    <row r="7">
      <c r="B7" s="60" t="inlineStr">
        <is>
          <t>First working day on/after status date</t>
        </is>
      </c>
      <c r="C7" s="61">
        <f>WORKDAY.INTL(StatusDate-1,1,WorkWeek,Holidays)</f>
        <v/>
      </c>
      <c r="D7" s="62" t="inlineStr">
        <is>
          <t>StatusWorkday</t>
        </is>
      </c>
      <c r="E7" s="2" t="inlineStr"/>
      <c r="G7" s="23" t="inlineStr">
        <is>
          <t>FF</t>
        </is>
      </c>
      <c r="K7" s="23" t="inlineStr">
        <is>
          <t>Mon-Sat</t>
        </is>
      </c>
      <c r="M7" s="23" t="inlineStr">
        <is>
          <t>Must Start On</t>
        </is>
      </c>
      <c r="Q7" s="23" t="inlineStr">
        <is>
          <t>Cost</t>
        </is>
      </c>
      <c r="S7" s="23" t="n">
        <v>30</v>
      </c>
      <c r="U7" s="23" t="inlineStr">
        <is>
          <t>Red</t>
        </is>
      </c>
      <c r="W7" s="23" t="inlineStr">
        <is>
          <t>Issue</t>
        </is>
      </c>
      <c r="Y7" s="23" t="inlineStr">
        <is>
          <t>Closed</t>
        </is>
      </c>
      <c r="AA7" s="23" t="inlineStr">
        <is>
          <t>Rejected</t>
        </is>
      </c>
      <c r="AC7" s="23" t="inlineStr">
        <is>
          <t>Approved</t>
        </is>
      </c>
      <c r="AE7" s="23" t="inlineStr">
        <is>
          <t>IT infrastructure</t>
        </is>
      </c>
      <c r="AF7" s="23" t="n">
        <v>14</v>
      </c>
      <c r="AG7" s="23" t="n">
        <v>2</v>
      </c>
      <c r="AH7" s="23" t="n">
        <v>5</v>
      </c>
      <c r="AI7" s="23" t="inlineStr">
        <is>
          <t>Not Started</t>
        </is>
      </c>
      <c r="AJ7" s="23" t="inlineStr">
        <is>
          <t>Design</t>
        </is>
      </c>
      <c r="AK7" s="23" t="inlineStr">
        <is>
          <t>Build</t>
        </is>
      </c>
      <c r="AL7" s="23" t="inlineStr">
        <is>
          <t>Testing</t>
        </is>
      </c>
      <c r="AM7" s="23" t="inlineStr">
        <is>
          <t>Cutover</t>
        </is>
      </c>
      <c r="AN7" s="23" t="inlineStr">
        <is>
          <t>Complete</t>
        </is>
      </c>
      <c r="AO7" s="63" t="n">
        <v>0</v>
      </c>
      <c r="AP7" s="63" t="n">
        <v>0.15</v>
      </c>
      <c r="AQ7" s="63" t="n">
        <v>0.5</v>
      </c>
      <c r="AR7" s="63" t="n">
        <v>0.8</v>
      </c>
      <c r="AS7" s="63" t="n">
        <v>0.95</v>
      </c>
      <c r="AT7" s="63" t="n">
        <v>1</v>
      </c>
    </row>
    <row r="8">
      <c r="B8" s="60" t="inlineStr">
        <is>
          <t>Reschedule incomplete work after status date?</t>
        </is>
      </c>
      <c r="C8" s="6" t="inlineStr">
        <is>
          <t>Yes</t>
        </is>
      </c>
      <c r="D8" s="62" t="inlineStr">
        <is>
          <t>RescheduleAfterStatus</t>
        </is>
      </c>
      <c r="E8" s="2" t="inlineStr">
        <is>
          <t>Yes = like MS Project 'move incomplete parts after status date': unstarted tasks can't start before the status date and in-progress tasks finish their remaining duration after it, pushing all successors.</t>
        </is>
      </c>
      <c r="G8" s="23" t="inlineStr">
        <is>
          <t>SF</t>
        </is>
      </c>
      <c r="K8" s="23" t="inlineStr">
        <is>
          <t>Custom</t>
        </is>
      </c>
      <c r="M8" s="23" t="inlineStr">
        <is>
          <t>Must Finish On</t>
        </is>
      </c>
      <c r="S8" s="23" t="n">
        <v>91</v>
      </c>
      <c r="W8" s="23" t="inlineStr">
        <is>
          <t>Dependency</t>
        </is>
      </c>
      <c r="AA8" s="23" t="inlineStr">
        <is>
          <t>Superseded</t>
        </is>
      </c>
      <c r="AC8" s="23" t="inlineStr">
        <is>
          <t>Rejected</t>
        </is>
      </c>
      <c r="AE8" s="23" t="n"/>
      <c r="AF8" s="23" t="n"/>
      <c r="AG8" s="23" t="n"/>
      <c r="AH8" s="23" t="n"/>
      <c r="AI8" s="23" t="n"/>
      <c r="AJ8" s="23" t="n"/>
      <c r="AK8" s="23" t="n"/>
      <c r="AL8" s="23" t="n"/>
      <c r="AM8" s="23" t="n"/>
      <c r="AN8" s="23" t="n"/>
      <c r="AO8" s="63" t="n"/>
      <c r="AP8" s="63" t="n"/>
      <c r="AQ8" s="63" t="n"/>
      <c r="AR8" s="63" t="n"/>
      <c r="AS8" s="63" t="n"/>
      <c r="AT8" s="63" t="n"/>
    </row>
    <row r="9">
      <c r="B9" s="60" t="inlineStr">
        <is>
          <t>Default assignment units</t>
        </is>
      </c>
      <c r="C9" s="63" t="n">
        <v>1</v>
      </c>
      <c r="D9" s="62" t="inlineStr">
        <is>
          <t>DefaultUnits</t>
        </is>
      </c>
      <c r="E9" s="2" t="inlineStr">
        <is>
          <t>Used when a task has a resource but Units is blank. 100% = full time.</t>
        </is>
      </c>
      <c r="M9" s="23" t="inlineStr">
        <is>
          <t>Start No Earlier Than</t>
        </is>
      </c>
      <c r="W9" s="23" t="inlineStr">
        <is>
          <t>Decision</t>
        </is>
      </c>
      <c r="AC9" s="23" t="inlineStr">
        <is>
          <t>Implemented</t>
        </is>
      </c>
      <c r="AE9" s="23" t="n"/>
      <c r="AF9" s="23" t="n"/>
      <c r="AG9" s="23" t="n"/>
      <c r="AH9" s="23" t="n"/>
      <c r="AI9" s="23" t="n"/>
      <c r="AJ9" s="23" t="n"/>
      <c r="AK9" s="23" t="n"/>
      <c r="AL9" s="23" t="n"/>
      <c r="AM9" s="23" t="n"/>
      <c r="AN9" s="23" t="n"/>
      <c r="AO9" s="63" t="n"/>
      <c r="AP9" s="63" t="n"/>
      <c r="AQ9" s="63" t="n"/>
      <c r="AR9" s="63" t="n"/>
      <c r="AS9" s="63" t="n"/>
      <c r="AT9" s="63" t="n"/>
    </row>
    <row r="10">
      <c r="B10" s="60" t="inlineStr">
        <is>
          <t>Monday is a working day</t>
        </is>
      </c>
      <c r="C10" s="6" t="inlineStr">
        <is>
          <t>Yes</t>
        </is>
      </c>
      <c r="D10" s="62" t="inlineStr">
        <is>
          <t>WorkMon</t>
        </is>
      </c>
      <c r="E10" s="2" t="inlineStr">
        <is>
          <t>Used when Working week (Start sheet) is Custom: Yes / No for each day.</t>
        </is>
      </c>
      <c r="M10" s="23" t="inlineStr">
        <is>
          <t>Start No Later Than</t>
        </is>
      </c>
      <c r="W10" s="23" t="inlineStr">
        <is>
          <t>Change</t>
        </is>
      </c>
      <c r="AE10" s="23" t="n"/>
      <c r="AF10" s="23" t="n"/>
      <c r="AG10" s="23" t="n"/>
      <c r="AH10" s="23" t="n"/>
      <c r="AI10" s="23" t="n"/>
      <c r="AJ10" s="23" t="n"/>
      <c r="AK10" s="23" t="n"/>
      <c r="AL10" s="23" t="n"/>
      <c r="AM10" s="23" t="n"/>
      <c r="AN10" s="23" t="n"/>
      <c r="AO10" s="63" t="n"/>
      <c r="AP10" s="63" t="n"/>
      <c r="AQ10" s="63" t="n"/>
      <c r="AR10" s="63" t="n"/>
      <c r="AS10" s="63" t="n"/>
      <c r="AT10" s="63" t="n"/>
    </row>
    <row r="11">
      <c r="B11" s="60" t="inlineStr">
        <is>
          <t>Tuesday is a working day</t>
        </is>
      </c>
      <c r="C11" s="6" t="inlineStr">
        <is>
          <t>Yes</t>
        </is>
      </c>
      <c r="D11" s="62" t="inlineStr">
        <is>
          <t>WorkTue</t>
        </is>
      </c>
      <c r="E11" s="2" t="inlineStr"/>
      <c r="M11" s="23" t="inlineStr">
        <is>
          <t>Finish No Earlier Than</t>
        </is>
      </c>
    </row>
    <row r="12">
      <c r="B12" s="60" t="inlineStr">
        <is>
          <t>Wednesday is a working day</t>
        </is>
      </c>
      <c r="C12" s="6" t="inlineStr">
        <is>
          <t>Yes</t>
        </is>
      </c>
      <c r="D12" s="62" t="inlineStr">
        <is>
          <t>WorkWed</t>
        </is>
      </c>
      <c r="E12" s="2" t="inlineStr"/>
      <c r="M12" s="23" t="inlineStr">
        <is>
          <t>Finish No Later Than</t>
        </is>
      </c>
    </row>
    <row r="13">
      <c r="B13" s="60" t="inlineStr">
        <is>
          <t>Thursday is a working day</t>
        </is>
      </c>
      <c r="C13" s="6" t="inlineStr">
        <is>
          <t>Yes</t>
        </is>
      </c>
      <c r="D13" s="62" t="inlineStr">
        <is>
          <t>WorkThu</t>
        </is>
      </c>
      <c r="E13" s="2" t="inlineStr"/>
    </row>
    <row r="14">
      <c r="B14" s="60" t="inlineStr">
        <is>
          <t>Friday is a working day</t>
        </is>
      </c>
      <c r="C14" s="6" t="inlineStr">
        <is>
          <t>Yes</t>
        </is>
      </c>
      <c r="D14" s="62" t="inlineStr">
        <is>
          <t>WorkFri</t>
        </is>
      </c>
      <c r="E14" s="2" t="inlineStr"/>
      <c r="G14" s="2" t="inlineStr">
        <is>
          <t>Dropdown sources. Add a value by typing it in the row under a list: the table and its named range grow.</t>
        </is>
      </c>
    </row>
    <row r="15">
      <c r="B15" s="60" t="inlineStr">
        <is>
          <t>Saturday is a working day</t>
        </is>
      </c>
      <c r="C15" s="6" t="inlineStr">
        <is>
          <t>No</t>
        </is>
      </c>
      <c r="D15" s="62" t="inlineStr">
        <is>
          <t>WorkSat</t>
        </is>
      </c>
      <c r="E15" s="2" t="inlineStr"/>
    </row>
    <row r="16">
      <c r="B16" s="60" t="inlineStr">
        <is>
          <t>Sunday is a working day</t>
        </is>
      </c>
      <c r="C16" s="6" t="inlineStr">
        <is>
          <t>No</t>
        </is>
      </c>
      <c r="D16" s="62" t="inlineStr">
        <is>
          <t>WorkSun</t>
        </is>
      </c>
      <c r="E16" s="2" t="inlineStr"/>
    </row>
    <row r="17">
      <c r="B17" s="60" t="inlineStr">
        <is>
          <t>Weekend mask (calculated)</t>
        </is>
      </c>
      <c r="C17" s="64">
        <f>IF(WorkingWeek="Mon-Fri","0000011",IF(WorkingWeek="Sun-Thu","0000110",IF(WorkingWeek="Mon-Sat","0000001",IF(WorkMon="Yes","0","1")&amp;IF(WorkTue="Yes","0","1")&amp;IF(WorkWed="Yes","0","1")&amp;IF(WorkThu="Yes","0","1")&amp;IF(WorkFri="Yes","0","1")&amp;IF(WorkSat="Yes","0","1")&amp;IF(WorkSun="Yes","0","1"))))</f>
        <v/>
      </c>
      <c r="D17" s="62" t="inlineStr">
        <is>
          <t>WorkWeek</t>
        </is>
      </c>
      <c r="E17" s="2" t="inlineStr">
        <is>
          <t>7-character Mon..Sun string used by WORKDAY.INTL (1 = non-working).</t>
        </is>
      </c>
    </row>
    <row r="18">
      <c r="B18" s="60" t="inlineStr">
        <is>
          <t>Show the Gantt and Resource Report from</t>
        </is>
      </c>
      <c r="C18" s="7">
        <f>MAX(ProjectStart,StatusDate-14)</f>
        <v/>
      </c>
      <c r="D18" s="62" t="inlineStr">
        <is>
          <t>ViewFrom</t>
        </is>
      </c>
      <c r="E18" s="2" t="inlineStr">
        <is>
          <t>Defaults to two weeks before the status date (the project start until then). Overwrite with any date to scroll both views at once; GanttStart and ResourceWeekStart below follow it unless you overwrite them.</t>
        </is>
      </c>
    </row>
    <row r="19">
      <c r="B19" s="60" t="inlineStr">
        <is>
          <t>Gantt timeline start</t>
        </is>
      </c>
      <c r="C19" s="7">
        <f>ViewFrom-WEEKDAY(ViewFrom,3)</f>
        <v/>
      </c>
      <c r="D19" s="62" t="inlineStr">
        <is>
          <t>GanttStart</t>
        </is>
      </c>
      <c r="E19" s="2" t="inlineStr">
        <is>
          <t>Defaults to the Monday of the View from week. Overwrite with any date to scroll the timeline alone.</t>
        </is>
      </c>
    </row>
    <row r="20">
      <c r="B20" s="60" t="inlineStr">
        <is>
          <t>Gantt days per column</t>
        </is>
      </c>
      <c r="C20" s="65" t="n">
        <v>1</v>
      </c>
      <c r="D20" s="62" t="inlineStr">
        <is>
          <t>GanttPeriod</t>
        </is>
      </c>
      <c r="E20" s="2" t="inlineStr">
        <is>
          <t>1 = daily timeline, 7 = weekly, 30 = monthly (calendar months), 91 = quarterly (calendar quarters).</t>
        </is>
      </c>
    </row>
    <row r="21">
      <c r="B21" s="60" t="inlineStr">
        <is>
          <t>Show tasks down to outline level</t>
        </is>
      </c>
      <c r="C21" s="65" t="n">
        <v>9</v>
      </c>
      <c r="D21" s="62" t="inlineStr">
        <is>
          <t>OutlineShowLevel</t>
        </is>
      </c>
      <c r="E21" s="2" t="inlineStr">
        <is>
          <t>Tasks &gt; Show (DETAIL section) is Yes for rows at this level or above: filter Show = Yes to see only phases (1), phases and tasks (2) ... Reapply the filter (Data &gt; Reapply) after changing it.</t>
        </is>
      </c>
    </row>
    <row r="22">
      <c r="B22" s="60" t="inlineStr">
        <is>
          <t>Live resource grids</t>
        </is>
      </c>
      <c r="C22" s="6" t="inlineStr">
        <is>
          <t>Yes</t>
        </is>
      </c>
      <c r="D22" s="62" t="inlineStr">
        <is>
          <t>LiveGrids</t>
        </is>
      </c>
      <c r="E22" s="2" t="inlineStr">
        <is>
          <t>No = the Resource Report's weekly and sprint grids per person (and Tasks &gt; Over-allocated) stop calculating, for fast bulk entry on a big plan; Status says so while they are off. Set Yes afterwards.</t>
        </is>
      </c>
    </row>
    <row r="23">
      <c r="B23" s="60" t="inlineStr">
        <is>
          <t>Roadmap first month</t>
        </is>
      </c>
      <c r="C23" s="66">
        <f>DATE(YEAR(ProjectStart),MONTH(ProjectStart),1)</f>
        <v/>
      </c>
      <c r="D23" s="62" t="inlineStr">
        <is>
          <t>RoadmapStart</t>
        </is>
      </c>
      <c r="E23" s="2" t="inlineStr">
        <is>
          <t>The Roadmap sheet's first month. Overwrite with the first of any month to scroll it.</t>
        </is>
      </c>
    </row>
    <row r="24">
      <c r="B24" s="60" t="inlineStr">
        <is>
          <t>Sprint focus (share of time on delivery)</t>
        </is>
      </c>
      <c r="C24" s="63" t="n">
        <v>0.8</v>
      </c>
      <c r="D24" s="62" t="inlineStr">
        <is>
          <t>FocusFactor</t>
        </is>
      </c>
      <c r="E24" s="2" t="inlineStr">
        <is>
          <t>Of each person's available days in a sprint, the share that is delivery (1 person-day = 1 story point); the rest is ceremonies and overhead. A Focus % on Resources overrides it per person (0% = advisory).</t>
        </is>
      </c>
    </row>
    <row r="25">
      <c r="B25" s="60" t="inlineStr">
        <is>
          <t>Most people on one task (calculated)</t>
        </is>
      </c>
      <c r="C25" s="67">
        <f>MAX(tsk_People)</f>
        <v/>
      </c>
      <c r="D25" s="62" t="inlineStr">
        <is>
          <t>MaxPeople</t>
        </is>
      </c>
      <c r="E25" s="2" t="inlineStr">
        <is>
          <t>Per-resource totals skip the person slots no task uses, so a plan with one person per task stays fast.</t>
        </is>
      </c>
    </row>
    <row r="26">
      <c r="B26" s="60" t="inlineStr">
        <is>
          <t>Critical when total slack is at most (days)</t>
        </is>
      </c>
      <c r="C26" s="65" t="n">
        <v>0</v>
      </c>
      <c r="D26" s="62" t="inlineStr">
        <is>
          <t>CriticalSlackDays</t>
        </is>
      </c>
      <c r="E26" s="2" t="inlineStr">
        <is>
          <t>0 = only tasks with no slack (or negative slack from a missed deadline) are critical, like MS Project.</t>
        </is>
      </c>
    </row>
    <row r="27">
      <c r="B27" s="60" t="inlineStr">
        <is>
          <t>Forecast project finish (calculated)</t>
        </is>
      </c>
      <c r="C27" s="61">
        <f>MAX(tsk_LeafFcstFinish)</f>
        <v/>
      </c>
      <c r="D27" s="62" t="inlineStr">
        <is>
          <t>ProjectFinish</t>
        </is>
      </c>
      <c r="E27" s="2" t="inlineStr">
        <is>
          <t>The critical path's backward pass starts here (the detail tasks' early finish).</t>
        </is>
      </c>
    </row>
    <row r="28">
      <c r="B28" s="60" t="inlineStr">
        <is>
          <t>Planned project finish (calculated)</t>
        </is>
      </c>
      <c r="C28" s="61">
        <f>MAX(tsk_PlanFinish)</f>
        <v/>
      </c>
      <c r="D28" s="62" t="inlineStr">
        <is>
          <t>PlannedFinish</t>
        </is>
      </c>
      <c r="E28" s="2" t="inlineStr">
        <is>
          <t>Baseline finish once a baseline is set.</t>
        </is>
      </c>
    </row>
    <row r="29">
      <c r="B29" s="60" t="inlineStr">
        <is>
          <t>Baseline set (calculated)</t>
        </is>
      </c>
      <c r="C29" s="64">
        <f>COUNT(tsk_BaseStart)&gt;0</f>
        <v/>
      </c>
      <c r="D29" s="62" t="inlineStr">
        <is>
          <t>BaselineSet</t>
        </is>
      </c>
      <c r="E29" s="2" t="inlineStr">
        <is>
          <t>TRUE once any task has a Baseline Start: the Gantt then outlines only the tasks that have one.</t>
        </is>
      </c>
    </row>
    <row r="30">
      <c r="B30" s="60" t="inlineStr">
        <is>
          <t>Project finish variance (calculated, working days)</t>
        </is>
      </c>
      <c r="C30" s="68">
        <f>L_WORKING_DAYS(PlannedFinish,ProjectFinish)</f>
        <v/>
      </c>
      <c r="D30" s="62" t="inlineStr">
        <is>
          <t>FinishVarianceDays</t>
        </is>
      </c>
      <c r="E30" s="2" t="inlineStr">
        <is>
          <t>Forecast finish minus planned finish. Positive = late.</t>
        </is>
      </c>
    </row>
    <row r="31">
      <c r="B31" s="60" t="inlineStr">
        <is>
          <t>Look-ahead window (working days)</t>
        </is>
      </c>
      <c r="C31" s="65" t="n">
        <v>10</v>
      </c>
      <c r="D31" s="62" t="inlineStr">
        <is>
          <t>LookaheadDays</t>
        </is>
      </c>
      <c r="E31" s="2" t="inlineStr">
        <is>
          <t>Status lists tasks starting or due within this many working days of the status date.</t>
        </is>
      </c>
    </row>
    <row r="32">
      <c r="B32" s="60" t="inlineStr">
        <is>
          <t>Look-ahead window ends (calculated)</t>
        </is>
      </c>
      <c r="C32" s="61">
        <f>WORKDAY.INTL(StatusDate-1,LookaheadDays,WorkWeek,Holidays)</f>
        <v/>
      </c>
      <c r="D32" s="62" t="inlineStr">
        <is>
          <t>LookaheadEnd</t>
        </is>
      </c>
      <c r="E32" s="2" t="inlineStr"/>
    </row>
    <row r="33">
      <c r="B33" s="60" t="inlineStr">
        <is>
          <t>RAG: amber when the finish slips by (working days)</t>
        </is>
      </c>
      <c r="C33" s="65">
        <f>IFERROR(INDEX(ProjectPresets[Amber Slip],MATCH(ProjectType,ProjectPresets[Project Type],0)),3)</f>
        <v/>
      </c>
      <c r="D33" s="62" t="inlineStr">
        <is>
          <t>RAGAmberSlipDays</t>
        </is>
      </c>
      <c r="E33" s="2" t="inlineStr">
        <is>
          <t>Status sheet thresholds. A finish slip of at least this many working days is amber.</t>
        </is>
      </c>
    </row>
    <row r="34">
      <c r="B34" s="60" t="inlineStr">
        <is>
          <t>RAG: red when the finish slips by (working days)</t>
        </is>
      </c>
      <c r="C34" s="65">
        <f>IFERROR(INDEX(ProjectPresets[Red Slip],MATCH(ProjectType,ProjectPresets[Project Type],0)),10)</f>
        <v/>
      </c>
      <c r="D34" s="62" t="inlineStr">
        <is>
          <t>RAGRedSlipDays</t>
        </is>
      </c>
      <c r="E34" s="2" t="inlineStr">
        <is>
          <t>Both slip thresholds default from the Project type (Start); type a number to set your own.</t>
        </is>
      </c>
    </row>
    <row r="35">
      <c r="B35" s="60" t="inlineStr">
        <is>
          <t>RAG: amber when SPI or CPI is below</t>
        </is>
      </c>
      <c r="C35" s="69" t="n">
        <v>0.95</v>
      </c>
      <c r="D35" s="62" t="inlineStr">
        <is>
          <t>RAGAmberIndex</t>
        </is>
      </c>
      <c r="E35" s="2" t="inlineStr">
        <is>
          <t>SPI = earned value / planned value; CPI = earned value / actual cost. 1.00 = on plan.</t>
        </is>
      </c>
    </row>
    <row r="36">
      <c r="B36" s="60" t="inlineStr">
        <is>
          <t>RAG: red when SPI or CPI is below</t>
        </is>
      </c>
      <c r="C36" s="69" t="n">
        <v>0.85</v>
      </c>
      <c r="D36" s="62" t="inlineStr">
        <is>
          <t>RAGRedIndex</t>
        </is>
      </c>
      <c r="E36" s="2" t="inlineStr"/>
    </row>
    <row r="37">
      <c r="B37" s="60" t="inlineStr">
        <is>
          <t>RAID: high rating from score</t>
        </is>
      </c>
      <c r="C37" s="65" t="n">
        <v>15</v>
      </c>
      <c r="D37" s="62" t="inlineStr">
        <is>
          <t>RAIDHighScore</t>
        </is>
      </c>
      <c r="E37" s="2" t="inlineStr">
        <is>
          <t>Score = probability x impact (1-25). At or above this a risk or issue is rated High.</t>
        </is>
      </c>
    </row>
    <row r="38">
      <c r="B38" s="60" t="inlineStr">
        <is>
          <t>RAID: medium rating from score</t>
        </is>
      </c>
      <c r="C38" s="65" t="n">
        <v>8</v>
      </c>
      <c r="D38" s="62" t="inlineStr">
        <is>
          <t>RAIDMediumScore</t>
        </is>
      </c>
      <c r="E38" s="2" t="inlineStr"/>
    </row>
    <row r="39">
      <c r="B39" s="60" t="inlineStr">
        <is>
          <t>Resource Report first week</t>
        </is>
      </c>
      <c r="C39" s="7">
        <f>MAX(2,ViewFrom-WEEKDAY(ViewFrom,3))</f>
        <v/>
      </c>
      <c r="D39" s="62" t="inlineStr">
        <is>
          <t>ResourceWeekStart</t>
        </is>
      </c>
      <c r="E39" s="2" t="inlineStr">
        <is>
          <t>Defaults to the Monday of the View from week. Overwrite with any Monday to scroll the weekly grids alone.</t>
        </is>
      </c>
    </row>
    <row r="40">
      <c r="B40" s="60" t="inlineStr">
        <is>
          <t>Next free task UID (calculated)</t>
        </is>
      </c>
      <c r="C40" s="67">
        <f>MAX(tsk_UID)+1</f>
        <v/>
      </c>
      <c r="D40" s="62" t="inlineStr">
        <is>
          <t>NextFreeUID</t>
        </is>
      </c>
      <c r="E40" s="2" t="inlineStr">
        <is>
          <t>Give a newly inserted task row this UID (see Start &gt; Inserting tasks).</t>
        </is>
      </c>
    </row>
    <row r="41">
      <c r="B41" s="60" t="inlineStr">
        <is>
          <t>Re-baseline every task (BL Source)</t>
        </is>
      </c>
      <c r="C41" s="6" t="inlineStr">
        <is>
          <t>No</t>
        </is>
      </c>
      <c r="D41" s="62" t="inlineStr">
        <is>
          <t>TakeBaseline</t>
        </is>
      </c>
      <c r="E41" s="2" t="inlineStr">
        <is>
          <t>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is>
      </c>
    </row>
    <row r="42">
      <c r="B42" s="60" t="inlineStr">
        <is>
          <t>Tasks sharing a UID (calculated)</t>
        </is>
      </c>
      <c r="C42" s="67">
        <f>COUNTIF(tsk_Issues,"*is used twice*")</f>
        <v/>
      </c>
      <c r="D42" s="62" t="inlineStr">
        <is>
          <t>DuplicateUIDs</t>
        </is>
      </c>
      <c r="E42" s="2" t="inlineStr">
        <is>
          <t>Should be 0. Each such task says so in Tasks &gt; Issues; give one of them Settings &gt; NextFreeUID.</t>
        </is>
      </c>
    </row>
    <row r="43">
      <c r="B43" s="60" t="inlineStr">
        <is>
          <t>Named tasks without a UID (calculated)</t>
        </is>
      </c>
      <c r="C43" s="67">
        <f>COUNTIF(tsk_Issues,"No UID*")</f>
        <v/>
      </c>
      <c r="D43" s="62" t="inlineStr">
        <is>
          <t>MissingUIDs</t>
        </is>
      </c>
      <c r="E43" s="2" t="inlineStr">
        <is>
          <t>Should be 0: links can't point at a task without a UID.</t>
        </is>
      </c>
    </row>
    <row r="44">
      <c r="B44" s="60" t="inlineStr">
        <is>
          <t>Sandbox: use the Sandbox Durations (what-if)</t>
        </is>
      </c>
      <c r="C44" s="6" t="inlineStr">
        <is>
          <t>No</t>
        </is>
      </c>
      <c r="D44" s="62" t="inlineStr">
        <is>
          <t>Sandbox</t>
        </is>
      </c>
      <c r="E44" s="2" t="inlineStr">
        <is>
          <t>Yes = every task with a Sandbox Duration (Tasks &gt; ESTIMATES and SANDBOX) uses it instead of its Duration, and the whole plan, Status and the reports show the what-if. Status and Check say so. Set No to go back.</t>
        </is>
      </c>
    </row>
    <row r="45">
      <c r="B45" s="60" t="inlineStr">
        <is>
          <t>Finish P50, from the estimates (calculated)</t>
        </is>
      </c>
      <c r="C45" s="61">
        <f>WORKDAY.INTL(ProjectFinish,ROUND(SUMIFS(tsk_PertShift,tsk_Critical,"Yes",tsk_IsLeaf,1),0),WorkWeek,Holidays)</f>
        <v/>
      </c>
      <c r="D45" s="62" t="inlineStr">
        <is>
          <t>PertP50</t>
        </is>
      </c>
      <c r="E45" s="2" t="inlineStr">
        <is>
          <t>Forecast finish moved by the critical tasks' Expected - Duration: a 50% chance of finishing by then.</t>
        </is>
      </c>
    </row>
    <row r="46">
      <c r="B46" s="60" t="inlineStr">
        <is>
          <t>Finish P80, from the estimates (calculated)</t>
        </is>
      </c>
      <c r="C46" s="61">
        <f>WORKDAY.INTL(ProjectFinish,ROUND(SUMIFS(tsk_PertShift,tsk_Critical,"Yes",tsk_IsLeaf,1)+0.84*SQRT(SUMIFS(tsk_PertVariance,tsk_Critical,"Yes",tsk_IsLeaf,1)),0),WorkWeek,Holidays)</f>
        <v/>
      </c>
      <c r="D46" s="62" t="inlineStr">
        <is>
          <t>PertP80</t>
        </is>
      </c>
      <c r="E46" s="2" t="inlineStr">
        <is>
          <t>Adds 0.84 standard deviations (the critical tasks' variances added up): an 80% chance of finishing by then.</t>
        </is>
      </c>
    </row>
    <row r="47"/>
    <row r="48">
      <c r="B48" s="28" t="inlineStr">
        <is>
          <t>STAGES: pick one per task on Tasks &gt; Stage; its % Complete counts as the task's progress (a typed % Complete overrides it).</t>
        </is>
      </c>
    </row>
    <row r="49">
      <c r="B49" s="18" t="inlineStr">
        <is>
          <t>Stage</t>
        </is>
      </c>
      <c r="C49" s="18" t="inlineStr">
        <is>
          <t>% Complete</t>
        </is>
      </c>
    </row>
    <row r="50">
      <c r="B50" s="23">
        <f>IFERROR(INDEX(ProjectPresets[[Stage 1]:[Stage 6]],MATCH(ProjectType,ProjectPresets[Project Type],0),ROW()-ROW(StageTable[[#Headers],[Stage]]))&amp;"","")</f>
        <v/>
      </c>
      <c r="C50" s="63">
        <f>N(IFERROR(INDEX(ProjectPresets[[% 1]:[% 6]],MATCH(ProjectType,ProjectPresets[Project Type],0),ROW()-ROW(StageTable[[#Headers],[Stage]])),0))</f>
        <v/>
      </c>
    </row>
    <row r="51">
      <c r="B51" s="23">
        <f>IFERROR(INDEX(ProjectPresets[[Stage 1]:[Stage 6]],MATCH(ProjectType,ProjectPresets[Project Type],0),ROW()-ROW(StageTable[[#Headers],[Stage]]))&amp;"","")</f>
        <v/>
      </c>
      <c r="C51" s="63">
        <f>N(IFERROR(INDEX(ProjectPresets[[% 1]:[% 6]],MATCH(ProjectType,ProjectPresets[Project Type],0),ROW()-ROW(StageTable[[#Headers],[Stage]])),0))</f>
        <v/>
      </c>
    </row>
    <row r="52">
      <c r="B52" s="23">
        <f>IFERROR(INDEX(ProjectPresets[[Stage 1]:[Stage 6]],MATCH(ProjectType,ProjectPresets[Project Type],0),ROW()-ROW(StageTable[[#Headers],[Stage]]))&amp;"","")</f>
        <v/>
      </c>
      <c r="C52" s="63">
        <f>N(IFERROR(INDEX(ProjectPresets[[% 1]:[% 6]],MATCH(ProjectType,ProjectPresets[Project Type],0),ROW()-ROW(StageTable[[#Headers],[Stage]])),0))</f>
        <v/>
      </c>
    </row>
    <row r="53">
      <c r="B53" s="23">
        <f>IFERROR(INDEX(ProjectPresets[[Stage 1]:[Stage 6]],MATCH(ProjectType,ProjectPresets[Project Type],0),ROW()-ROW(StageTable[[#Headers],[Stage]]))&amp;"","")</f>
        <v/>
      </c>
      <c r="C53" s="63">
        <f>N(IFERROR(INDEX(ProjectPresets[[% 1]:[% 6]],MATCH(ProjectType,ProjectPresets[Project Type],0),ROW()-ROW(StageTable[[#Headers],[Stage]])),0))</f>
        <v/>
      </c>
    </row>
    <row r="54">
      <c r="B54" s="23">
        <f>IFERROR(INDEX(ProjectPresets[[Stage 1]:[Stage 6]],MATCH(ProjectType,ProjectPresets[Project Type],0),ROW()-ROW(StageTable[[#Headers],[Stage]]))&amp;"","")</f>
        <v/>
      </c>
      <c r="C54" s="63">
        <f>N(IFERROR(INDEX(ProjectPresets[[% 1]:[% 6]],MATCH(ProjectType,ProjectPresets[Project Type],0),ROW()-ROW(StageTable[[#Headers],[Stage]])),0))</f>
        <v/>
      </c>
    </row>
    <row r="55">
      <c r="B55" s="23">
        <f>IFERROR(INDEX(ProjectPresets[[Stage 1]:[Stage 6]],MATCH(ProjectType,ProjectPresets[Project Type],0),ROW()-ROW(StageTable[[#Headers],[Stage]]))&amp;"","")</f>
        <v/>
      </c>
      <c r="C55" s="63">
        <f>N(IFERROR(INDEX(ProjectPresets[[% 1]:[% 6]],MATCH(ProjectType,ProjectPresets[Project Type],0),ROW()-ROW(StageTable[[#Headers],[Stage]])),0))</f>
        <v/>
      </c>
    </row>
    <row r="56"/>
    <row r="57">
      <c r="B57" s="28" t="inlineStr">
        <is>
          <t>HOLIDAYS: every date here is skipped by all scheduling formulas (named range: Holidays). Add rows to the table as needed.</t>
        </is>
      </c>
    </row>
    <row r="58">
      <c r="B58" s="18" t="inlineStr">
        <is>
          <t>Date</t>
        </is>
      </c>
      <c r="C58" s="18" t="inlineStr">
        <is>
          <t>Description</t>
        </is>
      </c>
    </row>
    <row r="59">
      <c r="B59" s="7" t="n">
        <v>46380</v>
      </c>
      <c r="C59" s="23" t="inlineStr">
        <is>
          <t>Christmas Eve (example - replace with your calendar)</t>
        </is>
      </c>
    </row>
    <row r="60">
      <c r="B60" s="7" t="n">
        <v>46381</v>
      </c>
      <c r="C60" s="23" t="inlineStr">
        <is>
          <t>Christmas Day (example)</t>
        </is>
      </c>
    </row>
    <row r="61">
      <c r="B61" s="7" t="n">
        <v>46387</v>
      </c>
      <c r="C61" s="23" t="inlineStr">
        <is>
          <t>New Year's Eve (example)</t>
        </is>
      </c>
    </row>
    <row r="62">
      <c r="B62" s="7" t="n">
        <v>46388</v>
      </c>
      <c r="C62" s="23" t="inlineStr">
        <is>
          <t>New Year's Day (example)</t>
        </is>
      </c>
    </row>
    <row r="63">
      <c r="B63" s="7" t="n"/>
      <c r="C63" s="23" t="n"/>
    </row>
    <row r="64">
      <c r="B64" s="7" t="n"/>
      <c r="C64" s="23" t="n"/>
    </row>
    <row r="65">
      <c r="B65" s="7" t="n"/>
      <c r="C65" s="23" t="n"/>
    </row>
    <row r="66">
      <c r="B66" s="7" t="n"/>
      <c r="C66" s="23" t="n"/>
    </row>
    <row r="67">
      <c r="B67" s="7" t="n"/>
      <c r="C67" s="23" t="n"/>
    </row>
    <row r="68">
      <c r="B68" s="7" t="n"/>
      <c r="C68" s="23" t="n"/>
    </row>
    <row r="69">
      <c r="B69" s="7" t="n"/>
      <c r="C69" s="23" t="n"/>
    </row>
    <row r="70">
      <c r="B70" s="7" t="n"/>
      <c r="C70" s="23" t="n"/>
    </row>
    <row r="71">
      <c r="B71" s="7" t="n"/>
      <c r="C71" s="23" t="n"/>
    </row>
    <row r="72">
      <c r="B72" s="7" t="n"/>
      <c r="C72" s="23" t="n"/>
    </row>
    <row r="73">
      <c r="B73" s="7" t="n"/>
      <c r="C73" s="23" t="n"/>
    </row>
    <row r="74">
      <c r="B74" s="7" t="n"/>
      <c r="C74" s="23" t="n"/>
    </row>
    <row r="75">
      <c r="B75" s="7" t="n"/>
      <c r="C75" s="23" t="n"/>
    </row>
    <row r="76">
      <c r="B76" s="7" t="n"/>
      <c r="C76" s="23" t="n"/>
    </row>
    <row r="77">
      <c r="B77" s="7" t="n"/>
      <c r="C77" s="23" t="n"/>
    </row>
    <row r="78">
      <c r="B78" s="7" t="n"/>
      <c r="C78" s="23" t="n"/>
    </row>
    <row r="79">
      <c r="B79" s="7" t="n"/>
      <c r="C79" s="23" t="n"/>
    </row>
    <row r="80">
      <c r="B80" s="7" t="n"/>
      <c r="C80" s="23" t="n"/>
    </row>
    <row r="81">
      <c r="B81" s="7" t="n"/>
      <c r="C81" s="23" t="n"/>
    </row>
    <row r="82">
      <c r="B82" s="7" t="n"/>
      <c r="C82" s="23" t="n"/>
    </row>
    <row r="83">
      <c r="B83" s="7" t="n"/>
      <c r="C83" s="23" t="n"/>
    </row>
    <row r="84">
      <c r="B84" s="7" t="n"/>
      <c r="C84" s="23" t="n"/>
    </row>
    <row r="85">
      <c r="B85" s="7" t="n"/>
      <c r="C85" s="23" t="n"/>
    </row>
    <row r="86">
      <c r="B86" s="7" t="n"/>
      <c r="C86" s="23" t="n"/>
    </row>
    <row r="87">
      <c r="B87" s="7" t="n"/>
      <c r="C87" s="23" t="n"/>
    </row>
    <row r="88">
      <c r="B88" s="7" t="n"/>
      <c r="C88" s="23" t="n"/>
    </row>
    <row r="89">
      <c r="B89" s="7" t="n"/>
      <c r="C89" s="23" t="n"/>
    </row>
    <row r="90">
      <c r="B90" s="7" t="n"/>
      <c r="C90" s="23" t="n"/>
    </row>
    <row r="91">
      <c r="B91" s="7" t="n"/>
      <c r="C91" s="23" t="n"/>
    </row>
    <row r="92">
      <c r="B92" s="7" t="n"/>
      <c r="C92" s="23" t="n"/>
    </row>
    <row r="93">
      <c r="B93" s="7" t="n"/>
      <c r="C93" s="23" t="n"/>
    </row>
    <row r="94">
      <c r="B94" s="7" t="n"/>
      <c r="C94" s="23" t="n"/>
    </row>
    <row r="95">
      <c r="B95" s="7" t="n"/>
      <c r="C95" s="23" t="n"/>
    </row>
    <row r="96">
      <c r="B96" s="7" t="n"/>
      <c r="C96" s="23" t="n"/>
    </row>
    <row r="97">
      <c r="B97" s="7" t="n"/>
      <c r="C97" s="23" t="n"/>
    </row>
    <row r="98">
      <c r="B98" s="7" t="n"/>
      <c r="C98" s="23" t="n"/>
    </row>
    <row r="99">
      <c r="B99" s="7" t="n"/>
      <c r="C99" s="23" t="n"/>
    </row>
    <row r="100">
      <c r="B100" s="7" t="n"/>
      <c r="C100" s="23" t="n"/>
    </row>
    <row r="101">
      <c r="B101" s="7" t="n"/>
      <c r="C101" s="23" t="n"/>
    </row>
    <row r="102">
      <c r="B102" s="7" t="n"/>
      <c r="C102" s="23" t="n"/>
    </row>
    <row r="103">
      <c r="B103" s="7" t="n"/>
      <c r="C103" s="23" t="n"/>
    </row>
    <row r="104">
      <c r="B104" s="7" t="n"/>
      <c r="C104" s="23" t="n"/>
    </row>
    <row r="105">
      <c r="B105" s="7" t="n"/>
      <c r="C105" s="23" t="n"/>
    </row>
    <row r="106">
      <c r="B106" s="7" t="n"/>
      <c r="C106" s="23" t="n"/>
    </row>
    <row r="107">
      <c r="B107" s="7" t="n"/>
      <c r="C107" s="23" t="n"/>
    </row>
    <row r="108">
      <c r="B108" s="7" t="n"/>
      <c r="C108" s="23" t="n"/>
    </row>
    <row r="109">
      <c r="B109" s="7" t="n"/>
      <c r="C109" s="23" t="n"/>
    </row>
    <row r="110">
      <c r="B110" s="7" t="n"/>
      <c r="C110" s="23" t="n"/>
    </row>
    <row r="111">
      <c r="B111" s="7" t="n"/>
      <c r="C111" s="23" t="n"/>
    </row>
    <row r="112">
      <c r="B112" s="7" t="n"/>
      <c r="C112" s="23" t="n"/>
    </row>
    <row r="113">
      <c r="B113" s="7" t="n"/>
      <c r="C113" s="23" t="n"/>
    </row>
    <row r="114">
      <c r="B114" s="7" t="n"/>
      <c r="C114" s="23" t="n"/>
    </row>
    <row r="115">
      <c r="B115" s="7" t="n"/>
      <c r="C115" s="23" t="n"/>
    </row>
    <row r="116">
      <c r="B116" s="7" t="n"/>
      <c r="C116" s="23" t="n"/>
    </row>
    <row r="117">
      <c r="B117" s="7" t="n"/>
      <c r="C117" s="23" t="n"/>
    </row>
    <row r="118">
      <c r="B118" s="7" t="n"/>
      <c r="C118" s="23" t="n"/>
    </row>
    <row r="119">
      <c r="B119" s="7" t="n"/>
      <c r="C119" s="23" t="n"/>
    </row>
    <row r="120">
      <c r="B120" s="7" t="n"/>
      <c r="C120" s="23" t="n"/>
    </row>
    <row r="121">
      <c r="B121" s="7" t="n"/>
      <c r="C121" s="23" t="n"/>
    </row>
    <row r="122">
      <c r="B122" s="7" t="n"/>
      <c r="C122" s="23" t="n"/>
    </row>
    <row r="123">
      <c r="B123" s="7" t="n"/>
      <c r="C123" s="23" t="n"/>
    </row>
    <row r="124">
      <c r="B124" s="7" t="n"/>
      <c r="C124" s="23" t="n"/>
    </row>
    <row r="125">
      <c r="B125" s="7" t="n"/>
      <c r="C125" s="23" t="n"/>
    </row>
    <row r="126">
      <c r="B126" s="7" t="n"/>
      <c r="C126" s="23" t="n"/>
    </row>
    <row r="127">
      <c r="B127" s="7" t="n"/>
      <c r="C127" s="23" t="n"/>
    </row>
    <row r="128">
      <c r="B128" s="7" t="n"/>
      <c r="C128" s="23" t="n"/>
    </row>
    <row r="129">
      <c r="B129" s="7" t="n"/>
      <c r="C129" s="23" t="n"/>
    </row>
    <row r="130">
      <c r="B130" s="7" t="n"/>
      <c r="C130" s="23" t="n"/>
    </row>
    <row r="131">
      <c r="B131" s="7" t="n"/>
      <c r="C131" s="23" t="n"/>
    </row>
    <row r="132">
      <c r="B132" s="7" t="n"/>
      <c r="C132" s="23" t="n"/>
    </row>
    <row r="133">
      <c r="B133" s="7" t="n"/>
      <c r="C133" s="23" t="n"/>
    </row>
    <row r="134">
      <c r="B134" s="7" t="n"/>
      <c r="C134" s="23" t="n"/>
    </row>
    <row r="135">
      <c r="B135" s="7" t="n"/>
      <c r="C135" s="23" t="n"/>
    </row>
    <row r="136">
      <c r="B136" s="7" t="n"/>
      <c r="C136" s="23" t="n"/>
    </row>
    <row r="137">
      <c r="B137" s="7" t="n"/>
      <c r="C137" s="23" t="n"/>
    </row>
    <row r="138">
      <c r="B138" s="7" t="n"/>
      <c r="C138" s="23" t="n"/>
    </row>
    <row r="139">
      <c r="B139" s="7" t="n"/>
      <c r="C139" s="23" t="n"/>
    </row>
    <row r="140">
      <c r="B140" s="7" t="n"/>
      <c r="C140" s="23" t="n"/>
    </row>
    <row r="141">
      <c r="B141" s="7" t="n"/>
      <c r="C141" s="23" t="n"/>
    </row>
    <row r="142">
      <c r="B142" s="7" t="n"/>
      <c r="C142" s="23" t="n"/>
    </row>
    <row r="143">
      <c r="B143" s="7" t="n"/>
      <c r="C143" s="23" t="n"/>
    </row>
    <row r="144">
      <c r="B144" s="7" t="n"/>
      <c r="C144" s="23" t="n"/>
    </row>
    <row r="145">
      <c r="B145" s="7" t="n"/>
      <c r="C145" s="23" t="n"/>
    </row>
    <row r="146">
      <c r="B146" s="7" t="n"/>
      <c r="C146" s="23" t="n"/>
    </row>
    <row r="147">
      <c r="B147" s="7" t="n"/>
      <c r="C147" s="23" t="n"/>
    </row>
    <row r="148">
      <c r="B148" s="7" t="n"/>
      <c r="C148" s="23" t="n"/>
    </row>
    <row r="149">
      <c r="B149" s="7" t="n"/>
      <c r="C149" s="23" t="n"/>
    </row>
    <row r="150">
      <c r="B150" s="7" t="n"/>
      <c r="C150" s="23" t="n"/>
    </row>
    <row r="151">
      <c r="B151" s="7" t="n"/>
      <c r="C151" s="23" t="n"/>
    </row>
    <row r="152">
      <c r="B152" s="7" t="n"/>
      <c r="C152" s="23" t="n"/>
    </row>
    <row r="153">
      <c r="B153" s="7" t="n"/>
      <c r="C153" s="23" t="n"/>
    </row>
    <row r="154">
      <c r="B154" s="7" t="n"/>
      <c r="C154" s="23" t="n"/>
    </row>
    <row r="155">
      <c r="B155" s="7" t="n"/>
      <c r="C155" s="23" t="n"/>
    </row>
    <row r="156">
      <c r="B156" s="7" t="n"/>
      <c r="C156" s="23" t="n"/>
    </row>
    <row r="157">
      <c r="B157" s="7" t="n"/>
      <c r="C157" s="23" t="n"/>
    </row>
    <row r="158">
      <c r="B158" s="7" t="n"/>
      <c r="C158" s="23" t="n"/>
    </row>
  </sheetData>
  <dataValidations count="3">
    <dataValidation sqref="C8 C10 C11 C12 C13 C14 C15 C16 C22 C41 C44" showDropDown="0" showInputMessage="0" showErrorMessage="0" allowBlank="0" type="list">
      <formula1>=L_YesNo</formula1>
    </dataValidation>
    <dataValidation sqref="C20" showDropDown="0" showInputMessage="0" showErrorMessage="0" allowBlank="0" type="list">
      <formula1>=L_Period</formula1>
    </dataValidation>
    <dataValidation sqref="C21" showDropDown="0" showInputMessage="0" showErrorMessage="0" allowBlank="0" type="whole" operator="between">
      <formula1>1</formula1>
      <formula2>9</formula2>
    </dataValidation>
  </dataValidations>
  <pageMargins left="0.75" right="0.75" top="1" bottom="1" header="0.5" footer="0.5"/>
  <tableParts count="1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 xmlns:r="http://schemas.openxmlformats.org/officeDocument/2006/relationships" r:id="rId15"/>
  </tableParts>
</worksheet>
</file>

<file path=xl/worksheets/sheet5.xml><?xml version="1.0" encoding="utf-8"?>
<worksheet xmlns="http://schemas.openxmlformats.org/spreadsheetml/2006/main">
  <sheetPr>
    <tabColor rgb="002F75B5"/>
    <outlinePr summaryBelow="0" summaryRight="0"/>
    <pageSetUpPr/>
  </sheetPr>
  <dimension ref="A1:NB205"/>
  <sheetViews>
    <sheetView zoomScale="90" workbookViewId="0">
      <pane xSplit="4" ySplit="5" topLeftCell="E6" activePane="bottomRight" state="frozen"/>
      <selection pane="topRight"/>
      <selection pane="bottomLeft"/>
      <selection pane="bottomRight" activeCell="A1" sqref="A1"/>
    </sheetView>
  </sheetViews>
  <sheetFormatPr baseColWidth="8" defaultRowHeight="15" outlineLevelRow="1"/>
  <cols>
    <col width="5" customWidth="1" min="1" max="1"/>
    <col width="6" customWidth="1" min="2" max="2"/>
    <col width="6" customWidth="1" min="3" max="3"/>
    <col width="36" customWidth="1" min="4" max="4"/>
    <col width="9" customWidth="1" min="5" max="5"/>
    <col width="16" customWidth="1" min="6" max="6"/>
    <col width="6" customWidth="1" min="7" max="7"/>
    <col width="6" customWidth="1" min="8" max="8"/>
    <col hidden="1" outlineLevel="1" width="16" customWidth="1" min="9" max="9"/>
    <col hidden="1" outlineLevel="1" width="6" customWidth="1" min="10" max="10"/>
    <col hidden="1" outlineLevel="1" width="6" customWidth="1" min="11" max="11"/>
    <col hidden="1" outlineLevel="1" width="16" customWidth="1" min="12" max="12"/>
    <col hidden="1" outlineLevel="1" width="6" customWidth="1" min="13" max="13"/>
    <col hidden="1" outlineLevel="1" width="6" customWidth="1" min="14" max="14"/>
    <col hidden="1" outlineLevel="1" width="16" customWidth="1" min="15" max="15"/>
    <col hidden="1" outlineLevel="1" width="6" customWidth="1" min="16" max="16"/>
    <col hidden="1" outlineLevel="1" width="6" customWidth="1" min="17" max="17"/>
    <col hidden="1" outlineLevel="1" width="16" customWidth="1" min="18" max="18"/>
    <col width="18" customWidth="1" min="19" max="19"/>
    <col width="7" customWidth="1" min="20" max="20"/>
    <col hidden="1" outlineLevel="1" width="18" customWidth="1" min="21" max="21"/>
    <col hidden="1" outlineLevel="1" width="7" customWidth="1" min="22" max="22"/>
    <col hidden="1" outlineLevel="1" width="18" customWidth="1" min="23" max="23"/>
    <col hidden="1" outlineLevel="1" width="7" customWidth="1" min="24" max="24"/>
    <col hidden="1" outlineLevel="1" width="18" customWidth="1" min="25" max="25"/>
    <col hidden="1" outlineLevel="1" width="7" customWidth="1" min="26" max="26"/>
    <col hidden="1" outlineLevel="1" width="20" customWidth="1" min="27" max="27"/>
    <col width="14" customWidth="1" min="28" max="28"/>
    <col width="15" customWidth="1" min="29" max="29"/>
    <col width="15" customWidth="1" min="30" max="30"/>
    <col width="15" customWidth="1" min="31" max="31"/>
    <col width="15" customWidth="1" min="32" max="32"/>
    <col hidden="1" width="10" customWidth="1" min="33" max="33"/>
    <col width="40" customWidth="1" min="34" max="34"/>
    <col width="34" customWidth="1" min="35" max="35"/>
    <col width="15" customWidth="1" min="36" max="36"/>
    <col hidden="1" outlineLevel="1" width="8" customWidth="1" min="37" max="37"/>
    <col hidden="1" outlineLevel="1" width="20" customWidth="1" min="38" max="38"/>
    <col hidden="1" outlineLevel="1" width="15" customWidth="1" min="39" max="39"/>
    <col width="8" customWidth="1" min="40" max="40"/>
    <col hidden="1" outlineLevel="1" width="12" customWidth="1" min="41" max="41"/>
    <col hidden="1" outlineLevel="1" width="8" customWidth="1" min="42" max="42"/>
    <col hidden="1" outlineLevel="1" width="15" customWidth="1" min="43" max="43"/>
    <col hidden="1" outlineLevel="1" width="15" customWidth="1" min="44" max="44"/>
    <col hidden="1" outlineLevel="1" width="8" customWidth="1" min="45" max="45"/>
    <col hidden="1" outlineLevel="1" width="15" customWidth="1" min="46" max="46"/>
    <col hidden="1" outlineLevel="1" width="15" customWidth="1" min="47" max="47"/>
    <col hidden="1" outlineLevel="1" width="8" customWidth="1" min="48" max="48"/>
    <col hidden="1" outlineLevel="1" width="8" customWidth="1" min="49" max="49"/>
    <col hidden="1" outlineLevel="1" width="12" customWidth="1" min="50" max="50"/>
    <col hidden="1" outlineLevel="1" width="24" customWidth="1" min="51" max="51"/>
    <col hidden="1" outlineLevel="1" width="9" customWidth="1" min="52" max="52"/>
    <col hidden="1" outlineLevel="1" width="9" customWidth="1" min="53" max="53"/>
    <col hidden="1" outlineLevel="1" width="14" customWidth="1" min="54" max="54"/>
    <col hidden="1" outlineLevel="1" width="8" customWidth="1" min="55" max="55"/>
    <col hidden="1" outlineLevel="1" width="6" customWidth="1" min="56" max="56"/>
    <col width="9" customWidth="1" min="57" max="57"/>
    <col hidden="1" outlineLevel="1" width="16" customWidth="1" min="58" max="58"/>
    <col hidden="1" outlineLevel="1" width="22" customWidth="1" min="59" max="59"/>
    <col hidden="1" outlineLevel="1" width="9" customWidth="1" min="60" max="60"/>
    <col width="8" customWidth="1" min="61" max="61"/>
    <col hidden="1" outlineLevel="1" width="11" customWidth="1" min="62" max="62"/>
    <col width="9" customWidth="1" min="63" max="63"/>
    <col hidden="1" outlineLevel="1" width="9" customWidth="1" min="64" max="64"/>
    <col hidden="1" outlineLevel="1" width="15" customWidth="1" min="65" max="65"/>
    <col hidden="1" outlineLevel="1" width="15" customWidth="1" min="66" max="66"/>
    <col hidden="1" outlineLevel="1" width="9" customWidth="1" min="67" max="67"/>
    <col hidden="1" outlineLevel="1" width="9" customWidth="1" min="68" max="68"/>
    <col hidden="1" outlineLevel="1" width="15" customWidth="1" min="69" max="69"/>
    <col hidden="1" outlineLevel="1" width="15" customWidth="1" min="70" max="70"/>
    <col hidden="1" outlineLevel="1" width="9" customWidth="1" min="71" max="71"/>
    <col hidden="1" outlineLevel="1" width="9" customWidth="1" min="72" max="72"/>
    <col width="16" customWidth="1" min="73" max="73"/>
    <col hidden="1" outlineLevel="1" width="18" customWidth="1" min="74" max="74"/>
    <col hidden="1" outlineLevel="1" width="18" customWidth="1" min="75" max="75"/>
    <col width="9" customWidth="1" min="76" max="76"/>
    <col hidden="1" outlineLevel="1" width="9" customWidth="1" min="77" max="77"/>
    <col hidden="1" outlineLevel="1" width="9" customWidth="1" min="78" max="78"/>
    <col hidden="1" outlineLevel="1" width="10" customWidth="1" min="79" max="79"/>
    <col hidden="1" outlineLevel="2" width="11" customWidth="1" min="80" max="80"/>
    <col hidden="1" outlineLevel="2" width="11" customWidth="1" min="81" max="81"/>
    <col hidden="1" outlineLevel="2" width="11" customWidth="1" min="82" max="82"/>
    <col hidden="1" outlineLevel="2" width="11" customWidth="1" min="83" max="83"/>
    <col hidden="1" outlineLevel="2" width="11" customWidth="1" min="84" max="84"/>
    <col hidden="1" outlineLevel="2" width="11" customWidth="1" min="85" max="85"/>
    <col hidden="1" outlineLevel="2" width="11" customWidth="1" min="86" max="86"/>
    <col hidden="1" outlineLevel="2" width="11" customWidth="1" min="87" max="87"/>
    <col hidden="1" outlineLevel="2" width="11" customWidth="1" min="88" max="88"/>
    <col hidden="1" outlineLevel="2" width="11" customWidth="1" min="89" max="89"/>
    <col hidden="1" outlineLevel="2" width="11" customWidth="1" min="90" max="90"/>
    <col hidden="1" outlineLevel="2" width="11" customWidth="1" min="91" max="91"/>
    <col hidden="1" outlineLevel="2" width="11" customWidth="1" min="92" max="92"/>
    <col hidden="1" outlineLevel="2" width="11" customWidth="1" min="93" max="93"/>
    <col hidden="1" outlineLevel="2" width="11" customWidth="1" min="94" max="94"/>
    <col hidden="1" outlineLevel="2" width="11" customWidth="1" min="95" max="95"/>
    <col hidden="1" outlineLevel="2" width="11" customWidth="1" min="96" max="96"/>
    <col hidden="1" outlineLevel="2" width="11" customWidth="1" min="97" max="97"/>
    <col hidden="1" outlineLevel="2" width="11" customWidth="1" min="98" max="98"/>
    <col hidden="1" outlineLevel="2" width="11" customWidth="1" min="99" max="99"/>
    <col hidden="1" outlineLevel="2" width="11" customWidth="1" min="100" max="100"/>
    <col hidden="1" outlineLevel="2" width="11" customWidth="1" min="101" max="101"/>
    <col hidden="1" outlineLevel="2" width="11" customWidth="1" min="102" max="102"/>
    <col hidden="1" outlineLevel="2" width="11" customWidth="1" min="103" max="103"/>
    <col hidden="1" outlineLevel="2" width="11" customWidth="1" min="104" max="104"/>
    <col hidden="1" outlineLevel="2" width="11" customWidth="1" min="105" max="105"/>
    <col hidden="1" outlineLevel="2" width="11" customWidth="1" min="106" max="106"/>
    <col hidden="1" outlineLevel="2" width="11" customWidth="1" min="107" max="107"/>
    <col hidden="1" outlineLevel="2" width="11" customWidth="1" min="108" max="108"/>
    <col hidden="1" outlineLevel="2" width="11" customWidth="1" min="109" max="109"/>
    <col hidden="1" outlineLevel="2" width="11" customWidth="1" min="110" max="110"/>
    <col hidden="1" outlineLevel="2" width="11" customWidth="1" min="111" max="111"/>
    <col hidden="1" outlineLevel="2" width="11" customWidth="1" min="112" max="112"/>
    <col hidden="1" outlineLevel="2" width="11" customWidth="1" min="113" max="113"/>
    <col hidden="1" outlineLevel="2" width="11" customWidth="1" min="114" max="114"/>
    <col hidden="1" outlineLevel="2" width="11" customWidth="1" min="115" max="115"/>
    <col hidden="1" outlineLevel="2" width="11" customWidth="1" min="116" max="116"/>
    <col hidden="1" outlineLevel="2" width="11" customWidth="1" min="117" max="117"/>
    <col hidden="1" outlineLevel="2" width="11" customWidth="1" min="118" max="118"/>
    <col hidden="1" outlineLevel="2" width="11" customWidth="1" min="119" max="119"/>
    <col hidden="1" outlineLevel="2" width="11" customWidth="1" min="120" max="120"/>
    <col hidden="1" outlineLevel="2" width="11" customWidth="1" min="121" max="121"/>
    <col hidden="1" outlineLevel="2" width="11" customWidth="1" min="122" max="122"/>
    <col hidden="1" outlineLevel="2" width="11" customWidth="1" min="123" max="123"/>
    <col hidden="1" outlineLevel="2" width="11" customWidth="1" min="124" max="124"/>
    <col hidden="1" outlineLevel="2" width="11" customWidth="1" min="125" max="125"/>
    <col hidden="1" outlineLevel="2" width="11" customWidth="1" min="126" max="126"/>
    <col hidden="1" outlineLevel="2" width="11" customWidth="1" min="127" max="127"/>
    <col hidden="1" outlineLevel="2" width="11" customWidth="1" min="128" max="128"/>
    <col hidden="1" outlineLevel="2" width="11" customWidth="1" min="129" max="129"/>
    <col hidden="1" outlineLevel="2" width="11" customWidth="1" min="130" max="130"/>
    <col hidden="1" outlineLevel="2" width="11" customWidth="1" min="131" max="131"/>
    <col hidden="1" outlineLevel="2" width="11" customWidth="1" min="132" max="132"/>
    <col hidden="1" outlineLevel="2" width="11" customWidth="1" min="133" max="133"/>
    <col hidden="1" outlineLevel="2" width="11" customWidth="1" min="134" max="134"/>
    <col hidden="1" outlineLevel="2" width="11" customWidth="1" min="135" max="135"/>
    <col hidden="1" outlineLevel="2" width="11" customWidth="1" min="136" max="136"/>
    <col hidden="1" outlineLevel="2" width="11" customWidth="1" min="137" max="137"/>
    <col hidden="1" outlineLevel="2" width="11" customWidth="1" min="138" max="138"/>
    <col hidden="1" outlineLevel="2" width="11" customWidth="1" min="139" max="139"/>
    <col hidden="1" outlineLevel="2" width="11" customWidth="1" min="140" max="140"/>
    <col hidden="1" outlineLevel="2" width="11" customWidth="1" min="141" max="141"/>
    <col hidden="1" outlineLevel="2" width="11" customWidth="1" min="142" max="142"/>
    <col hidden="1" outlineLevel="2" width="11" customWidth="1" min="143" max="143"/>
    <col hidden="1" outlineLevel="2" width="11" customWidth="1" min="144" max="144"/>
    <col hidden="1" outlineLevel="2" width="11" customWidth="1" min="145" max="145"/>
    <col hidden="1" outlineLevel="2" width="11" customWidth="1" min="146" max="146"/>
    <col hidden="1" outlineLevel="2" width="11" customWidth="1" min="147" max="147"/>
    <col hidden="1" outlineLevel="2" width="11" customWidth="1" min="148" max="148"/>
    <col hidden="1" outlineLevel="2" width="11" customWidth="1" min="149" max="149"/>
    <col hidden="1" outlineLevel="2" width="11" customWidth="1" min="150" max="150"/>
    <col hidden="1" outlineLevel="2" width="11" customWidth="1" min="151" max="151"/>
    <col hidden="1" outlineLevel="2" width="11" customWidth="1" min="152" max="152"/>
    <col hidden="1" outlineLevel="2" width="11" customWidth="1" min="153" max="153"/>
    <col hidden="1" outlineLevel="2" width="11" customWidth="1" min="154" max="154"/>
    <col hidden="1" outlineLevel="2" width="11" customWidth="1" min="155" max="155"/>
    <col hidden="1" outlineLevel="2" width="11" customWidth="1" min="156" max="156"/>
    <col hidden="1" outlineLevel="2" width="11" customWidth="1" min="157" max="157"/>
    <col hidden="1" outlineLevel="2" width="11" customWidth="1" min="158" max="158"/>
    <col hidden="1" outlineLevel="2" width="11" customWidth="1" min="159" max="159"/>
    <col hidden="1" outlineLevel="2" width="11" customWidth="1" min="160" max="160"/>
    <col hidden="1" outlineLevel="2" width="11" customWidth="1" min="161" max="161"/>
    <col hidden="1" outlineLevel="2" width="11" customWidth="1" min="162" max="162"/>
    <col hidden="1" outlineLevel="2" width="11" customWidth="1" min="163" max="163"/>
    <col hidden="1" outlineLevel="2" width="11" customWidth="1" min="164" max="164"/>
    <col hidden="1" outlineLevel="2" width="11" customWidth="1" min="165" max="165"/>
    <col hidden="1" outlineLevel="2" width="11" customWidth="1" min="166" max="166"/>
    <col hidden="1" outlineLevel="2" width="11" customWidth="1" min="167" max="167"/>
    <col hidden="1" outlineLevel="2" width="11" customWidth="1" min="168" max="168"/>
    <col hidden="1" outlineLevel="2" width="11" customWidth="1" min="169" max="169"/>
    <col hidden="1" outlineLevel="2" width="11" customWidth="1" min="170" max="170"/>
    <col hidden="1" outlineLevel="2" width="11" customWidth="1" min="171" max="171"/>
    <col hidden="1" outlineLevel="2" width="11" customWidth="1" min="172" max="172"/>
    <col hidden="1" outlineLevel="2" width="11" customWidth="1" min="173" max="173"/>
    <col hidden="1" outlineLevel="2" width="11" customWidth="1" min="174" max="174"/>
    <col hidden="1" outlineLevel="2" width="11" customWidth="1" min="175" max="175"/>
    <col hidden="1" outlineLevel="2" width="11" customWidth="1" min="176" max="176"/>
    <col hidden="1" outlineLevel="2" width="11" customWidth="1" min="177" max="177"/>
    <col hidden="1" outlineLevel="2" width="11" customWidth="1" min="178" max="178"/>
    <col hidden="1" outlineLevel="2" width="11" customWidth="1" min="179" max="179"/>
    <col hidden="1" outlineLevel="2" width="11" customWidth="1" min="180" max="180"/>
    <col hidden="1" outlineLevel="2" width="11" customWidth="1" min="181" max="181"/>
    <col hidden="1" outlineLevel="2" width="11" customWidth="1" min="182" max="182"/>
    <col hidden="1" outlineLevel="2" width="11" customWidth="1" min="183" max="183"/>
    <col hidden="1" outlineLevel="2" width="11" customWidth="1" min="184" max="184"/>
    <col hidden="1" outlineLevel="2" width="11" customWidth="1" min="185" max="185"/>
    <col hidden="1" outlineLevel="2" width="11" customWidth="1" min="186" max="186"/>
    <col hidden="1" outlineLevel="2" width="11" customWidth="1" min="187" max="187"/>
    <col hidden="1" outlineLevel="2" width="11" customWidth="1" min="188" max="188"/>
    <col hidden="1" outlineLevel="2" width="11" customWidth="1" min="189" max="189"/>
    <col hidden="1" outlineLevel="2" width="11" customWidth="1" min="190" max="190"/>
    <col hidden="1" outlineLevel="2" width="11" customWidth="1" min="191" max="191"/>
    <col hidden="1" outlineLevel="2" width="11" customWidth="1" min="192" max="192"/>
    <col hidden="1" outlineLevel="2" width="11" customWidth="1" min="193" max="193"/>
    <col hidden="1" outlineLevel="2" width="11" customWidth="1" min="194" max="194"/>
    <col hidden="1" outlineLevel="2" width="11" customWidth="1" min="195" max="195"/>
    <col hidden="1" outlineLevel="2" width="11" customWidth="1" min="196" max="196"/>
    <col hidden="1" outlineLevel="2" width="11" customWidth="1" min="197" max="197"/>
    <col hidden="1" outlineLevel="2" width="11" customWidth="1" min="198" max="198"/>
    <col hidden="1" outlineLevel="2" width="11" customWidth="1" min="199" max="199"/>
    <col hidden="1" outlineLevel="2" width="11" customWidth="1" min="200" max="200"/>
    <col hidden="1" outlineLevel="2" width="11" customWidth="1" min="201" max="201"/>
    <col hidden="1" outlineLevel="2" width="11" customWidth="1" min="202" max="202"/>
    <col hidden="1" outlineLevel="2" width="11" customWidth="1" min="203" max="203"/>
    <col hidden="1" outlineLevel="2" width="11" customWidth="1" min="204" max="204"/>
    <col hidden="1" outlineLevel="2" width="11" customWidth="1" min="205" max="205"/>
    <col hidden="1" outlineLevel="2" width="11" customWidth="1" min="206" max="206"/>
    <col hidden="1" outlineLevel="2" width="11" customWidth="1" min="207" max="207"/>
    <col hidden="1" outlineLevel="2" width="11" customWidth="1" min="208" max="208"/>
    <col hidden="1" outlineLevel="2" width="11" customWidth="1" min="209" max="209"/>
    <col hidden="1" outlineLevel="2" width="11" customWidth="1" min="210" max="210"/>
    <col hidden="1" outlineLevel="2" width="11" customWidth="1" min="211" max="211"/>
    <col hidden="1" outlineLevel="2" width="11" customWidth="1" min="212" max="212"/>
    <col hidden="1" outlineLevel="2" width="11" customWidth="1" min="213" max="213"/>
    <col hidden="1" outlineLevel="2" width="8" customWidth="1" min="214" max="214"/>
    <col hidden="1" outlineLevel="2" width="8" customWidth="1" min="215" max="215"/>
    <col width="1" customWidth="1" min="216" max="216"/>
    <col width="2.9" customWidth="1" min="217" max="217"/>
    <col width="2.9" customWidth="1" min="218" max="218"/>
    <col width="2.9" customWidth="1" min="219" max="219"/>
    <col width="2.9" customWidth="1" min="220" max="220"/>
    <col width="2.9" customWidth="1" min="221" max="221"/>
    <col width="2.9" customWidth="1" min="222" max="222"/>
    <col width="2.9" customWidth="1" min="223" max="223"/>
    <col width="2.9" customWidth="1" min="224" max="224"/>
    <col width="2.9" customWidth="1" min="225" max="225"/>
    <col width="2.9" customWidth="1" min="226" max="226"/>
    <col width="2.9" customWidth="1" min="227" max="227"/>
    <col width="2.9" customWidth="1" min="228" max="228"/>
    <col width="2.9" customWidth="1" min="229" max="229"/>
    <col width="2.9" customWidth="1" min="230" max="230"/>
    <col width="2.9" customWidth="1" min="231" max="231"/>
    <col width="2.9" customWidth="1" min="232" max="232"/>
    <col width="2.9" customWidth="1" min="233" max="233"/>
    <col width="2.9" customWidth="1" min="234" max="234"/>
    <col width="2.9" customWidth="1" min="235" max="235"/>
    <col width="2.9" customWidth="1" min="236" max="236"/>
    <col width="2.9" customWidth="1" min="237" max="237"/>
    <col width="2.9" customWidth="1" min="238" max="238"/>
    <col width="2.9" customWidth="1" min="239" max="239"/>
    <col width="2.9" customWidth="1" min="240" max="240"/>
    <col width="2.9" customWidth="1" min="241" max="241"/>
    <col width="2.9" customWidth="1" min="242" max="242"/>
    <col width="2.9" customWidth="1" min="243" max="243"/>
    <col width="2.9" customWidth="1" min="244" max="244"/>
    <col width="2.9" customWidth="1" min="245" max="245"/>
    <col width="2.9" customWidth="1" min="246" max="246"/>
    <col width="2.9" customWidth="1" min="247" max="247"/>
    <col width="2.9" customWidth="1" min="248" max="248"/>
    <col width="2.9" customWidth="1" min="249" max="249"/>
    <col width="2.9" customWidth="1" min="250" max="250"/>
    <col width="2.9" customWidth="1" min="251" max="251"/>
    <col width="2.9" customWidth="1" min="252" max="252"/>
    <col width="2.9" customWidth="1" min="253" max="253"/>
    <col width="2.9" customWidth="1" min="254" max="254"/>
    <col width="2.9" customWidth="1" min="255" max="255"/>
    <col width="2.9" customWidth="1" min="256" max="256"/>
    <col width="2.9" customWidth="1" min="257" max="257"/>
    <col width="2.9" customWidth="1" min="258" max="258"/>
    <col width="2.9" customWidth="1" min="259" max="259"/>
    <col width="2.9" customWidth="1" min="260" max="260"/>
    <col width="2.9" customWidth="1" min="261" max="261"/>
    <col width="2.9" customWidth="1" min="262" max="262"/>
    <col width="2.9" customWidth="1" min="263" max="263"/>
    <col width="2.9" customWidth="1" min="264" max="264"/>
    <col width="2.9" customWidth="1" min="265" max="265"/>
    <col width="2.9" customWidth="1" min="266" max="266"/>
    <col width="2.9" customWidth="1" min="267" max="267"/>
    <col width="2.9" customWidth="1" min="268" max="268"/>
    <col width="2.9" customWidth="1" min="269" max="269"/>
    <col width="2.9" customWidth="1" min="270" max="270"/>
    <col width="2.9" customWidth="1" min="271" max="271"/>
    <col width="2.9" customWidth="1" min="272" max="272"/>
    <col width="2.9" customWidth="1" min="273" max="273"/>
    <col width="2.9" customWidth="1" min="274" max="274"/>
    <col width="2.9" customWidth="1" min="275" max="275"/>
    <col width="2.9" customWidth="1" min="276" max="276"/>
    <col width="2.9" customWidth="1" min="277" max="277"/>
    <col width="2.9" customWidth="1" min="278" max="278"/>
    <col width="2.9" customWidth="1" min="279" max="279"/>
    <col width="2.9" customWidth="1" min="280" max="280"/>
    <col width="2.9" customWidth="1" min="281" max="281"/>
    <col width="2.9" customWidth="1" min="282" max="282"/>
    <col width="2.9" customWidth="1" min="283" max="283"/>
    <col width="2.9" customWidth="1" min="284" max="284"/>
    <col width="2.9" customWidth="1" min="285" max="285"/>
    <col width="2.9" customWidth="1" min="286" max="286"/>
    <col width="2.9" customWidth="1" min="287" max="287"/>
    <col width="2.9" customWidth="1" min="288" max="288"/>
    <col width="2.9" customWidth="1" min="289" max="289"/>
    <col width="2.9" customWidth="1" min="290" max="290"/>
    <col width="2.9" customWidth="1" min="291" max="291"/>
    <col width="2.9" customWidth="1" min="292" max="292"/>
    <col width="2.9" customWidth="1" min="293" max="293"/>
    <col width="2.9" customWidth="1" min="294" max="294"/>
    <col width="2.9" customWidth="1" min="295" max="295"/>
    <col width="2.9" customWidth="1" min="296" max="296"/>
    <col width="2.9" customWidth="1" min="297" max="297"/>
    <col width="2.9" customWidth="1" min="298" max="298"/>
    <col width="2.9" customWidth="1" min="299" max="299"/>
    <col width="2.9" customWidth="1" min="300" max="300"/>
    <col width="2.9" customWidth="1" min="301" max="301"/>
    <col width="2.9" customWidth="1" min="302" max="302"/>
    <col width="2.9" customWidth="1" min="303" max="303"/>
    <col width="2.9" customWidth="1" min="304" max="304"/>
    <col width="2.9" customWidth="1" min="305" max="305"/>
    <col width="2.9" customWidth="1" min="306" max="306"/>
    <col width="2.9" customWidth="1" min="307" max="307"/>
    <col width="2.9" customWidth="1" min="308" max="308"/>
    <col width="2.9" customWidth="1" min="309" max="309"/>
    <col width="2.9" customWidth="1" min="310" max="310"/>
    <col width="2.9" customWidth="1" min="311" max="311"/>
    <col width="2.9" customWidth="1" min="312" max="312"/>
    <col width="2.9" customWidth="1" min="313" max="313"/>
    <col width="2.9" customWidth="1" min="314" max="314"/>
    <col width="2.9" customWidth="1" min="315" max="315"/>
    <col width="2.9" customWidth="1" min="316" max="316"/>
    <col width="2.9" customWidth="1" min="317" max="317"/>
    <col width="2.9" customWidth="1" min="318" max="318"/>
    <col width="2.9" customWidth="1" min="319" max="319"/>
    <col width="2.9" customWidth="1" min="320" max="320"/>
    <col width="2.9" customWidth="1" min="321" max="321"/>
    <col width="2.9" customWidth="1" min="322" max="322"/>
    <col width="2.9" customWidth="1" min="323" max="323"/>
    <col width="2.9" customWidth="1" min="324" max="324"/>
    <col width="2.9" customWidth="1" min="325" max="325"/>
    <col width="2.9" customWidth="1" min="326" max="326"/>
    <col width="2.9" customWidth="1" min="327" max="327"/>
    <col width="2.9" customWidth="1" min="328" max="328"/>
    <col width="2.9" customWidth="1" min="329" max="329"/>
    <col width="2.9" customWidth="1" min="330" max="330"/>
    <col width="2.9" customWidth="1" min="331" max="331"/>
    <col width="2.9" customWidth="1" min="332" max="332"/>
    <col width="2.9" customWidth="1" min="333" max="333"/>
    <col width="2.9" customWidth="1" min="334" max="334"/>
    <col width="2.9" customWidth="1" min="335" max="335"/>
    <col width="2.9" customWidth="1" min="336" max="336"/>
    <col width="2.9" customWidth="1" min="337" max="337"/>
    <col width="2.9" customWidth="1" min="338" max="338"/>
    <col width="2.9" customWidth="1" min="339" max="339"/>
    <col width="2.9" customWidth="1" min="340" max="340"/>
    <col width="2.9" customWidth="1" min="341" max="341"/>
    <col width="2.9" customWidth="1" min="342" max="342"/>
    <col width="2.9" customWidth="1" min="343" max="343"/>
    <col width="2.9" customWidth="1" min="344" max="344"/>
    <col width="2.9" customWidth="1" min="345" max="345"/>
    <col width="2.9" customWidth="1" min="346" max="346"/>
    <col width="2.9" customWidth="1" min="347" max="347"/>
    <col width="2.9" customWidth="1" min="348" max="348"/>
    <col width="2.9" customWidth="1" min="349" max="349"/>
    <col width="2.9" customWidth="1" min="350" max="350"/>
    <col width="2.9" customWidth="1" min="351" max="351"/>
    <col width="2.9" customWidth="1" min="352" max="352"/>
    <col width="2.9" customWidth="1" min="353" max="353"/>
    <col width="2.9" customWidth="1" min="354" max="354"/>
    <col width="2.9" customWidth="1" min="355" max="355"/>
    <col width="2.9" customWidth="1" min="356" max="356"/>
    <col width="2.9" customWidth="1" min="357" max="357"/>
    <col width="2.9" customWidth="1" min="358" max="358"/>
    <col width="2.9" customWidth="1" min="359" max="359"/>
    <col width="2.9" customWidth="1" min="360" max="360"/>
    <col width="2.9" customWidth="1" min="361" max="361"/>
    <col width="2.9" customWidth="1" min="362" max="362"/>
    <col width="2.9" customWidth="1" min="363" max="363"/>
    <col width="2.9" customWidth="1" min="364" max="364"/>
    <col width="2.9" customWidth="1" min="365" max="365"/>
    <col width="2.9" customWidth="1" min="366" max="366"/>
  </cols>
  <sheetData>
    <row r="1">
      <c r="A1" s="14">
        <f>ProjectName&amp;"  -  Task Entry"</f>
        <v/>
      </c>
      <c r="HI1" s="70" t="n"/>
      <c r="HJ1" s="71" t="inlineStr">
        <is>
          <t>Planned (outline)</t>
        </is>
      </c>
      <c r="HT1" s="54" t="n"/>
      <c r="HU1" s="71" t="inlineStr">
        <is>
          <t>Done (% complete)</t>
        </is>
      </c>
      <c r="IE1" s="72" t="n"/>
      <c r="IF1" s="71" t="inlineStr">
        <is>
          <t>Remaining - on track</t>
        </is>
      </c>
      <c r="IP1" s="73" t="n"/>
      <c r="IQ1" s="71" t="inlineStr">
        <is>
          <t>Slip: past the planned finish</t>
        </is>
      </c>
      <c r="JA1" s="55" t="n"/>
      <c r="JB1" s="71" t="inlineStr">
        <is>
          <t>Remaining - critical</t>
        </is>
      </c>
      <c r="JL1" s="74" t="n"/>
      <c r="JM1" s="71" t="inlineStr">
        <is>
          <t>Planned, no work now</t>
        </is>
      </c>
    </row>
    <row r="2">
      <c r="A2" s="2" t="inlineStr">
        <is>
          <t>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is>
      </c>
      <c r="HI2" s="75" t="n"/>
      <c r="HJ2" s="71" t="inlineStr">
        <is>
          <t>Summary (forecast)</t>
        </is>
      </c>
      <c r="HT2" s="57" t="n"/>
      <c r="HU2" s="71" t="inlineStr">
        <is>
          <t>Milestone (forecast)</t>
        </is>
      </c>
      <c r="IE2" s="58" t="n"/>
      <c r="IF2" s="71" t="inlineStr">
        <is>
          <t>Deadline</t>
        </is>
      </c>
      <c r="IP2" s="76" t="n"/>
      <c r="IQ2" s="71" t="inlineStr">
        <is>
          <t>Status date</t>
        </is>
      </c>
      <c r="JA2" s="77" t="n"/>
      <c r="JB2" s="71" t="inlineStr">
        <is>
          <t>Non-working day</t>
        </is>
      </c>
    </row>
    <row r="3">
      <c r="A3" s="28">
        <f>"Next free UID for a new row: "&amp;NextFreeUID</f>
        <v/>
      </c>
      <c r="AA3" s="78" t="inlineStr">
        <is>
          <t>Gantt timeline &gt;&gt;</t>
        </is>
      </c>
      <c r="H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N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N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row>
    <row r="4">
      <c r="A4" s="28" t="inlineStr">
        <is>
          <t>PLAN: type or pick in the blue columns</t>
        </is>
      </c>
      <c r="F4" s="28" t="inlineStr">
        <is>
          <t>PREDECESSORS: pick</t>
        </is>
      </c>
      <c r="H4" s="28" t="inlineStr">
        <is>
          <t>+ links 2-4, text</t>
        </is>
      </c>
      <c r="S4" s="28" t="inlineStr">
        <is>
          <t>RESOURCES: pick</t>
        </is>
      </c>
      <c r="T4" s="28" t="inlineStr">
        <is>
          <t>+ people 2-4, text</t>
        </is>
      </c>
      <c r="AB4" s="28" t="inlineStr">
        <is>
          <t>PROGRESS</t>
        </is>
      </c>
      <c r="AJ4" s="28" t="inlineStr">
        <is>
          <t>SCHEDULING</t>
        </is>
      </c>
      <c r="AN4" s="28" t="inlineStr">
        <is>
          <t>DETAIL</t>
        </is>
      </c>
      <c r="BE4" s="28" t="inlineStr">
        <is>
          <t>WORK</t>
        </is>
      </c>
      <c r="BI4" s="28" t="inlineStr">
        <is>
          <t>AGILE</t>
        </is>
      </c>
      <c r="BK4" s="28" t="inlineStr">
        <is>
          <t>BASELINE</t>
        </is>
      </c>
      <c r="BU4" s="28" t="inlineStr">
        <is>
          <t>RACI</t>
        </is>
      </c>
      <c r="BX4" s="28" t="inlineStr">
        <is>
          <t>ESTIMATES (PERT) and SANDBOX</t>
        </is>
      </c>
      <c r="CB4" s="28" t="inlineStr">
        <is>
          <t>HELPER COLUMNS (hidden)</t>
        </is>
      </c>
      <c r="H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ht="42" customHeight="1">
      <c r="A5" s="17" t="inlineStr">
        <is>
          <t>ID</t>
        </is>
      </c>
      <c r="B5" s="18" t="inlineStr">
        <is>
          <t>UID</t>
        </is>
      </c>
      <c r="C5" s="18" t="inlineStr">
        <is>
          <t>Level</t>
        </is>
      </c>
      <c r="D5" s="18" t="inlineStr">
        <is>
          <t>Task Name</t>
        </is>
      </c>
      <c r="E5" s="18" t="inlineStr">
        <is>
          <t>Duration</t>
        </is>
      </c>
      <c r="F5" s="18" t="inlineStr">
        <is>
          <t>Pred1</t>
        </is>
      </c>
      <c r="G5" s="18" t="inlineStr">
        <is>
          <t>Type1</t>
        </is>
      </c>
      <c r="H5" s="18" t="inlineStr">
        <is>
          <t>Lag1</t>
        </is>
      </c>
      <c r="I5" s="18" t="inlineStr">
        <is>
          <t>Pred2</t>
        </is>
      </c>
      <c r="J5" s="18" t="inlineStr">
        <is>
          <t>Type2</t>
        </is>
      </c>
      <c r="K5" s="18" t="inlineStr">
        <is>
          <t>Lag2</t>
        </is>
      </c>
      <c r="L5" s="18" t="inlineStr">
        <is>
          <t>Pred3</t>
        </is>
      </c>
      <c r="M5" s="18" t="inlineStr">
        <is>
          <t>Type3</t>
        </is>
      </c>
      <c r="N5" s="18" t="inlineStr">
        <is>
          <t>Lag3</t>
        </is>
      </c>
      <c r="O5" s="18" t="inlineStr">
        <is>
          <t>Pred4</t>
        </is>
      </c>
      <c r="P5" s="18" t="inlineStr">
        <is>
          <t>Type4</t>
        </is>
      </c>
      <c r="Q5" s="18" t="inlineStr">
        <is>
          <t>Lag4</t>
        </is>
      </c>
      <c r="R5" s="18" t="inlineStr">
        <is>
          <t>Predecessors</t>
        </is>
      </c>
      <c r="S5" s="18" t="inlineStr">
        <is>
          <t>Res1</t>
        </is>
      </c>
      <c r="T5" s="18" t="inlineStr">
        <is>
          <t>Units1</t>
        </is>
      </c>
      <c r="U5" s="18" t="inlineStr">
        <is>
          <t>Res2</t>
        </is>
      </c>
      <c r="V5" s="18" t="inlineStr">
        <is>
          <t>Units2</t>
        </is>
      </c>
      <c r="W5" s="18" t="inlineStr">
        <is>
          <t>Res3</t>
        </is>
      </c>
      <c r="X5" s="18" t="inlineStr">
        <is>
          <t>Units3</t>
        </is>
      </c>
      <c r="Y5" s="18" t="inlineStr">
        <is>
          <t>Res4</t>
        </is>
      </c>
      <c r="Z5" s="18" t="inlineStr">
        <is>
          <t>Units4</t>
        </is>
      </c>
      <c r="AA5" s="18" t="inlineStr">
        <is>
          <t>Resources</t>
        </is>
      </c>
      <c r="AB5" s="18" t="inlineStr">
        <is>
          <t>Stage</t>
        </is>
      </c>
      <c r="AC5" s="18" t="inlineStr">
        <is>
          <t>Actual Start</t>
        </is>
      </c>
      <c r="AD5" s="18" t="inlineStr">
        <is>
          <t>Actual Finish</t>
        </is>
      </c>
      <c r="AE5" s="17" t="inlineStr">
        <is>
          <t>Start</t>
        </is>
      </c>
      <c r="AF5" s="17" t="inlineStr">
        <is>
          <t>Finish</t>
        </is>
      </c>
      <c r="AG5" s="17" t="inlineStr">
        <is>
          <t>Sprint</t>
        </is>
      </c>
      <c r="AH5" s="18" t="inlineStr">
        <is>
          <t>Notes</t>
        </is>
      </c>
      <c r="AI5" s="17" t="inlineStr">
        <is>
          <t>Issues</t>
        </is>
      </c>
      <c r="AJ5" s="18" t="inlineStr">
        <is>
          <t>Deadline</t>
        </is>
      </c>
      <c r="AK5" s="18" t="inlineStr">
        <is>
          <t>Mode</t>
        </is>
      </c>
      <c r="AL5" s="18" t="inlineStr">
        <is>
          <t>Constraint</t>
        </is>
      </c>
      <c r="AM5" s="18" t="inlineStr">
        <is>
          <t>Constraint Date</t>
        </is>
      </c>
      <c r="AN5" s="17" t="inlineStr">
        <is>
          <t>Finish Var</t>
        </is>
      </c>
      <c r="AO5" s="17" t="inlineStr">
        <is>
          <t>Status</t>
        </is>
      </c>
      <c r="AP5" s="17" t="inlineStr">
        <is>
          <t>Critical</t>
        </is>
      </c>
      <c r="AQ5" s="17" t="inlineStr">
        <is>
          <t>Planned Start</t>
        </is>
      </c>
      <c r="AR5" s="17" t="inlineStr">
        <is>
          <t>Planned Finish</t>
        </is>
      </c>
      <c r="AS5" s="17" t="inlineStr">
        <is>
          <t>Start Var</t>
        </is>
      </c>
      <c r="AT5" s="17" t="inlineStr">
        <is>
          <t>Late Start</t>
        </is>
      </c>
      <c r="AU5" s="17" t="inlineStr">
        <is>
          <t>Late Finish</t>
        </is>
      </c>
      <c r="AV5" s="17" t="inlineStr">
        <is>
          <t>Total Slack</t>
        </is>
      </c>
      <c r="AW5" s="17" t="inlineStr">
        <is>
          <t>Free Slack</t>
        </is>
      </c>
      <c r="AX5" s="17" t="inlineStr">
        <is>
          <t>Deadline Check</t>
        </is>
      </c>
      <c r="AY5" s="17" t="inlineStr">
        <is>
          <t>Link Check</t>
        </is>
      </c>
      <c r="AZ5" s="18" t="inlineStr">
        <is>
          <t>% Complete</t>
        </is>
      </c>
      <c r="BA5" s="17" t="inlineStr">
        <is>
          <t>Progress</t>
        </is>
      </c>
      <c r="BB5" s="17" t="inlineStr">
        <is>
          <t>Predecessors by ID</t>
        </is>
      </c>
      <c r="BC5" s="17" t="inlineStr">
        <is>
          <t>WBS</t>
        </is>
      </c>
      <c r="BD5" s="17" t="inlineStr">
        <is>
          <t>Show</t>
        </is>
      </c>
      <c r="BE5" s="17" t="inlineStr">
        <is>
          <t>Work</t>
        </is>
      </c>
      <c r="BF5" s="18" t="inlineStr">
        <is>
          <t>Owner</t>
        </is>
      </c>
      <c r="BG5" s="17" t="inlineStr">
        <is>
          <t>Resource Names</t>
        </is>
      </c>
      <c r="BH5" s="17" t="inlineStr">
        <is>
          <t>Over-allocated</t>
        </is>
      </c>
      <c r="BI5" s="18" t="inlineStr">
        <is>
          <t>Story Points</t>
        </is>
      </c>
      <c r="BJ5" s="18" t="inlineStr">
        <is>
          <t>Planned Sprint</t>
        </is>
      </c>
      <c r="BK5" s="17" t="inlineStr">
        <is>
          <t>Duration Var</t>
        </is>
      </c>
      <c r="BL5" s="17" t="inlineStr">
        <is>
          <t>Work Var</t>
        </is>
      </c>
      <c r="BM5" s="17" t="inlineStr">
        <is>
          <t>BL Source Start</t>
        </is>
      </c>
      <c r="BN5" s="17" t="inlineStr">
        <is>
          <t>BL Source Finish</t>
        </is>
      </c>
      <c r="BO5" s="17" t="inlineStr">
        <is>
          <t>BL Source Duration</t>
        </is>
      </c>
      <c r="BP5" s="17" t="inlineStr">
        <is>
          <t>BL Source Work</t>
        </is>
      </c>
      <c r="BQ5" s="18" t="inlineStr">
        <is>
          <t>Baseline Start</t>
        </is>
      </c>
      <c r="BR5" s="18" t="inlineStr">
        <is>
          <t>Baseline Finish</t>
        </is>
      </c>
      <c r="BS5" s="18" t="inlineStr">
        <is>
          <t>Baseline Duration</t>
        </is>
      </c>
      <c r="BT5" s="18" t="inlineStr">
        <is>
          <t>Baseline Work</t>
        </is>
      </c>
      <c r="BU5" s="18" t="inlineStr">
        <is>
          <t>Accountable</t>
        </is>
      </c>
      <c r="BV5" s="18" t="inlineStr">
        <is>
          <t>Consulted</t>
        </is>
      </c>
      <c r="BW5" s="18" t="inlineStr">
        <is>
          <t>Informed</t>
        </is>
      </c>
      <c r="BX5" s="17" t="inlineStr">
        <is>
          <t>Expected</t>
        </is>
      </c>
      <c r="BY5" s="18" t="inlineStr">
        <is>
          <t>Optimistic</t>
        </is>
      </c>
      <c r="BZ5" s="18" t="inlineStr">
        <is>
          <t>Pessimistic</t>
        </is>
      </c>
      <c r="CA5" s="18" t="inlineStr">
        <is>
          <t>Sandbox Duration</t>
        </is>
      </c>
      <c r="CB5" s="41" t="inlineStr">
        <is>
          <t>_Level</t>
        </is>
      </c>
      <c r="CC5" s="41" t="inlineStr">
        <is>
          <t>_Row</t>
        </is>
      </c>
      <c r="CD5" s="41" t="inlineStr">
        <is>
          <t>_ParentRow</t>
        </is>
      </c>
      <c r="CE5" s="41" t="inlineStr">
        <is>
          <t>_NextLevel</t>
        </is>
      </c>
      <c r="CF5" s="41" t="inlineStr">
        <is>
          <t>_IsSummary</t>
        </is>
      </c>
      <c r="CG5" s="41" t="inlineStr">
        <is>
          <t>_Descendants</t>
        </is>
      </c>
      <c r="CH5" s="41" t="inlineStr">
        <is>
          <t>_IsLeaf</t>
        </is>
      </c>
      <c r="CI5" s="41" t="inlineStr">
        <is>
          <t>_Pred1Pos</t>
        </is>
      </c>
      <c r="CJ5" s="41" t="inlineStr">
        <is>
          <t>_Pred2Pos</t>
        </is>
      </c>
      <c r="CK5" s="41" t="inlineStr">
        <is>
          <t>_Pred3Pos</t>
        </is>
      </c>
      <c r="CL5" s="41" t="inlineStr">
        <is>
          <t>_Pred4Pos</t>
        </is>
      </c>
      <c r="CM5" s="41" t="inlineStr">
        <is>
          <t>_ConstraintCode</t>
        </is>
      </c>
      <c r="CN5" s="41" t="inlineStr">
        <is>
          <t>_ConstraintStart</t>
        </is>
      </c>
      <c r="CO5" s="41" t="inlineStr">
        <is>
          <t>_ConstraintLow</t>
        </is>
      </c>
      <c r="CP5" s="41" t="inlineStr">
        <is>
          <t>_ConstraintHigh</t>
        </is>
      </c>
      <c r="CQ5" s="41" t="inlineStr">
        <is>
          <t>_LeafCalcStart</t>
        </is>
      </c>
      <c r="CR5" s="41" t="inlineStr">
        <is>
          <t>_LeafCalcFinish</t>
        </is>
      </c>
      <c r="CS5" s="41" t="inlineStr">
        <is>
          <t>_LeafFcstStart</t>
        </is>
      </c>
      <c r="CT5" s="41" t="inlineStr">
        <is>
          <t>_LeafFcstFinish</t>
        </is>
      </c>
      <c r="CU5" s="41" t="inlineStr">
        <is>
          <t>_Pred1Text</t>
        </is>
      </c>
      <c r="CV5" s="41" t="inlineStr">
        <is>
          <t>_Pred1UID</t>
        </is>
      </c>
      <c r="CW5" s="41" t="inlineStr">
        <is>
          <t>_Pred1Type</t>
        </is>
      </c>
      <c r="CX5" s="41" t="inlineStr">
        <is>
          <t>_Pred1Lag</t>
        </is>
      </c>
      <c r="CY5" s="41" t="inlineStr">
        <is>
          <t>_Pred2Text</t>
        </is>
      </c>
      <c r="CZ5" s="41" t="inlineStr">
        <is>
          <t>_Pred2UID</t>
        </is>
      </c>
      <c r="DA5" s="41" t="inlineStr">
        <is>
          <t>_Pred2Type</t>
        </is>
      </c>
      <c r="DB5" s="41" t="inlineStr">
        <is>
          <t>_Pred2Lag</t>
        </is>
      </c>
      <c r="DC5" s="41" t="inlineStr">
        <is>
          <t>_Pred3Text</t>
        </is>
      </c>
      <c r="DD5" s="41" t="inlineStr">
        <is>
          <t>_Pred3UID</t>
        </is>
      </c>
      <c r="DE5" s="41" t="inlineStr">
        <is>
          <t>_Pred3Type</t>
        </is>
      </c>
      <c r="DF5" s="41" t="inlineStr">
        <is>
          <t>_Pred3Lag</t>
        </is>
      </c>
      <c r="DG5" s="41" t="inlineStr">
        <is>
          <t>_Pred4Text</t>
        </is>
      </c>
      <c r="DH5" s="41" t="inlineStr">
        <is>
          <t>_Pred4UID</t>
        </is>
      </c>
      <c r="DI5" s="41" t="inlineStr">
        <is>
          <t>_Pred4Type</t>
        </is>
      </c>
      <c r="DJ5" s="41" t="inlineStr">
        <is>
          <t>_Pred4Lag</t>
        </is>
      </c>
      <c r="DK5" s="41" t="inlineStr">
        <is>
          <t>_Res1Text</t>
        </is>
      </c>
      <c r="DL5" s="41" t="inlineStr">
        <is>
          <t>_Res2Text</t>
        </is>
      </c>
      <c r="DM5" s="41" t="inlineStr">
        <is>
          <t>_Res3Text</t>
        </is>
      </c>
      <c r="DN5" s="41" t="inlineStr">
        <is>
          <t>_Res4Text</t>
        </is>
      </c>
      <c r="DO5" s="41" t="inlineStr">
        <is>
          <t>_Res1Row</t>
        </is>
      </c>
      <c r="DP5" s="41" t="inlineStr">
        <is>
          <t>_Res2Row</t>
        </is>
      </c>
      <c r="DQ5" s="41" t="inlineStr">
        <is>
          <t>_Res3Row</t>
        </is>
      </c>
      <c r="DR5" s="41" t="inlineStr">
        <is>
          <t>_Res4Row</t>
        </is>
      </c>
      <c r="DS5" s="41" t="inlineStr">
        <is>
          <t>_Resource1</t>
        </is>
      </c>
      <c r="DT5" s="41" t="inlineStr">
        <is>
          <t>_Units1</t>
        </is>
      </c>
      <c r="DU5" s="41" t="inlineStr">
        <is>
          <t>_People</t>
        </is>
      </c>
      <c r="DV5" s="41" t="inlineStr">
        <is>
          <t>_Res2</t>
        </is>
      </c>
      <c r="DW5" s="41" t="inlineStr">
        <is>
          <t>_Res2Units</t>
        </is>
      </c>
      <c r="DX5" s="41" t="inlineStr">
        <is>
          <t>_Res2Work</t>
        </is>
      </c>
      <c r="DY5" s="41" t="inlineStr">
        <is>
          <t>_Res2WorkPerWD</t>
        </is>
      </c>
      <c r="DZ5" s="41" t="inlineStr">
        <is>
          <t>_Res2WorkBefore</t>
        </is>
      </c>
      <c r="EA5" s="41" t="inlineStr">
        <is>
          <t>_Res2WorkDone</t>
        </is>
      </c>
      <c r="EB5" s="41" t="inlineStr">
        <is>
          <t>_Res3</t>
        </is>
      </c>
      <c r="EC5" s="41" t="inlineStr">
        <is>
          <t>_Res3Units</t>
        </is>
      </c>
      <c r="ED5" s="41" t="inlineStr">
        <is>
          <t>_Res3Work</t>
        </is>
      </c>
      <c r="EE5" s="41" t="inlineStr">
        <is>
          <t>_Res3WorkPerWD</t>
        </is>
      </c>
      <c r="EF5" s="41" t="inlineStr">
        <is>
          <t>_Res3WorkBefore</t>
        </is>
      </c>
      <c r="EG5" s="41" t="inlineStr">
        <is>
          <t>_Res3WorkDone</t>
        </is>
      </c>
      <c r="EH5" s="41" t="inlineStr">
        <is>
          <t>_Res4</t>
        </is>
      </c>
      <c r="EI5" s="41" t="inlineStr">
        <is>
          <t>_Res4Units</t>
        </is>
      </c>
      <c r="EJ5" s="41" t="inlineStr">
        <is>
          <t>_Res4Work</t>
        </is>
      </c>
      <c r="EK5" s="41" t="inlineStr">
        <is>
          <t>_Res4WorkPerWD</t>
        </is>
      </c>
      <c r="EL5" s="41" t="inlineStr">
        <is>
          <t>_Res4WorkBefore</t>
        </is>
      </c>
      <c r="EM5" s="41" t="inlineStr">
        <is>
          <t>_Res4WorkDone</t>
        </is>
      </c>
      <c r="EN5" s="41" t="inlineStr">
        <is>
          <t>_Pct</t>
        </is>
      </c>
      <c r="EO5" s="41" t="inlineStr">
        <is>
          <t>_LeafProgress</t>
        </is>
      </c>
      <c r="EP5" s="41" t="inlineStr">
        <is>
          <t>_LeafWork</t>
        </is>
      </c>
      <c r="EQ5" s="41" t="inlineStr">
        <is>
          <t>_LeafTotalWork</t>
        </is>
      </c>
      <c r="ER5" s="41" t="inlineStr">
        <is>
          <t>_Pred1FinishKey</t>
        </is>
      </c>
      <c r="ES5" s="41" t="inlineStr">
        <is>
          <t>_Pred2FinishKey</t>
        </is>
      </c>
      <c r="ET5" s="41" t="inlineStr">
        <is>
          <t>_Pred3FinishKey</t>
        </is>
      </c>
      <c r="EU5" s="41" t="inlineStr">
        <is>
          <t>_Pred4FinishKey</t>
        </is>
      </c>
      <c r="EV5" s="41" t="inlineStr">
        <is>
          <t>_Pred1SlackKey</t>
        </is>
      </c>
      <c r="EW5" s="41" t="inlineStr">
        <is>
          <t>_Pred2SlackKey</t>
        </is>
      </c>
      <c r="EX5" s="41" t="inlineStr">
        <is>
          <t>_Pred3SlackKey</t>
        </is>
      </c>
      <c r="EY5" s="41" t="inlineStr">
        <is>
          <t>_Pred4SlackKey</t>
        </is>
      </c>
      <c r="EZ5" s="41" t="inlineStr">
        <is>
          <t>_LastSuccessorRow</t>
        </is>
      </c>
      <c r="FA5" s="41" t="inlineStr">
        <is>
          <t>_SuccessorFinishLimit</t>
        </is>
      </c>
      <c r="FB5" s="41" t="inlineStr">
        <is>
          <t>_LeafLateFinish</t>
        </is>
      </c>
      <c r="FC5" s="41" t="inlineStr">
        <is>
          <t>_LeafLateStart</t>
        </is>
      </c>
      <c r="FD5" s="41" t="inlineStr">
        <is>
          <t>_LeafTotalSlack</t>
        </is>
      </c>
      <c r="FE5" s="41" t="inlineStr">
        <is>
          <t>_LeafCritical</t>
        </is>
      </c>
      <c r="FF5" s="41" t="inlineStr">
        <is>
          <t>_AlapShift</t>
        </is>
      </c>
      <c r="FG5" s="41" t="inlineStr">
        <is>
          <t>_ShownCalcStart</t>
        </is>
      </c>
      <c r="FH5" s="41" t="inlineStr">
        <is>
          <t>_ShownCalcFinish</t>
        </is>
      </c>
      <c r="FI5" s="41" t="inlineStr">
        <is>
          <t>_ShownFcstStart</t>
        </is>
      </c>
      <c r="FJ5" s="41" t="inlineStr">
        <is>
          <t>_ShownFcstFinish</t>
        </is>
      </c>
      <c r="FK5" s="41" t="inlineStr">
        <is>
          <t>_CalcStart</t>
        </is>
      </c>
      <c r="FL5" s="41" t="inlineStr">
        <is>
          <t>_CalcFinish</t>
        </is>
      </c>
      <c r="FM5" s="41" t="inlineStr">
        <is>
          <t>_Pred1Problem</t>
        </is>
      </c>
      <c r="FN5" s="41" t="inlineStr">
        <is>
          <t>_Pred2Problem</t>
        </is>
      </c>
      <c r="FO5" s="41" t="inlineStr">
        <is>
          <t>_Pred3Problem</t>
        </is>
      </c>
      <c r="FP5" s="41" t="inlineStr">
        <is>
          <t>_Pred4Problem</t>
        </is>
      </c>
      <c r="FQ5" s="41" t="inlineStr">
        <is>
          <t>_Pred1PlanDriver</t>
        </is>
      </c>
      <c r="FR5" s="41" t="inlineStr">
        <is>
          <t>_Pred2PlanDriver</t>
        </is>
      </c>
      <c r="FS5" s="41" t="inlineStr">
        <is>
          <t>_Pred3PlanDriver</t>
        </is>
      </c>
      <c r="FT5" s="41" t="inlineStr">
        <is>
          <t>_Pred4PlanDriver</t>
        </is>
      </c>
      <c r="FU5" s="41" t="inlineStr">
        <is>
          <t>_Pred1FcstDriver</t>
        </is>
      </c>
      <c r="FV5" s="41" t="inlineStr">
        <is>
          <t>_Pred2FcstDriver</t>
        </is>
      </c>
      <c r="FW5" s="41" t="inlineStr">
        <is>
          <t>_Pred3FcstDriver</t>
        </is>
      </c>
      <c r="FX5" s="41" t="inlineStr">
        <is>
          <t>_Pred4FcstDriver</t>
        </is>
      </c>
      <c r="FY5" s="41" t="inlineStr">
        <is>
          <t>_StartWorkday</t>
        </is>
      </c>
      <c r="FZ5" s="41" t="inlineStr">
        <is>
          <t>_FinishWorkday</t>
        </is>
      </c>
      <c r="GA5" s="41" t="inlineStr">
        <is>
          <t>_WorkPerWorkday</t>
        </is>
      </c>
      <c r="GB5" s="41" t="inlineStr">
        <is>
          <t>_WorkBeforeStart</t>
        </is>
      </c>
      <c r="GC5" s="41" t="inlineStr">
        <is>
          <t>_WeightDur</t>
        </is>
      </c>
      <c r="GD5" s="41" t="inlineStr">
        <is>
          <t>_WeightDone</t>
        </is>
      </c>
      <c r="GE5" s="41" t="inlineStr">
        <is>
          <t>_WeightPlanned</t>
        </is>
      </c>
      <c r="GF5" s="41" t="inlineStr">
        <is>
          <t>_UIDPredecessors</t>
        </is>
      </c>
      <c r="GG5" s="41" t="inlineStr">
        <is>
          <t>_MilestoneKey</t>
        </is>
      </c>
      <c r="GH5" s="41" t="inlineStr">
        <is>
          <t>_PlannedPct</t>
        </is>
      </c>
      <c r="GI5" s="41" t="inlineStr">
        <is>
          <t>_Phase</t>
        </is>
      </c>
      <c r="GJ5" s="41" t="inlineStr">
        <is>
          <t>_PhaseKey</t>
        </is>
      </c>
      <c r="GK5" s="41" t="inlineStr">
        <is>
          <t>_MilestoneOrder</t>
        </is>
      </c>
      <c r="GL5" s="41" t="inlineStr">
        <is>
          <t>_LateKey</t>
        </is>
      </c>
      <c r="GM5" s="41" t="inlineStr">
        <is>
          <t>_StartSoonKey</t>
        </is>
      </c>
      <c r="GN5" s="41" t="inlineStr">
        <is>
          <t>_DueSoonKey</t>
        </is>
      </c>
      <c r="GO5" s="41" t="inlineStr">
        <is>
          <t>_CriticalKey</t>
        </is>
      </c>
      <c r="GP5" s="41" t="inlineStr">
        <is>
          <t>_LeafWorkDone</t>
        </is>
      </c>
      <c r="GQ5" s="41" t="inlineStr">
        <is>
          <t>_DoneDate</t>
        </is>
      </c>
      <c r="GR5" s="41" t="inlineStr">
        <is>
          <t>_LeafPoints</t>
        </is>
      </c>
      <c r="GS5" s="41" t="inlineStr">
        <is>
          <t>_CurrentSprintKey</t>
        </is>
      </c>
      <c r="GT5" s="41" t="inlineStr">
        <is>
          <t>_IsMilestone</t>
        </is>
      </c>
      <c r="GU5" s="41" t="inlineStr">
        <is>
          <t>_DoneFrom</t>
        </is>
      </c>
      <c r="GV5" s="41" t="inlineStr">
        <is>
          <t>_DoneTo</t>
        </is>
      </c>
      <c r="GW5" s="41" t="inlineStr">
        <is>
          <t>_RemFrom</t>
        </is>
      </c>
      <c r="GX5" s="41" t="inlineStr">
        <is>
          <t>_RemTo</t>
        </is>
      </c>
      <c r="GY5" s="41" t="inlineStr">
        <is>
          <t>_ShowPlan</t>
        </is>
      </c>
      <c r="GZ5" s="41" t="inlineStr">
        <is>
          <t>_Days</t>
        </is>
      </c>
      <c r="HA5" s="41" t="inlineStr">
        <is>
          <t>_Predecessors</t>
        </is>
      </c>
      <c r="HB5" s="41" t="inlineStr">
        <is>
          <t>_Resources</t>
        </is>
      </c>
      <c r="HC5" s="41" t="inlineStr">
        <is>
          <t>_PickKey</t>
        </is>
      </c>
      <c r="HD5" s="41" t="inlineStr">
        <is>
          <t>_PickList</t>
        </is>
      </c>
      <c r="HE5" s="41" t="inlineStr">
        <is>
          <t>_SpanDays</t>
        </is>
      </c>
      <c r="HF5" s="41" t="inlineStr">
        <is>
          <t>_PertVariance</t>
        </is>
      </c>
      <c r="HG5" s="41" t="inlineStr">
        <is>
          <t>_PertShift</t>
        </is>
      </c>
      <c r="HI5" s="81">
        <f>IF(GanttPeriod&lt;28,GanttStart+((COLUMN()-COLUMN(gantt_Origin))-1)*GanttPeriod,EDATE(DATE(YEAR(GanttStart),MONTH(GanttStart)-IF(GanttPeriod&gt;=90,MOD(MONTH(GanttStart)-1,3),0),1),((COLUMN()-COLUMN(gantt_Origin))-1)*IF(GanttPeriod&gt;=90,3,1)))</f>
        <v/>
      </c>
      <c r="HJ5" s="81">
        <f>IF(GanttPeriod&lt;28,GanttStart+((COLUMN()-COLUMN(gantt_Origin))-1)*GanttPeriod,EDATE(DATE(YEAR(GanttStart),MONTH(GanttStart)-IF(GanttPeriod&gt;=90,MOD(MONTH(GanttStart)-1,3),0),1),((COLUMN()-COLUMN(gantt_Origin))-1)*IF(GanttPeriod&gt;=90,3,1)))</f>
        <v/>
      </c>
      <c r="HK5" s="81">
        <f>IF(GanttPeriod&lt;28,GanttStart+((COLUMN()-COLUMN(gantt_Origin))-1)*GanttPeriod,EDATE(DATE(YEAR(GanttStart),MONTH(GanttStart)-IF(GanttPeriod&gt;=90,MOD(MONTH(GanttStart)-1,3),0),1),((COLUMN()-COLUMN(gantt_Origin))-1)*IF(GanttPeriod&gt;=90,3,1)))</f>
        <v/>
      </c>
      <c r="HL5" s="81">
        <f>IF(GanttPeriod&lt;28,GanttStart+((COLUMN()-COLUMN(gantt_Origin))-1)*GanttPeriod,EDATE(DATE(YEAR(GanttStart),MONTH(GanttStart)-IF(GanttPeriod&gt;=90,MOD(MONTH(GanttStart)-1,3),0),1),((COLUMN()-COLUMN(gantt_Origin))-1)*IF(GanttPeriod&gt;=90,3,1)))</f>
        <v/>
      </c>
      <c r="HM5" s="81">
        <f>IF(GanttPeriod&lt;28,GanttStart+((COLUMN()-COLUMN(gantt_Origin))-1)*GanttPeriod,EDATE(DATE(YEAR(GanttStart),MONTH(GanttStart)-IF(GanttPeriod&gt;=90,MOD(MONTH(GanttStart)-1,3),0),1),((COLUMN()-COLUMN(gantt_Origin))-1)*IF(GanttPeriod&gt;=90,3,1)))</f>
        <v/>
      </c>
      <c r="HN5" s="81">
        <f>IF(GanttPeriod&lt;28,GanttStart+((COLUMN()-COLUMN(gantt_Origin))-1)*GanttPeriod,EDATE(DATE(YEAR(GanttStart),MONTH(GanttStart)-IF(GanttPeriod&gt;=90,MOD(MONTH(GanttStart)-1,3),0),1),((COLUMN()-COLUMN(gantt_Origin))-1)*IF(GanttPeriod&gt;=90,3,1)))</f>
        <v/>
      </c>
      <c r="HO5" s="81">
        <f>IF(GanttPeriod&lt;28,GanttStart+((COLUMN()-COLUMN(gantt_Origin))-1)*GanttPeriod,EDATE(DATE(YEAR(GanttStart),MONTH(GanttStart)-IF(GanttPeriod&gt;=90,MOD(MONTH(GanttStart)-1,3),0),1),((COLUMN()-COLUMN(gantt_Origin))-1)*IF(GanttPeriod&gt;=90,3,1)))</f>
        <v/>
      </c>
      <c r="HP5" s="81">
        <f>IF(GanttPeriod&lt;28,GanttStart+((COLUMN()-COLUMN(gantt_Origin))-1)*GanttPeriod,EDATE(DATE(YEAR(GanttStart),MONTH(GanttStart)-IF(GanttPeriod&gt;=90,MOD(MONTH(GanttStart)-1,3),0),1),((COLUMN()-COLUMN(gantt_Origin))-1)*IF(GanttPeriod&gt;=90,3,1)))</f>
        <v/>
      </c>
      <c r="HQ5" s="81">
        <f>IF(GanttPeriod&lt;28,GanttStart+((COLUMN()-COLUMN(gantt_Origin))-1)*GanttPeriod,EDATE(DATE(YEAR(GanttStart),MONTH(GanttStart)-IF(GanttPeriod&gt;=90,MOD(MONTH(GanttStart)-1,3),0),1),((COLUMN()-COLUMN(gantt_Origin))-1)*IF(GanttPeriod&gt;=90,3,1)))</f>
        <v/>
      </c>
      <c r="HR5" s="81">
        <f>IF(GanttPeriod&lt;28,GanttStart+((COLUMN()-COLUMN(gantt_Origin))-1)*GanttPeriod,EDATE(DATE(YEAR(GanttStart),MONTH(GanttStart)-IF(GanttPeriod&gt;=90,MOD(MONTH(GanttStart)-1,3),0),1),((COLUMN()-COLUMN(gantt_Origin))-1)*IF(GanttPeriod&gt;=90,3,1)))</f>
        <v/>
      </c>
      <c r="HS5" s="81">
        <f>IF(GanttPeriod&lt;28,GanttStart+((COLUMN()-COLUMN(gantt_Origin))-1)*GanttPeriod,EDATE(DATE(YEAR(GanttStart),MONTH(GanttStart)-IF(GanttPeriod&gt;=90,MOD(MONTH(GanttStart)-1,3),0),1),((COLUMN()-COLUMN(gantt_Origin))-1)*IF(GanttPeriod&gt;=90,3,1)))</f>
        <v/>
      </c>
      <c r="HT5" s="81">
        <f>IF(GanttPeriod&lt;28,GanttStart+((COLUMN()-COLUMN(gantt_Origin))-1)*GanttPeriod,EDATE(DATE(YEAR(GanttStart),MONTH(GanttStart)-IF(GanttPeriod&gt;=90,MOD(MONTH(GanttStart)-1,3),0),1),((COLUMN()-COLUMN(gantt_Origin))-1)*IF(GanttPeriod&gt;=90,3,1)))</f>
        <v/>
      </c>
      <c r="HU5" s="81">
        <f>IF(GanttPeriod&lt;28,GanttStart+((COLUMN()-COLUMN(gantt_Origin))-1)*GanttPeriod,EDATE(DATE(YEAR(GanttStart),MONTH(GanttStart)-IF(GanttPeriod&gt;=90,MOD(MONTH(GanttStart)-1,3),0),1),((COLUMN()-COLUMN(gantt_Origin))-1)*IF(GanttPeriod&gt;=90,3,1)))</f>
        <v/>
      </c>
      <c r="HV5" s="81">
        <f>IF(GanttPeriod&lt;28,GanttStart+((COLUMN()-COLUMN(gantt_Origin))-1)*GanttPeriod,EDATE(DATE(YEAR(GanttStart),MONTH(GanttStart)-IF(GanttPeriod&gt;=90,MOD(MONTH(GanttStart)-1,3),0),1),((COLUMN()-COLUMN(gantt_Origin))-1)*IF(GanttPeriod&gt;=90,3,1)))</f>
        <v/>
      </c>
      <c r="HW5" s="81">
        <f>IF(GanttPeriod&lt;28,GanttStart+((COLUMN()-COLUMN(gantt_Origin))-1)*GanttPeriod,EDATE(DATE(YEAR(GanttStart),MONTH(GanttStart)-IF(GanttPeriod&gt;=90,MOD(MONTH(GanttStart)-1,3),0),1),((COLUMN()-COLUMN(gantt_Origin))-1)*IF(GanttPeriod&gt;=90,3,1)))</f>
        <v/>
      </c>
      <c r="HX5" s="81">
        <f>IF(GanttPeriod&lt;28,GanttStart+((COLUMN()-COLUMN(gantt_Origin))-1)*GanttPeriod,EDATE(DATE(YEAR(GanttStart),MONTH(GanttStart)-IF(GanttPeriod&gt;=90,MOD(MONTH(GanttStart)-1,3),0),1),((COLUMN()-COLUMN(gantt_Origin))-1)*IF(GanttPeriod&gt;=90,3,1)))</f>
        <v/>
      </c>
      <c r="HY5" s="81">
        <f>IF(GanttPeriod&lt;28,GanttStart+((COLUMN()-COLUMN(gantt_Origin))-1)*GanttPeriod,EDATE(DATE(YEAR(GanttStart),MONTH(GanttStart)-IF(GanttPeriod&gt;=90,MOD(MONTH(GanttStart)-1,3),0),1),((COLUMN()-COLUMN(gantt_Origin))-1)*IF(GanttPeriod&gt;=90,3,1)))</f>
        <v/>
      </c>
      <c r="HZ5" s="81">
        <f>IF(GanttPeriod&lt;28,GanttStart+((COLUMN()-COLUMN(gantt_Origin))-1)*GanttPeriod,EDATE(DATE(YEAR(GanttStart),MONTH(GanttStart)-IF(GanttPeriod&gt;=90,MOD(MONTH(GanttStart)-1,3),0),1),((COLUMN()-COLUMN(gantt_Origin))-1)*IF(GanttPeriod&gt;=90,3,1)))</f>
        <v/>
      </c>
      <c r="IA5" s="81">
        <f>IF(GanttPeriod&lt;28,GanttStart+((COLUMN()-COLUMN(gantt_Origin))-1)*GanttPeriod,EDATE(DATE(YEAR(GanttStart),MONTH(GanttStart)-IF(GanttPeriod&gt;=90,MOD(MONTH(GanttStart)-1,3),0),1),((COLUMN()-COLUMN(gantt_Origin))-1)*IF(GanttPeriod&gt;=90,3,1)))</f>
        <v/>
      </c>
      <c r="IB5" s="81">
        <f>IF(GanttPeriod&lt;28,GanttStart+((COLUMN()-COLUMN(gantt_Origin))-1)*GanttPeriod,EDATE(DATE(YEAR(GanttStart),MONTH(GanttStart)-IF(GanttPeriod&gt;=90,MOD(MONTH(GanttStart)-1,3),0),1),((COLUMN()-COLUMN(gantt_Origin))-1)*IF(GanttPeriod&gt;=90,3,1)))</f>
        <v/>
      </c>
      <c r="IC5" s="81">
        <f>IF(GanttPeriod&lt;28,GanttStart+((COLUMN()-COLUMN(gantt_Origin))-1)*GanttPeriod,EDATE(DATE(YEAR(GanttStart),MONTH(GanttStart)-IF(GanttPeriod&gt;=90,MOD(MONTH(GanttStart)-1,3),0),1),((COLUMN()-COLUMN(gantt_Origin))-1)*IF(GanttPeriod&gt;=90,3,1)))</f>
        <v/>
      </c>
      <c r="ID5" s="81">
        <f>IF(GanttPeriod&lt;28,GanttStart+((COLUMN()-COLUMN(gantt_Origin))-1)*GanttPeriod,EDATE(DATE(YEAR(GanttStart),MONTH(GanttStart)-IF(GanttPeriod&gt;=90,MOD(MONTH(GanttStart)-1,3),0),1),((COLUMN()-COLUMN(gantt_Origin))-1)*IF(GanttPeriod&gt;=90,3,1)))</f>
        <v/>
      </c>
      <c r="IE5" s="81">
        <f>IF(GanttPeriod&lt;28,GanttStart+((COLUMN()-COLUMN(gantt_Origin))-1)*GanttPeriod,EDATE(DATE(YEAR(GanttStart),MONTH(GanttStart)-IF(GanttPeriod&gt;=90,MOD(MONTH(GanttStart)-1,3),0),1),((COLUMN()-COLUMN(gantt_Origin))-1)*IF(GanttPeriod&gt;=90,3,1)))</f>
        <v/>
      </c>
      <c r="IF5" s="81">
        <f>IF(GanttPeriod&lt;28,GanttStart+((COLUMN()-COLUMN(gantt_Origin))-1)*GanttPeriod,EDATE(DATE(YEAR(GanttStart),MONTH(GanttStart)-IF(GanttPeriod&gt;=90,MOD(MONTH(GanttStart)-1,3),0),1),((COLUMN()-COLUMN(gantt_Origin))-1)*IF(GanttPeriod&gt;=90,3,1)))</f>
        <v/>
      </c>
      <c r="IG5" s="81">
        <f>IF(GanttPeriod&lt;28,GanttStart+((COLUMN()-COLUMN(gantt_Origin))-1)*GanttPeriod,EDATE(DATE(YEAR(GanttStart),MONTH(GanttStart)-IF(GanttPeriod&gt;=90,MOD(MONTH(GanttStart)-1,3),0),1),((COLUMN()-COLUMN(gantt_Origin))-1)*IF(GanttPeriod&gt;=90,3,1)))</f>
        <v/>
      </c>
      <c r="IH5" s="81">
        <f>IF(GanttPeriod&lt;28,GanttStart+((COLUMN()-COLUMN(gantt_Origin))-1)*GanttPeriod,EDATE(DATE(YEAR(GanttStart),MONTH(GanttStart)-IF(GanttPeriod&gt;=90,MOD(MONTH(GanttStart)-1,3),0),1),((COLUMN()-COLUMN(gantt_Origin))-1)*IF(GanttPeriod&gt;=90,3,1)))</f>
        <v/>
      </c>
      <c r="II5" s="81">
        <f>IF(GanttPeriod&lt;28,GanttStart+((COLUMN()-COLUMN(gantt_Origin))-1)*GanttPeriod,EDATE(DATE(YEAR(GanttStart),MONTH(GanttStart)-IF(GanttPeriod&gt;=90,MOD(MONTH(GanttStart)-1,3),0),1),((COLUMN()-COLUMN(gantt_Origin))-1)*IF(GanttPeriod&gt;=90,3,1)))</f>
        <v/>
      </c>
      <c r="IJ5" s="81">
        <f>IF(GanttPeriod&lt;28,GanttStart+((COLUMN()-COLUMN(gantt_Origin))-1)*GanttPeriod,EDATE(DATE(YEAR(GanttStart),MONTH(GanttStart)-IF(GanttPeriod&gt;=90,MOD(MONTH(GanttStart)-1,3),0),1),((COLUMN()-COLUMN(gantt_Origin))-1)*IF(GanttPeriod&gt;=90,3,1)))</f>
        <v/>
      </c>
      <c r="IK5" s="81">
        <f>IF(GanttPeriod&lt;28,GanttStart+((COLUMN()-COLUMN(gantt_Origin))-1)*GanttPeriod,EDATE(DATE(YEAR(GanttStart),MONTH(GanttStart)-IF(GanttPeriod&gt;=90,MOD(MONTH(GanttStart)-1,3),0),1),((COLUMN()-COLUMN(gantt_Origin))-1)*IF(GanttPeriod&gt;=90,3,1)))</f>
        <v/>
      </c>
      <c r="IL5" s="81">
        <f>IF(GanttPeriod&lt;28,GanttStart+((COLUMN()-COLUMN(gantt_Origin))-1)*GanttPeriod,EDATE(DATE(YEAR(GanttStart),MONTH(GanttStart)-IF(GanttPeriod&gt;=90,MOD(MONTH(GanttStart)-1,3),0),1),((COLUMN()-COLUMN(gantt_Origin))-1)*IF(GanttPeriod&gt;=90,3,1)))</f>
        <v/>
      </c>
      <c r="IM5" s="81">
        <f>IF(GanttPeriod&lt;28,GanttStart+((COLUMN()-COLUMN(gantt_Origin))-1)*GanttPeriod,EDATE(DATE(YEAR(GanttStart),MONTH(GanttStart)-IF(GanttPeriod&gt;=90,MOD(MONTH(GanttStart)-1,3),0),1),((COLUMN()-COLUMN(gantt_Origin))-1)*IF(GanttPeriod&gt;=90,3,1)))</f>
        <v/>
      </c>
      <c r="IN5" s="81">
        <f>IF(GanttPeriod&lt;28,GanttStart+((COLUMN()-COLUMN(gantt_Origin))-1)*GanttPeriod,EDATE(DATE(YEAR(GanttStart),MONTH(GanttStart)-IF(GanttPeriod&gt;=90,MOD(MONTH(GanttStart)-1,3),0),1),((COLUMN()-COLUMN(gantt_Origin))-1)*IF(GanttPeriod&gt;=90,3,1)))</f>
        <v/>
      </c>
      <c r="IO5" s="81">
        <f>IF(GanttPeriod&lt;28,GanttStart+((COLUMN()-COLUMN(gantt_Origin))-1)*GanttPeriod,EDATE(DATE(YEAR(GanttStart),MONTH(GanttStart)-IF(GanttPeriod&gt;=90,MOD(MONTH(GanttStart)-1,3),0),1),((COLUMN()-COLUMN(gantt_Origin))-1)*IF(GanttPeriod&gt;=90,3,1)))</f>
        <v/>
      </c>
      <c r="IP5" s="81">
        <f>IF(GanttPeriod&lt;28,GanttStart+((COLUMN()-COLUMN(gantt_Origin))-1)*GanttPeriod,EDATE(DATE(YEAR(GanttStart),MONTH(GanttStart)-IF(GanttPeriod&gt;=90,MOD(MONTH(GanttStart)-1,3),0),1),((COLUMN()-COLUMN(gantt_Origin))-1)*IF(GanttPeriod&gt;=90,3,1)))</f>
        <v/>
      </c>
      <c r="IQ5" s="81">
        <f>IF(GanttPeriod&lt;28,GanttStart+((COLUMN()-COLUMN(gantt_Origin))-1)*GanttPeriod,EDATE(DATE(YEAR(GanttStart),MONTH(GanttStart)-IF(GanttPeriod&gt;=90,MOD(MONTH(GanttStart)-1,3),0),1),((COLUMN()-COLUMN(gantt_Origin))-1)*IF(GanttPeriod&gt;=90,3,1)))</f>
        <v/>
      </c>
      <c r="IR5" s="81">
        <f>IF(GanttPeriod&lt;28,GanttStart+((COLUMN()-COLUMN(gantt_Origin))-1)*GanttPeriod,EDATE(DATE(YEAR(GanttStart),MONTH(GanttStart)-IF(GanttPeriod&gt;=90,MOD(MONTH(GanttStart)-1,3),0),1),((COLUMN()-COLUMN(gantt_Origin))-1)*IF(GanttPeriod&gt;=90,3,1)))</f>
        <v/>
      </c>
      <c r="IS5" s="81">
        <f>IF(GanttPeriod&lt;28,GanttStart+((COLUMN()-COLUMN(gantt_Origin))-1)*GanttPeriod,EDATE(DATE(YEAR(GanttStart),MONTH(GanttStart)-IF(GanttPeriod&gt;=90,MOD(MONTH(GanttStart)-1,3),0),1),((COLUMN()-COLUMN(gantt_Origin))-1)*IF(GanttPeriod&gt;=90,3,1)))</f>
        <v/>
      </c>
      <c r="IT5" s="81">
        <f>IF(GanttPeriod&lt;28,GanttStart+((COLUMN()-COLUMN(gantt_Origin))-1)*GanttPeriod,EDATE(DATE(YEAR(GanttStart),MONTH(GanttStart)-IF(GanttPeriod&gt;=90,MOD(MONTH(GanttStart)-1,3),0),1),((COLUMN()-COLUMN(gantt_Origin))-1)*IF(GanttPeriod&gt;=90,3,1)))</f>
        <v/>
      </c>
      <c r="IU5" s="81">
        <f>IF(GanttPeriod&lt;28,GanttStart+((COLUMN()-COLUMN(gantt_Origin))-1)*GanttPeriod,EDATE(DATE(YEAR(GanttStart),MONTH(GanttStart)-IF(GanttPeriod&gt;=90,MOD(MONTH(GanttStart)-1,3),0),1),((COLUMN()-COLUMN(gantt_Origin))-1)*IF(GanttPeriod&gt;=90,3,1)))</f>
        <v/>
      </c>
      <c r="IV5" s="81">
        <f>IF(GanttPeriod&lt;28,GanttStart+((COLUMN()-COLUMN(gantt_Origin))-1)*GanttPeriod,EDATE(DATE(YEAR(GanttStart),MONTH(GanttStart)-IF(GanttPeriod&gt;=90,MOD(MONTH(GanttStart)-1,3),0),1),((COLUMN()-COLUMN(gantt_Origin))-1)*IF(GanttPeriod&gt;=90,3,1)))</f>
        <v/>
      </c>
      <c r="IW5" s="81">
        <f>IF(GanttPeriod&lt;28,GanttStart+((COLUMN()-COLUMN(gantt_Origin))-1)*GanttPeriod,EDATE(DATE(YEAR(GanttStart),MONTH(GanttStart)-IF(GanttPeriod&gt;=90,MOD(MONTH(GanttStart)-1,3),0),1),((COLUMN()-COLUMN(gantt_Origin))-1)*IF(GanttPeriod&gt;=90,3,1)))</f>
        <v/>
      </c>
      <c r="IX5" s="81">
        <f>IF(GanttPeriod&lt;28,GanttStart+((COLUMN()-COLUMN(gantt_Origin))-1)*GanttPeriod,EDATE(DATE(YEAR(GanttStart),MONTH(GanttStart)-IF(GanttPeriod&gt;=90,MOD(MONTH(GanttStart)-1,3),0),1),((COLUMN()-COLUMN(gantt_Origin))-1)*IF(GanttPeriod&gt;=90,3,1)))</f>
        <v/>
      </c>
      <c r="IY5" s="81">
        <f>IF(GanttPeriod&lt;28,GanttStart+((COLUMN()-COLUMN(gantt_Origin))-1)*GanttPeriod,EDATE(DATE(YEAR(GanttStart),MONTH(GanttStart)-IF(GanttPeriod&gt;=90,MOD(MONTH(GanttStart)-1,3),0),1),((COLUMN()-COLUMN(gantt_Origin))-1)*IF(GanttPeriod&gt;=90,3,1)))</f>
        <v/>
      </c>
      <c r="IZ5" s="81">
        <f>IF(GanttPeriod&lt;28,GanttStart+((COLUMN()-COLUMN(gantt_Origin))-1)*GanttPeriod,EDATE(DATE(YEAR(GanttStart),MONTH(GanttStart)-IF(GanttPeriod&gt;=90,MOD(MONTH(GanttStart)-1,3),0),1),((COLUMN()-COLUMN(gantt_Origin))-1)*IF(GanttPeriod&gt;=90,3,1)))</f>
        <v/>
      </c>
      <c r="JA5" s="81">
        <f>IF(GanttPeriod&lt;28,GanttStart+((COLUMN()-COLUMN(gantt_Origin))-1)*GanttPeriod,EDATE(DATE(YEAR(GanttStart),MONTH(GanttStart)-IF(GanttPeriod&gt;=90,MOD(MONTH(GanttStart)-1,3),0),1),((COLUMN()-COLUMN(gantt_Origin))-1)*IF(GanttPeriod&gt;=90,3,1)))</f>
        <v/>
      </c>
      <c r="JB5" s="81">
        <f>IF(GanttPeriod&lt;28,GanttStart+((COLUMN()-COLUMN(gantt_Origin))-1)*GanttPeriod,EDATE(DATE(YEAR(GanttStart),MONTH(GanttStart)-IF(GanttPeriod&gt;=90,MOD(MONTH(GanttStart)-1,3),0),1),((COLUMN()-COLUMN(gantt_Origin))-1)*IF(GanttPeriod&gt;=90,3,1)))</f>
        <v/>
      </c>
      <c r="JC5" s="81">
        <f>IF(GanttPeriod&lt;28,GanttStart+((COLUMN()-COLUMN(gantt_Origin))-1)*GanttPeriod,EDATE(DATE(YEAR(GanttStart),MONTH(GanttStart)-IF(GanttPeriod&gt;=90,MOD(MONTH(GanttStart)-1,3),0),1),((COLUMN()-COLUMN(gantt_Origin))-1)*IF(GanttPeriod&gt;=90,3,1)))</f>
        <v/>
      </c>
      <c r="JD5" s="81">
        <f>IF(GanttPeriod&lt;28,GanttStart+((COLUMN()-COLUMN(gantt_Origin))-1)*GanttPeriod,EDATE(DATE(YEAR(GanttStart),MONTH(GanttStart)-IF(GanttPeriod&gt;=90,MOD(MONTH(GanttStart)-1,3),0),1),((COLUMN()-COLUMN(gantt_Origin))-1)*IF(GanttPeriod&gt;=90,3,1)))</f>
        <v/>
      </c>
      <c r="JE5" s="81">
        <f>IF(GanttPeriod&lt;28,GanttStart+((COLUMN()-COLUMN(gantt_Origin))-1)*GanttPeriod,EDATE(DATE(YEAR(GanttStart),MONTH(GanttStart)-IF(GanttPeriod&gt;=90,MOD(MONTH(GanttStart)-1,3),0),1),((COLUMN()-COLUMN(gantt_Origin))-1)*IF(GanttPeriod&gt;=90,3,1)))</f>
        <v/>
      </c>
      <c r="JF5" s="81">
        <f>IF(GanttPeriod&lt;28,GanttStart+((COLUMN()-COLUMN(gantt_Origin))-1)*GanttPeriod,EDATE(DATE(YEAR(GanttStart),MONTH(GanttStart)-IF(GanttPeriod&gt;=90,MOD(MONTH(GanttStart)-1,3),0),1),((COLUMN()-COLUMN(gantt_Origin))-1)*IF(GanttPeriod&gt;=90,3,1)))</f>
        <v/>
      </c>
      <c r="JG5" s="81">
        <f>IF(GanttPeriod&lt;28,GanttStart+((COLUMN()-COLUMN(gantt_Origin))-1)*GanttPeriod,EDATE(DATE(YEAR(GanttStart),MONTH(GanttStart)-IF(GanttPeriod&gt;=90,MOD(MONTH(GanttStart)-1,3),0),1),((COLUMN()-COLUMN(gantt_Origin))-1)*IF(GanttPeriod&gt;=90,3,1)))</f>
        <v/>
      </c>
      <c r="JH5" s="81">
        <f>IF(GanttPeriod&lt;28,GanttStart+((COLUMN()-COLUMN(gantt_Origin))-1)*GanttPeriod,EDATE(DATE(YEAR(GanttStart),MONTH(GanttStart)-IF(GanttPeriod&gt;=90,MOD(MONTH(GanttStart)-1,3),0),1),((COLUMN()-COLUMN(gantt_Origin))-1)*IF(GanttPeriod&gt;=90,3,1)))</f>
        <v/>
      </c>
      <c r="JI5" s="81">
        <f>IF(GanttPeriod&lt;28,GanttStart+((COLUMN()-COLUMN(gantt_Origin))-1)*GanttPeriod,EDATE(DATE(YEAR(GanttStart),MONTH(GanttStart)-IF(GanttPeriod&gt;=90,MOD(MONTH(GanttStart)-1,3),0),1),((COLUMN()-COLUMN(gantt_Origin))-1)*IF(GanttPeriod&gt;=90,3,1)))</f>
        <v/>
      </c>
      <c r="JJ5" s="81">
        <f>IF(GanttPeriod&lt;28,GanttStart+((COLUMN()-COLUMN(gantt_Origin))-1)*GanttPeriod,EDATE(DATE(YEAR(GanttStart),MONTH(GanttStart)-IF(GanttPeriod&gt;=90,MOD(MONTH(GanttStart)-1,3),0),1),((COLUMN()-COLUMN(gantt_Origin))-1)*IF(GanttPeriod&gt;=90,3,1)))</f>
        <v/>
      </c>
      <c r="JK5" s="81">
        <f>IF(GanttPeriod&lt;28,GanttStart+((COLUMN()-COLUMN(gantt_Origin))-1)*GanttPeriod,EDATE(DATE(YEAR(GanttStart),MONTH(GanttStart)-IF(GanttPeriod&gt;=90,MOD(MONTH(GanttStart)-1,3),0),1),((COLUMN()-COLUMN(gantt_Origin))-1)*IF(GanttPeriod&gt;=90,3,1)))</f>
        <v/>
      </c>
      <c r="JL5" s="81">
        <f>IF(GanttPeriod&lt;28,GanttStart+((COLUMN()-COLUMN(gantt_Origin))-1)*GanttPeriod,EDATE(DATE(YEAR(GanttStart),MONTH(GanttStart)-IF(GanttPeriod&gt;=90,MOD(MONTH(GanttStart)-1,3),0),1),((COLUMN()-COLUMN(gantt_Origin))-1)*IF(GanttPeriod&gt;=90,3,1)))</f>
        <v/>
      </c>
      <c r="JM5" s="81">
        <f>IF(GanttPeriod&lt;28,GanttStart+((COLUMN()-COLUMN(gantt_Origin))-1)*GanttPeriod,EDATE(DATE(YEAR(GanttStart),MONTH(GanttStart)-IF(GanttPeriod&gt;=90,MOD(MONTH(GanttStart)-1,3),0),1),((COLUMN()-COLUMN(gantt_Origin))-1)*IF(GanttPeriod&gt;=90,3,1)))</f>
        <v/>
      </c>
      <c r="JN5" s="81">
        <f>IF(GanttPeriod&lt;28,GanttStart+((COLUMN()-COLUMN(gantt_Origin))-1)*GanttPeriod,EDATE(DATE(YEAR(GanttStart),MONTH(GanttStart)-IF(GanttPeriod&gt;=90,MOD(MONTH(GanttStart)-1,3),0),1),((COLUMN()-COLUMN(gantt_Origin))-1)*IF(GanttPeriod&gt;=90,3,1)))</f>
        <v/>
      </c>
      <c r="JO5" s="81">
        <f>IF(GanttPeriod&lt;28,GanttStart+((COLUMN()-COLUMN(gantt_Origin))-1)*GanttPeriod,EDATE(DATE(YEAR(GanttStart),MONTH(GanttStart)-IF(GanttPeriod&gt;=90,MOD(MONTH(GanttStart)-1,3),0),1),((COLUMN()-COLUMN(gantt_Origin))-1)*IF(GanttPeriod&gt;=90,3,1)))</f>
        <v/>
      </c>
      <c r="JP5" s="81">
        <f>IF(GanttPeriod&lt;28,GanttStart+((COLUMN()-COLUMN(gantt_Origin))-1)*GanttPeriod,EDATE(DATE(YEAR(GanttStart),MONTH(GanttStart)-IF(GanttPeriod&gt;=90,MOD(MONTH(GanttStart)-1,3),0),1),((COLUMN()-COLUMN(gantt_Origin))-1)*IF(GanttPeriod&gt;=90,3,1)))</f>
        <v/>
      </c>
      <c r="JQ5" s="81">
        <f>IF(GanttPeriod&lt;28,GanttStart+((COLUMN()-COLUMN(gantt_Origin))-1)*GanttPeriod,EDATE(DATE(YEAR(GanttStart),MONTH(GanttStart)-IF(GanttPeriod&gt;=90,MOD(MONTH(GanttStart)-1,3),0),1),((COLUMN()-COLUMN(gantt_Origin))-1)*IF(GanttPeriod&gt;=90,3,1)))</f>
        <v/>
      </c>
      <c r="JR5" s="81">
        <f>IF(GanttPeriod&lt;28,GanttStart+((COLUMN()-COLUMN(gantt_Origin))-1)*GanttPeriod,EDATE(DATE(YEAR(GanttStart),MONTH(GanttStart)-IF(GanttPeriod&gt;=90,MOD(MONTH(GanttStart)-1,3),0),1),((COLUMN()-COLUMN(gantt_Origin))-1)*IF(GanttPeriod&gt;=90,3,1)))</f>
        <v/>
      </c>
      <c r="JS5" s="81">
        <f>IF(GanttPeriod&lt;28,GanttStart+((COLUMN()-COLUMN(gantt_Origin))-1)*GanttPeriod,EDATE(DATE(YEAR(GanttStart),MONTH(GanttStart)-IF(GanttPeriod&gt;=90,MOD(MONTH(GanttStart)-1,3),0),1),((COLUMN()-COLUMN(gantt_Origin))-1)*IF(GanttPeriod&gt;=90,3,1)))</f>
        <v/>
      </c>
      <c r="JT5" s="81">
        <f>IF(GanttPeriod&lt;28,GanttStart+((COLUMN()-COLUMN(gantt_Origin))-1)*GanttPeriod,EDATE(DATE(YEAR(GanttStart),MONTH(GanttStart)-IF(GanttPeriod&gt;=90,MOD(MONTH(GanttStart)-1,3),0),1),((COLUMN()-COLUMN(gantt_Origin))-1)*IF(GanttPeriod&gt;=90,3,1)))</f>
        <v/>
      </c>
      <c r="JU5" s="81">
        <f>IF(GanttPeriod&lt;28,GanttStart+((COLUMN()-COLUMN(gantt_Origin))-1)*GanttPeriod,EDATE(DATE(YEAR(GanttStart),MONTH(GanttStart)-IF(GanttPeriod&gt;=90,MOD(MONTH(GanttStart)-1,3),0),1),((COLUMN()-COLUMN(gantt_Origin))-1)*IF(GanttPeriod&gt;=90,3,1)))</f>
        <v/>
      </c>
      <c r="JV5" s="81">
        <f>IF(GanttPeriod&lt;28,GanttStart+((COLUMN()-COLUMN(gantt_Origin))-1)*GanttPeriod,EDATE(DATE(YEAR(GanttStart),MONTH(GanttStart)-IF(GanttPeriod&gt;=90,MOD(MONTH(GanttStart)-1,3),0),1),((COLUMN()-COLUMN(gantt_Origin))-1)*IF(GanttPeriod&gt;=90,3,1)))</f>
        <v/>
      </c>
      <c r="JW5" s="81">
        <f>IF(GanttPeriod&lt;28,GanttStart+((COLUMN()-COLUMN(gantt_Origin))-1)*GanttPeriod,EDATE(DATE(YEAR(GanttStart),MONTH(GanttStart)-IF(GanttPeriod&gt;=90,MOD(MONTH(GanttStart)-1,3),0),1),((COLUMN()-COLUMN(gantt_Origin))-1)*IF(GanttPeriod&gt;=90,3,1)))</f>
        <v/>
      </c>
      <c r="JX5" s="81">
        <f>IF(GanttPeriod&lt;28,GanttStart+((COLUMN()-COLUMN(gantt_Origin))-1)*GanttPeriod,EDATE(DATE(YEAR(GanttStart),MONTH(GanttStart)-IF(GanttPeriod&gt;=90,MOD(MONTH(GanttStart)-1,3),0),1),((COLUMN()-COLUMN(gantt_Origin))-1)*IF(GanttPeriod&gt;=90,3,1)))</f>
        <v/>
      </c>
      <c r="JY5" s="81">
        <f>IF(GanttPeriod&lt;28,GanttStart+((COLUMN()-COLUMN(gantt_Origin))-1)*GanttPeriod,EDATE(DATE(YEAR(GanttStart),MONTH(GanttStart)-IF(GanttPeriod&gt;=90,MOD(MONTH(GanttStart)-1,3),0),1),((COLUMN()-COLUMN(gantt_Origin))-1)*IF(GanttPeriod&gt;=90,3,1)))</f>
        <v/>
      </c>
      <c r="JZ5" s="81">
        <f>IF(GanttPeriod&lt;28,GanttStart+((COLUMN()-COLUMN(gantt_Origin))-1)*GanttPeriod,EDATE(DATE(YEAR(GanttStart),MONTH(GanttStart)-IF(GanttPeriod&gt;=90,MOD(MONTH(GanttStart)-1,3),0),1),((COLUMN()-COLUMN(gantt_Origin))-1)*IF(GanttPeriod&gt;=90,3,1)))</f>
        <v/>
      </c>
      <c r="KA5" s="81">
        <f>IF(GanttPeriod&lt;28,GanttStart+((COLUMN()-COLUMN(gantt_Origin))-1)*GanttPeriod,EDATE(DATE(YEAR(GanttStart),MONTH(GanttStart)-IF(GanttPeriod&gt;=90,MOD(MONTH(GanttStart)-1,3),0),1),((COLUMN()-COLUMN(gantt_Origin))-1)*IF(GanttPeriod&gt;=90,3,1)))</f>
        <v/>
      </c>
      <c r="KB5" s="81">
        <f>IF(GanttPeriod&lt;28,GanttStart+((COLUMN()-COLUMN(gantt_Origin))-1)*GanttPeriod,EDATE(DATE(YEAR(GanttStart),MONTH(GanttStart)-IF(GanttPeriod&gt;=90,MOD(MONTH(GanttStart)-1,3),0),1),((COLUMN()-COLUMN(gantt_Origin))-1)*IF(GanttPeriod&gt;=90,3,1)))</f>
        <v/>
      </c>
      <c r="KC5" s="81">
        <f>IF(GanttPeriod&lt;28,GanttStart+((COLUMN()-COLUMN(gantt_Origin))-1)*GanttPeriod,EDATE(DATE(YEAR(GanttStart),MONTH(GanttStart)-IF(GanttPeriod&gt;=90,MOD(MONTH(GanttStart)-1,3),0),1),((COLUMN()-COLUMN(gantt_Origin))-1)*IF(GanttPeriod&gt;=90,3,1)))</f>
        <v/>
      </c>
      <c r="KD5" s="81">
        <f>IF(GanttPeriod&lt;28,GanttStart+((COLUMN()-COLUMN(gantt_Origin))-1)*GanttPeriod,EDATE(DATE(YEAR(GanttStart),MONTH(GanttStart)-IF(GanttPeriod&gt;=90,MOD(MONTH(GanttStart)-1,3),0),1),((COLUMN()-COLUMN(gantt_Origin))-1)*IF(GanttPeriod&gt;=90,3,1)))</f>
        <v/>
      </c>
      <c r="KE5" s="81">
        <f>IF(GanttPeriod&lt;28,GanttStart+((COLUMN()-COLUMN(gantt_Origin))-1)*GanttPeriod,EDATE(DATE(YEAR(GanttStart),MONTH(GanttStart)-IF(GanttPeriod&gt;=90,MOD(MONTH(GanttStart)-1,3),0),1),((COLUMN()-COLUMN(gantt_Origin))-1)*IF(GanttPeriod&gt;=90,3,1)))</f>
        <v/>
      </c>
      <c r="KF5" s="81">
        <f>IF(GanttPeriod&lt;28,GanttStart+((COLUMN()-COLUMN(gantt_Origin))-1)*GanttPeriod,EDATE(DATE(YEAR(GanttStart),MONTH(GanttStart)-IF(GanttPeriod&gt;=90,MOD(MONTH(GanttStart)-1,3),0),1),((COLUMN()-COLUMN(gantt_Origin))-1)*IF(GanttPeriod&gt;=90,3,1)))</f>
        <v/>
      </c>
      <c r="KG5" s="81">
        <f>IF(GanttPeriod&lt;28,GanttStart+((COLUMN()-COLUMN(gantt_Origin))-1)*GanttPeriod,EDATE(DATE(YEAR(GanttStart),MONTH(GanttStart)-IF(GanttPeriod&gt;=90,MOD(MONTH(GanttStart)-1,3),0),1),((COLUMN()-COLUMN(gantt_Origin))-1)*IF(GanttPeriod&gt;=90,3,1)))</f>
        <v/>
      </c>
      <c r="KH5" s="81">
        <f>IF(GanttPeriod&lt;28,GanttStart+((COLUMN()-COLUMN(gantt_Origin))-1)*GanttPeriod,EDATE(DATE(YEAR(GanttStart),MONTH(GanttStart)-IF(GanttPeriod&gt;=90,MOD(MONTH(GanttStart)-1,3),0),1),((COLUMN()-COLUMN(gantt_Origin))-1)*IF(GanttPeriod&gt;=90,3,1)))</f>
        <v/>
      </c>
      <c r="KI5" s="81">
        <f>IF(GanttPeriod&lt;28,GanttStart+((COLUMN()-COLUMN(gantt_Origin))-1)*GanttPeriod,EDATE(DATE(YEAR(GanttStart),MONTH(GanttStart)-IF(GanttPeriod&gt;=90,MOD(MONTH(GanttStart)-1,3),0),1),((COLUMN()-COLUMN(gantt_Origin))-1)*IF(GanttPeriod&gt;=90,3,1)))</f>
        <v/>
      </c>
      <c r="KJ5" s="81">
        <f>IF(GanttPeriod&lt;28,GanttStart+((COLUMN()-COLUMN(gantt_Origin))-1)*GanttPeriod,EDATE(DATE(YEAR(GanttStart),MONTH(GanttStart)-IF(GanttPeriod&gt;=90,MOD(MONTH(GanttStart)-1,3),0),1),((COLUMN()-COLUMN(gantt_Origin))-1)*IF(GanttPeriod&gt;=90,3,1)))</f>
        <v/>
      </c>
      <c r="KK5" s="81">
        <f>IF(GanttPeriod&lt;28,GanttStart+((COLUMN()-COLUMN(gantt_Origin))-1)*GanttPeriod,EDATE(DATE(YEAR(GanttStart),MONTH(GanttStart)-IF(GanttPeriod&gt;=90,MOD(MONTH(GanttStart)-1,3),0),1),((COLUMN()-COLUMN(gantt_Origin))-1)*IF(GanttPeriod&gt;=90,3,1)))</f>
        <v/>
      </c>
      <c r="KL5" s="81">
        <f>IF(GanttPeriod&lt;28,GanttStart+((COLUMN()-COLUMN(gantt_Origin))-1)*GanttPeriod,EDATE(DATE(YEAR(GanttStart),MONTH(GanttStart)-IF(GanttPeriod&gt;=90,MOD(MONTH(GanttStart)-1,3),0),1),((COLUMN()-COLUMN(gantt_Origin))-1)*IF(GanttPeriod&gt;=90,3,1)))</f>
        <v/>
      </c>
      <c r="KM5" s="81">
        <f>IF(GanttPeriod&lt;28,GanttStart+((COLUMN()-COLUMN(gantt_Origin))-1)*GanttPeriod,EDATE(DATE(YEAR(GanttStart),MONTH(GanttStart)-IF(GanttPeriod&gt;=90,MOD(MONTH(GanttStart)-1,3),0),1),((COLUMN()-COLUMN(gantt_Origin))-1)*IF(GanttPeriod&gt;=90,3,1)))</f>
        <v/>
      </c>
      <c r="KN5" s="81">
        <f>IF(GanttPeriod&lt;28,GanttStart+((COLUMN()-COLUMN(gantt_Origin))-1)*GanttPeriod,EDATE(DATE(YEAR(GanttStart),MONTH(GanttStart)-IF(GanttPeriod&gt;=90,MOD(MONTH(GanttStart)-1,3),0),1),((COLUMN()-COLUMN(gantt_Origin))-1)*IF(GanttPeriod&gt;=90,3,1)))</f>
        <v/>
      </c>
      <c r="KO5" s="81">
        <f>IF(GanttPeriod&lt;28,GanttStart+((COLUMN()-COLUMN(gantt_Origin))-1)*GanttPeriod,EDATE(DATE(YEAR(GanttStart),MONTH(GanttStart)-IF(GanttPeriod&gt;=90,MOD(MONTH(GanttStart)-1,3),0),1),((COLUMN()-COLUMN(gantt_Origin))-1)*IF(GanttPeriod&gt;=90,3,1)))</f>
        <v/>
      </c>
      <c r="KP5" s="81">
        <f>IF(GanttPeriod&lt;28,GanttStart+((COLUMN()-COLUMN(gantt_Origin))-1)*GanttPeriod,EDATE(DATE(YEAR(GanttStart),MONTH(GanttStart)-IF(GanttPeriod&gt;=90,MOD(MONTH(GanttStart)-1,3),0),1),((COLUMN()-COLUMN(gantt_Origin))-1)*IF(GanttPeriod&gt;=90,3,1)))</f>
        <v/>
      </c>
      <c r="KQ5" s="81">
        <f>IF(GanttPeriod&lt;28,GanttStart+((COLUMN()-COLUMN(gantt_Origin))-1)*GanttPeriod,EDATE(DATE(YEAR(GanttStart),MONTH(GanttStart)-IF(GanttPeriod&gt;=90,MOD(MONTH(GanttStart)-1,3),0),1),((COLUMN()-COLUMN(gantt_Origin))-1)*IF(GanttPeriod&gt;=90,3,1)))</f>
        <v/>
      </c>
      <c r="KR5" s="81">
        <f>IF(GanttPeriod&lt;28,GanttStart+((COLUMN()-COLUMN(gantt_Origin))-1)*GanttPeriod,EDATE(DATE(YEAR(GanttStart),MONTH(GanttStart)-IF(GanttPeriod&gt;=90,MOD(MONTH(GanttStart)-1,3),0),1),((COLUMN()-COLUMN(gantt_Origin))-1)*IF(GanttPeriod&gt;=90,3,1)))</f>
        <v/>
      </c>
      <c r="KS5" s="81">
        <f>IF(GanttPeriod&lt;28,GanttStart+((COLUMN()-COLUMN(gantt_Origin))-1)*GanttPeriod,EDATE(DATE(YEAR(GanttStart),MONTH(GanttStart)-IF(GanttPeriod&gt;=90,MOD(MONTH(GanttStart)-1,3),0),1),((COLUMN()-COLUMN(gantt_Origin))-1)*IF(GanttPeriod&gt;=90,3,1)))</f>
        <v/>
      </c>
      <c r="KT5" s="81">
        <f>IF(GanttPeriod&lt;28,GanttStart+((COLUMN()-COLUMN(gantt_Origin))-1)*GanttPeriod,EDATE(DATE(YEAR(GanttStart),MONTH(GanttStart)-IF(GanttPeriod&gt;=90,MOD(MONTH(GanttStart)-1,3),0),1),((COLUMN()-COLUMN(gantt_Origin))-1)*IF(GanttPeriod&gt;=90,3,1)))</f>
        <v/>
      </c>
      <c r="KU5" s="81">
        <f>IF(GanttPeriod&lt;28,GanttStart+((COLUMN()-COLUMN(gantt_Origin))-1)*GanttPeriod,EDATE(DATE(YEAR(GanttStart),MONTH(GanttStart)-IF(GanttPeriod&gt;=90,MOD(MONTH(GanttStart)-1,3),0),1),((COLUMN()-COLUMN(gantt_Origin))-1)*IF(GanttPeriod&gt;=90,3,1)))</f>
        <v/>
      </c>
      <c r="KV5" s="81">
        <f>IF(GanttPeriod&lt;28,GanttStart+((COLUMN()-COLUMN(gantt_Origin))-1)*GanttPeriod,EDATE(DATE(YEAR(GanttStart),MONTH(GanttStart)-IF(GanttPeriod&gt;=90,MOD(MONTH(GanttStart)-1,3),0),1),((COLUMN()-COLUMN(gantt_Origin))-1)*IF(GanttPeriod&gt;=90,3,1)))</f>
        <v/>
      </c>
      <c r="KW5" s="81">
        <f>IF(GanttPeriod&lt;28,GanttStart+((COLUMN()-COLUMN(gantt_Origin))-1)*GanttPeriod,EDATE(DATE(YEAR(GanttStart),MONTH(GanttStart)-IF(GanttPeriod&gt;=90,MOD(MONTH(GanttStart)-1,3),0),1),((COLUMN()-COLUMN(gantt_Origin))-1)*IF(GanttPeriod&gt;=90,3,1)))</f>
        <v/>
      </c>
      <c r="KX5" s="81">
        <f>IF(GanttPeriod&lt;28,GanttStart+((COLUMN()-COLUMN(gantt_Origin))-1)*GanttPeriod,EDATE(DATE(YEAR(GanttStart),MONTH(GanttStart)-IF(GanttPeriod&gt;=90,MOD(MONTH(GanttStart)-1,3),0),1),((COLUMN()-COLUMN(gantt_Origin))-1)*IF(GanttPeriod&gt;=90,3,1)))</f>
        <v/>
      </c>
      <c r="KY5" s="81">
        <f>IF(GanttPeriod&lt;28,GanttStart+((COLUMN()-COLUMN(gantt_Origin))-1)*GanttPeriod,EDATE(DATE(YEAR(GanttStart),MONTH(GanttStart)-IF(GanttPeriod&gt;=90,MOD(MONTH(GanttStart)-1,3),0),1),((COLUMN()-COLUMN(gantt_Origin))-1)*IF(GanttPeriod&gt;=90,3,1)))</f>
        <v/>
      </c>
      <c r="KZ5" s="81">
        <f>IF(GanttPeriod&lt;28,GanttStart+((COLUMN()-COLUMN(gantt_Origin))-1)*GanttPeriod,EDATE(DATE(YEAR(GanttStart),MONTH(GanttStart)-IF(GanttPeriod&gt;=90,MOD(MONTH(GanttStart)-1,3),0),1),((COLUMN()-COLUMN(gantt_Origin))-1)*IF(GanttPeriod&gt;=90,3,1)))</f>
        <v/>
      </c>
      <c r="LA5" s="81">
        <f>IF(GanttPeriod&lt;28,GanttStart+((COLUMN()-COLUMN(gantt_Origin))-1)*GanttPeriod,EDATE(DATE(YEAR(GanttStart),MONTH(GanttStart)-IF(GanttPeriod&gt;=90,MOD(MONTH(GanttStart)-1,3),0),1),((COLUMN()-COLUMN(gantt_Origin))-1)*IF(GanttPeriod&gt;=90,3,1)))</f>
        <v/>
      </c>
      <c r="LB5" s="81">
        <f>IF(GanttPeriod&lt;28,GanttStart+((COLUMN()-COLUMN(gantt_Origin))-1)*GanttPeriod,EDATE(DATE(YEAR(GanttStart),MONTH(GanttStart)-IF(GanttPeriod&gt;=90,MOD(MONTH(GanttStart)-1,3),0),1),((COLUMN()-COLUMN(gantt_Origin))-1)*IF(GanttPeriod&gt;=90,3,1)))</f>
        <v/>
      </c>
      <c r="LC5" s="81">
        <f>IF(GanttPeriod&lt;28,GanttStart+((COLUMN()-COLUMN(gantt_Origin))-1)*GanttPeriod,EDATE(DATE(YEAR(GanttStart),MONTH(GanttStart)-IF(GanttPeriod&gt;=90,MOD(MONTH(GanttStart)-1,3),0),1),((COLUMN()-COLUMN(gantt_Origin))-1)*IF(GanttPeriod&gt;=90,3,1)))</f>
        <v/>
      </c>
      <c r="LD5" s="81">
        <f>IF(GanttPeriod&lt;28,GanttStart+((COLUMN()-COLUMN(gantt_Origin))-1)*GanttPeriod,EDATE(DATE(YEAR(GanttStart),MONTH(GanttStart)-IF(GanttPeriod&gt;=90,MOD(MONTH(GanttStart)-1,3),0),1),((COLUMN()-COLUMN(gantt_Origin))-1)*IF(GanttPeriod&gt;=90,3,1)))</f>
        <v/>
      </c>
      <c r="LE5" s="81">
        <f>IF(GanttPeriod&lt;28,GanttStart+((COLUMN()-COLUMN(gantt_Origin))-1)*GanttPeriod,EDATE(DATE(YEAR(GanttStart),MONTH(GanttStart)-IF(GanttPeriod&gt;=90,MOD(MONTH(GanttStart)-1,3),0),1),((COLUMN()-COLUMN(gantt_Origin))-1)*IF(GanttPeriod&gt;=90,3,1)))</f>
        <v/>
      </c>
      <c r="LF5" s="81">
        <f>IF(GanttPeriod&lt;28,GanttStart+((COLUMN()-COLUMN(gantt_Origin))-1)*GanttPeriod,EDATE(DATE(YEAR(GanttStart),MONTH(GanttStart)-IF(GanttPeriod&gt;=90,MOD(MONTH(GanttStart)-1,3),0),1),((COLUMN()-COLUMN(gantt_Origin))-1)*IF(GanttPeriod&gt;=90,3,1)))</f>
        <v/>
      </c>
      <c r="LG5" s="81">
        <f>IF(GanttPeriod&lt;28,GanttStart+((COLUMN()-COLUMN(gantt_Origin))-1)*GanttPeriod,EDATE(DATE(YEAR(GanttStart),MONTH(GanttStart)-IF(GanttPeriod&gt;=90,MOD(MONTH(GanttStart)-1,3),0),1),((COLUMN()-COLUMN(gantt_Origin))-1)*IF(GanttPeriod&gt;=90,3,1)))</f>
        <v/>
      </c>
      <c r="LH5" s="81">
        <f>IF(GanttPeriod&lt;28,GanttStart+((COLUMN()-COLUMN(gantt_Origin))-1)*GanttPeriod,EDATE(DATE(YEAR(GanttStart),MONTH(GanttStart)-IF(GanttPeriod&gt;=90,MOD(MONTH(GanttStart)-1,3),0),1),((COLUMN()-COLUMN(gantt_Origin))-1)*IF(GanttPeriod&gt;=90,3,1)))</f>
        <v/>
      </c>
      <c r="LI5" s="81">
        <f>IF(GanttPeriod&lt;28,GanttStart+((COLUMN()-COLUMN(gantt_Origin))-1)*GanttPeriod,EDATE(DATE(YEAR(GanttStart),MONTH(GanttStart)-IF(GanttPeriod&gt;=90,MOD(MONTH(GanttStart)-1,3),0),1),((COLUMN()-COLUMN(gantt_Origin))-1)*IF(GanttPeriod&gt;=90,3,1)))</f>
        <v/>
      </c>
      <c r="LJ5" s="81">
        <f>IF(GanttPeriod&lt;28,GanttStart+((COLUMN()-COLUMN(gantt_Origin))-1)*GanttPeriod,EDATE(DATE(YEAR(GanttStart),MONTH(GanttStart)-IF(GanttPeriod&gt;=90,MOD(MONTH(GanttStart)-1,3),0),1),((COLUMN()-COLUMN(gantt_Origin))-1)*IF(GanttPeriod&gt;=90,3,1)))</f>
        <v/>
      </c>
      <c r="LK5" s="81">
        <f>IF(GanttPeriod&lt;28,GanttStart+((COLUMN()-COLUMN(gantt_Origin))-1)*GanttPeriod,EDATE(DATE(YEAR(GanttStart),MONTH(GanttStart)-IF(GanttPeriod&gt;=90,MOD(MONTH(GanttStart)-1,3),0),1),((COLUMN()-COLUMN(gantt_Origin))-1)*IF(GanttPeriod&gt;=90,3,1)))</f>
        <v/>
      </c>
      <c r="LL5" s="81">
        <f>IF(GanttPeriod&lt;28,GanttStart+((COLUMN()-COLUMN(gantt_Origin))-1)*GanttPeriod,EDATE(DATE(YEAR(GanttStart),MONTH(GanttStart)-IF(GanttPeriod&gt;=90,MOD(MONTH(GanttStart)-1,3),0),1),((COLUMN()-COLUMN(gantt_Origin))-1)*IF(GanttPeriod&gt;=90,3,1)))</f>
        <v/>
      </c>
      <c r="LM5" s="81">
        <f>IF(GanttPeriod&lt;28,GanttStart+((COLUMN()-COLUMN(gantt_Origin))-1)*GanttPeriod,EDATE(DATE(YEAR(GanttStart),MONTH(GanttStart)-IF(GanttPeriod&gt;=90,MOD(MONTH(GanttStart)-1,3),0),1),((COLUMN()-COLUMN(gantt_Origin))-1)*IF(GanttPeriod&gt;=90,3,1)))</f>
        <v/>
      </c>
      <c r="LN5" s="81">
        <f>IF(GanttPeriod&lt;28,GanttStart+((COLUMN()-COLUMN(gantt_Origin))-1)*GanttPeriod,EDATE(DATE(YEAR(GanttStart),MONTH(GanttStart)-IF(GanttPeriod&gt;=90,MOD(MONTH(GanttStart)-1,3),0),1),((COLUMN()-COLUMN(gantt_Origin))-1)*IF(GanttPeriod&gt;=90,3,1)))</f>
        <v/>
      </c>
      <c r="LO5" s="81">
        <f>IF(GanttPeriod&lt;28,GanttStart+((COLUMN()-COLUMN(gantt_Origin))-1)*GanttPeriod,EDATE(DATE(YEAR(GanttStart),MONTH(GanttStart)-IF(GanttPeriod&gt;=90,MOD(MONTH(GanttStart)-1,3),0),1),((COLUMN()-COLUMN(gantt_Origin))-1)*IF(GanttPeriod&gt;=90,3,1)))</f>
        <v/>
      </c>
      <c r="LP5" s="81">
        <f>IF(GanttPeriod&lt;28,GanttStart+((COLUMN()-COLUMN(gantt_Origin))-1)*GanttPeriod,EDATE(DATE(YEAR(GanttStart),MONTH(GanttStart)-IF(GanttPeriod&gt;=90,MOD(MONTH(GanttStart)-1,3),0),1),((COLUMN()-COLUMN(gantt_Origin))-1)*IF(GanttPeriod&gt;=90,3,1)))</f>
        <v/>
      </c>
      <c r="LQ5" s="81">
        <f>IF(GanttPeriod&lt;28,GanttStart+((COLUMN()-COLUMN(gantt_Origin))-1)*GanttPeriod,EDATE(DATE(YEAR(GanttStart),MONTH(GanttStart)-IF(GanttPeriod&gt;=90,MOD(MONTH(GanttStart)-1,3),0),1),((COLUMN()-COLUMN(gantt_Origin))-1)*IF(GanttPeriod&gt;=90,3,1)))</f>
        <v/>
      </c>
      <c r="LR5" s="81">
        <f>IF(GanttPeriod&lt;28,GanttStart+((COLUMN()-COLUMN(gantt_Origin))-1)*GanttPeriod,EDATE(DATE(YEAR(GanttStart),MONTH(GanttStart)-IF(GanttPeriod&gt;=90,MOD(MONTH(GanttStart)-1,3),0),1),((COLUMN()-COLUMN(gantt_Origin))-1)*IF(GanttPeriod&gt;=90,3,1)))</f>
        <v/>
      </c>
      <c r="LS5" s="81">
        <f>IF(GanttPeriod&lt;28,GanttStart+((COLUMN()-COLUMN(gantt_Origin))-1)*GanttPeriod,EDATE(DATE(YEAR(GanttStart),MONTH(GanttStart)-IF(GanttPeriod&gt;=90,MOD(MONTH(GanttStart)-1,3),0),1),((COLUMN()-COLUMN(gantt_Origin))-1)*IF(GanttPeriod&gt;=90,3,1)))</f>
        <v/>
      </c>
      <c r="LT5" s="81">
        <f>IF(GanttPeriod&lt;28,GanttStart+((COLUMN()-COLUMN(gantt_Origin))-1)*GanttPeriod,EDATE(DATE(YEAR(GanttStart),MONTH(GanttStart)-IF(GanttPeriod&gt;=90,MOD(MONTH(GanttStart)-1,3),0),1),((COLUMN()-COLUMN(gantt_Origin))-1)*IF(GanttPeriod&gt;=90,3,1)))</f>
        <v/>
      </c>
      <c r="LU5" s="81">
        <f>IF(GanttPeriod&lt;28,GanttStart+((COLUMN()-COLUMN(gantt_Origin))-1)*GanttPeriod,EDATE(DATE(YEAR(GanttStart),MONTH(GanttStart)-IF(GanttPeriod&gt;=90,MOD(MONTH(GanttStart)-1,3),0),1),((COLUMN()-COLUMN(gantt_Origin))-1)*IF(GanttPeriod&gt;=90,3,1)))</f>
        <v/>
      </c>
      <c r="LV5" s="81">
        <f>IF(GanttPeriod&lt;28,GanttStart+((COLUMN()-COLUMN(gantt_Origin))-1)*GanttPeriod,EDATE(DATE(YEAR(GanttStart),MONTH(GanttStart)-IF(GanttPeriod&gt;=90,MOD(MONTH(GanttStart)-1,3),0),1),((COLUMN()-COLUMN(gantt_Origin))-1)*IF(GanttPeriod&gt;=90,3,1)))</f>
        <v/>
      </c>
      <c r="LW5" s="81">
        <f>IF(GanttPeriod&lt;28,GanttStart+((COLUMN()-COLUMN(gantt_Origin))-1)*GanttPeriod,EDATE(DATE(YEAR(GanttStart),MONTH(GanttStart)-IF(GanttPeriod&gt;=90,MOD(MONTH(GanttStart)-1,3),0),1),((COLUMN()-COLUMN(gantt_Origin))-1)*IF(GanttPeriod&gt;=90,3,1)))</f>
        <v/>
      </c>
      <c r="LX5" s="81">
        <f>IF(GanttPeriod&lt;28,GanttStart+((COLUMN()-COLUMN(gantt_Origin))-1)*GanttPeriod,EDATE(DATE(YEAR(GanttStart),MONTH(GanttStart)-IF(GanttPeriod&gt;=90,MOD(MONTH(GanttStart)-1,3),0),1),((COLUMN()-COLUMN(gantt_Origin))-1)*IF(GanttPeriod&gt;=90,3,1)))</f>
        <v/>
      </c>
      <c r="LY5" s="81">
        <f>IF(GanttPeriod&lt;28,GanttStart+((COLUMN()-COLUMN(gantt_Origin))-1)*GanttPeriod,EDATE(DATE(YEAR(GanttStart),MONTH(GanttStart)-IF(GanttPeriod&gt;=90,MOD(MONTH(GanttStart)-1,3),0),1),((COLUMN()-COLUMN(gantt_Origin))-1)*IF(GanttPeriod&gt;=90,3,1)))</f>
        <v/>
      </c>
      <c r="LZ5" s="81">
        <f>IF(GanttPeriod&lt;28,GanttStart+((COLUMN()-COLUMN(gantt_Origin))-1)*GanttPeriod,EDATE(DATE(YEAR(GanttStart),MONTH(GanttStart)-IF(GanttPeriod&gt;=90,MOD(MONTH(GanttStart)-1,3),0),1),((COLUMN()-COLUMN(gantt_Origin))-1)*IF(GanttPeriod&gt;=90,3,1)))</f>
        <v/>
      </c>
      <c r="MA5" s="81">
        <f>IF(GanttPeriod&lt;28,GanttStart+((COLUMN()-COLUMN(gantt_Origin))-1)*GanttPeriod,EDATE(DATE(YEAR(GanttStart),MONTH(GanttStart)-IF(GanttPeriod&gt;=90,MOD(MONTH(GanttStart)-1,3),0),1),((COLUMN()-COLUMN(gantt_Origin))-1)*IF(GanttPeriod&gt;=90,3,1)))</f>
        <v/>
      </c>
      <c r="MB5" s="81">
        <f>IF(GanttPeriod&lt;28,GanttStart+((COLUMN()-COLUMN(gantt_Origin))-1)*GanttPeriod,EDATE(DATE(YEAR(GanttStart),MONTH(GanttStart)-IF(GanttPeriod&gt;=90,MOD(MONTH(GanttStart)-1,3),0),1),((COLUMN()-COLUMN(gantt_Origin))-1)*IF(GanttPeriod&gt;=90,3,1)))</f>
        <v/>
      </c>
      <c r="MC5" s="81">
        <f>IF(GanttPeriod&lt;28,GanttStart+((COLUMN()-COLUMN(gantt_Origin))-1)*GanttPeriod,EDATE(DATE(YEAR(GanttStart),MONTH(GanttStart)-IF(GanttPeriod&gt;=90,MOD(MONTH(GanttStart)-1,3),0),1),((COLUMN()-COLUMN(gantt_Origin))-1)*IF(GanttPeriod&gt;=90,3,1)))</f>
        <v/>
      </c>
      <c r="MD5" s="81">
        <f>IF(GanttPeriod&lt;28,GanttStart+((COLUMN()-COLUMN(gantt_Origin))-1)*GanttPeriod,EDATE(DATE(YEAR(GanttStart),MONTH(GanttStart)-IF(GanttPeriod&gt;=90,MOD(MONTH(GanttStart)-1,3),0),1),((COLUMN()-COLUMN(gantt_Origin))-1)*IF(GanttPeriod&gt;=90,3,1)))</f>
        <v/>
      </c>
      <c r="ME5" s="81">
        <f>IF(GanttPeriod&lt;28,GanttStart+((COLUMN()-COLUMN(gantt_Origin))-1)*GanttPeriod,EDATE(DATE(YEAR(GanttStart),MONTH(GanttStart)-IF(GanttPeriod&gt;=90,MOD(MONTH(GanttStart)-1,3),0),1),((COLUMN()-COLUMN(gantt_Origin))-1)*IF(GanttPeriod&gt;=90,3,1)))</f>
        <v/>
      </c>
      <c r="MF5" s="81">
        <f>IF(GanttPeriod&lt;28,GanttStart+((COLUMN()-COLUMN(gantt_Origin))-1)*GanttPeriod,EDATE(DATE(YEAR(GanttStart),MONTH(GanttStart)-IF(GanttPeriod&gt;=90,MOD(MONTH(GanttStart)-1,3),0),1),((COLUMN()-COLUMN(gantt_Origin))-1)*IF(GanttPeriod&gt;=90,3,1)))</f>
        <v/>
      </c>
      <c r="MG5" s="81">
        <f>IF(GanttPeriod&lt;28,GanttStart+((COLUMN()-COLUMN(gantt_Origin))-1)*GanttPeriod,EDATE(DATE(YEAR(GanttStart),MONTH(GanttStart)-IF(GanttPeriod&gt;=90,MOD(MONTH(GanttStart)-1,3),0),1),((COLUMN()-COLUMN(gantt_Origin))-1)*IF(GanttPeriod&gt;=90,3,1)))</f>
        <v/>
      </c>
      <c r="MH5" s="81">
        <f>IF(GanttPeriod&lt;28,GanttStart+((COLUMN()-COLUMN(gantt_Origin))-1)*GanttPeriod,EDATE(DATE(YEAR(GanttStart),MONTH(GanttStart)-IF(GanttPeriod&gt;=90,MOD(MONTH(GanttStart)-1,3),0),1),((COLUMN()-COLUMN(gantt_Origin))-1)*IF(GanttPeriod&gt;=90,3,1)))</f>
        <v/>
      </c>
      <c r="MI5" s="81">
        <f>IF(GanttPeriod&lt;28,GanttStart+((COLUMN()-COLUMN(gantt_Origin))-1)*GanttPeriod,EDATE(DATE(YEAR(GanttStart),MONTH(GanttStart)-IF(GanttPeriod&gt;=90,MOD(MONTH(GanttStart)-1,3),0),1),((COLUMN()-COLUMN(gantt_Origin))-1)*IF(GanttPeriod&gt;=90,3,1)))</f>
        <v/>
      </c>
      <c r="MJ5" s="81">
        <f>IF(GanttPeriod&lt;28,GanttStart+((COLUMN()-COLUMN(gantt_Origin))-1)*GanttPeriod,EDATE(DATE(YEAR(GanttStart),MONTH(GanttStart)-IF(GanttPeriod&gt;=90,MOD(MONTH(GanttStart)-1,3),0),1),((COLUMN()-COLUMN(gantt_Origin))-1)*IF(GanttPeriod&gt;=90,3,1)))</f>
        <v/>
      </c>
      <c r="MK5" s="81">
        <f>IF(GanttPeriod&lt;28,GanttStart+((COLUMN()-COLUMN(gantt_Origin))-1)*GanttPeriod,EDATE(DATE(YEAR(GanttStart),MONTH(GanttStart)-IF(GanttPeriod&gt;=90,MOD(MONTH(GanttStart)-1,3),0),1),((COLUMN()-COLUMN(gantt_Origin))-1)*IF(GanttPeriod&gt;=90,3,1)))</f>
        <v/>
      </c>
      <c r="ML5" s="81">
        <f>IF(GanttPeriod&lt;28,GanttStart+((COLUMN()-COLUMN(gantt_Origin))-1)*GanttPeriod,EDATE(DATE(YEAR(GanttStart),MONTH(GanttStart)-IF(GanttPeriod&gt;=90,MOD(MONTH(GanttStart)-1,3),0),1),((COLUMN()-COLUMN(gantt_Origin))-1)*IF(GanttPeriod&gt;=90,3,1)))</f>
        <v/>
      </c>
      <c r="MM5" s="81">
        <f>IF(GanttPeriod&lt;28,GanttStart+((COLUMN()-COLUMN(gantt_Origin))-1)*GanttPeriod,EDATE(DATE(YEAR(GanttStart),MONTH(GanttStart)-IF(GanttPeriod&gt;=90,MOD(MONTH(GanttStart)-1,3),0),1),((COLUMN()-COLUMN(gantt_Origin))-1)*IF(GanttPeriod&gt;=90,3,1)))</f>
        <v/>
      </c>
      <c r="MN5" s="81">
        <f>IF(GanttPeriod&lt;28,GanttStart+((COLUMN()-COLUMN(gantt_Origin))-1)*GanttPeriod,EDATE(DATE(YEAR(GanttStart),MONTH(GanttStart)-IF(GanttPeriod&gt;=90,MOD(MONTH(GanttStart)-1,3),0),1),((COLUMN()-COLUMN(gantt_Origin))-1)*IF(GanttPeriod&gt;=90,3,1)))</f>
        <v/>
      </c>
      <c r="MO5" s="81">
        <f>IF(GanttPeriod&lt;28,GanttStart+((COLUMN()-COLUMN(gantt_Origin))-1)*GanttPeriod,EDATE(DATE(YEAR(GanttStart),MONTH(GanttStart)-IF(GanttPeriod&gt;=90,MOD(MONTH(GanttStart)-1,3),0),1),((COLUMN()-COLUMN(gantt_Origin))-1)*IF(GanttPeriod&gt;=90,3,1)))</f>
        <v/>
      </c>
      <c r="MP5" s="81">
        <f>IF(GanttPeriod&lt;28,GanttStart+((COLUMN()-COLUMN(gantt_Origin))-1)*GanttPeriod,EDATE(DATE(YEAR(GanttStart),MONTH(GanttStart)-IF(GanttPeriod&gt;=90,MOD(MONTH(GanttStart)-1,3),0),1),((COLUMN()-COLUMN(gantt_Origin))-1)*IF(GanttPeriod&gt;=90,3,1)))</f>
        <v/>
      </c>
      <c r="MQ5" s="81">
        <f>IF(GanttPeriod&lt;28,GanttStart+((COLUMN()-COLUMN(gantt_Origin))-1)*GanttPeriod,EDATE(DATE(YEAR(GanttStart),MONTH(GanttStart)-IF(GanttPeriod&gt;=90,MOD(MONTH(GanttStart)-1,3),0),1),((COLUMN()-COLUMN(gantt_Origin))-1)*IF(GanttPeriod&gt;=90,3,1)))</f>
        <v/>
      </c>
      <c r="MR5" s="81">
        <f>IF(GanttPeriod&lt;28,GanttStart+((COLUMN()-COLUMN(gantt_Origin))-1)*GanttPeriod,EDATE(DATE(YEAR(GanttStart),MONTH(GanttStart)-IF(GanttPeriod&gt;=90,MOD(MONTH(GanttStart)-1,3),0),1),((COLUMN()-COLUMN(gantt_Origin))-1)*IF(GanttPeriod&gt;=90,3,1)))</f>
        <v/>
      </c>
      <c r="MS5" s="81">
        <f>IF(GanttPeriod&lt;28,GanttStart+((COLUMN()-COLUMN(gantt_Origin))-1)*GanttPeriod,EDATE(DATE(YEAR(GanttStart),MONTH(GanttStart)-IF(GanttPeriod&gt;=90,MOD(MONTH(GanttStart)-1,3),0),1),((COLUMN()-COLUMN(gantt_Origin))-1)*IF(GanttPeriod&gt;=90,3,1)))</f>
        <v/>
      </c>
      <c r="MT5" s="81">
        <f>IF(GanttPeriod&lt;28,GanttStart+((COLUMN()-COLUMN(gantt_Origin))-1)*GanttPeriod,EDATE(DATE(YEAR(GanttStart),MONTH(GanttStart)-IF(GanttPeriod&gt;=90,MOD(MONTH(GanttStart)-1,3),0),1),((COLUMN()-COLUMN(gantt_Origin))-1)*IF(GanttPeriod&gt;=90,3,1)))</f>
        <v/>
      </c>
      <c r="MU5" s="81">
        <f>IF(GanttPeriod&lt;28,GanttStart+((COLUMN()-COLUMN(gantt_Origin))-1)*GanttPeriod,EDATE(DATE(YEAR(GanttStart),MONTH(GanttStart)-IF(GanttPeriod&gt;=90,MOD(MONTH(GanttStart)-1,3),0),1),((COLUMN()-COLUMN(gantt_Origin))-1)*IF(GanttPeriod&gt;=90,3,1)))</f>
        <v/>
      </c>
      <c r="MV5" s="81">
        <f>IF(GanttPeriod&lt;28,GanttStart+((COLUMN()-COLUMN(gantt_Origin))-1)*GanttPeriod,EDATE(DATE(YEAR(GanttStart),MONTH(GanttStart)-IF(GanttPeriod&gt;=90,MOD(MONTH(GanttStart)-1,3),0),1),((COLUMN()-COLUMN(gantt_Origin))-1)*IF(GanttPeriod&gt;=90,3,1)))</f>
        <v/>
      </c>
      <c r="MW5" s="81">
        <f>IF(GanttPeriod&lt;28,GanttStart+((COLUMN()-COLUMN(gantt_Origin))-1)*GanttPeriod,EDATE(DATE(YEAR(GanttStart),MONTH(GanttStart)-IF(GanttPeriod&gt;=90,MOD(MONTH(GanttStart)-1,3),0),1),((COLUMN()-COLUMN(gantt_Origin))-1)*IF(GanttPeriod&gt;=90,3,1)))</f>
        <v/>
      </c>
      <c r="MX5" s="81">
        <f>IF(GanttPeriod&lt;28,GanttStart+((COLUMN()-COLUMN(gantt_Origin))-1)*GanttPeriod,EDATE(DATE(YEAR(GanttStart),MONTH(GanttStart)-IF(GanttPeriod&gt;=90,MOD(MONTH(GanttStart)-1,3),0),1),((COLUMN()-COLUMN(gantt_Origin))-1)*IF(GanttPeriod&gt;=90,3,1)))</f>
        <v/>
      </c>
      <c r="MY5" s="81">
        <f>IF(GanttPeriod&lt;28,GanttStart+((COLUMN()-COLUMN(gantt_Origin))-1)*GanttPeriod,EDATE(DATE(YEAR(GanttStart),MONTH(GanttStart)-IF(GanttPeriod&gt;=90,MOD(MONTH(GanttStart)-1,3),0),1),((COLUMN()-COLUMN(gantt_Origin))-1)*IF(GanttPeriod&gt;=90,3,1)))</f>
        <v/>
      </c>
      <c r="MZ5" s="81">
        <f>IF(GanttPeriod&lt;28,GanttStart+((COLUMN()-COLUMN(gantt_Origin))-1)*GanttPeriod,EDATE(DATE(YEAR(GanttStart),MONTH(GanttStart)-IF(GanttPeriod&gt;=90,MOD(MONTH(GanttStart)-1,3),0),1),((COLUMN()-COLUMN(gantt_Origin))-1)*IF(GanttPeriod&gt;=90,3,1)))</f>
        <v/>
      </c>
      <c r="NA5" s="81">
        <f>IF(GanttPeriod&lt;28,GanttStart+((COLUMN()-COLUMN(gantt_Origin))-1)*GanttPeriod,EDATE(DATE(YEAR(GanttStart),MONTH(GanttStart)-IF(GanttPeriod&gt;=90,MOD(MONTH(GanttStart)-1,3),0),1),((COLUMN()-COLUMN(gantt_Origin))-1)*IF(GanttPeriod&gt;=90,3,1)))</f>
        <v/>
      </c>
      <c r="NB5" s="81">
        <f>IF(GanttPeriod&lt;28,GanttStart+((COLUMN()-COLUMN(gantt_Origin))-1)*GanttPeriod,EDATE(DATE(YEAR(GanttStart),MONTH(GanttStart)-IF(GanttPeriod&gt;=90,MOD(MONTH(GanttStart)-1,3),0),1),((COLUMN()-COLUMN(gantt_Origin))-1)*IF(GanttPeriod&gt;=90,3,1)))</f>
        <v/>
      </c>
    </row>
    <row r="6">
      <c r="A6" s="21">
        <f>IF(Tasks[[#This Row],[Task Name]]="","",COUNTA(Tasks[[#Headers],[Task Name]]:Tasks[[#This Row],[Task Name]])-1)</f>
        <v/>
      </c>
      <c r="B6" s="22" t="n">
        <v>1</v>
      </c>
      <c r="C6" s="22" t="n">
        <v>1</v>
      </c>
      <c r="D6" s="23" t="inlineStr">
        <is>
          <t>Initiation</t>
        </is>
      </c>
      <c r="E6" s="22" t="n"/>
      <c r="F6" s="23" t="n"/>
      <c r="G6" s="22" t="n"/>
      <c r="H6" s="22" t="n"/>
      <c r="I6" s="23" t="n"/>
      <c r="J6" s="22" t="n"/>
      <c r="K6" s="22" t="n"/>
      <c r="L6" s="23" t="n"/>
      <c r="M6" s="22" t="n"/>
      <c r="N6" s="22" t="n"/>
      <c r="O6" s="23" t="n"/>
      <c r="P6" s="22" t="n"/>
      <c r="Q6" s="22" t="n"/>
      <c r="R6" s="23" t="n"/>
      <c r="S6" s="23" t="n"/>
      <c r="T6" s="82" t="n"/>
      <c r="U6" s="23" t="n"/>
      <c r="V6" s="82" t="n"/>
      <c r="W6" s="23" t="n"/>
      <c r="X6" s="82" t="n"/>
      <c r="Y6" s="23" t="n"/>
      <c r="Z6" s="82" t="n"/>
      <c r="AA6" s="23" t="n"/>
      <c r="AB6" s="23" t="n"/>
      <c r="AC6" s="7" t="n"/>
      <c r="AD6" s="7" t="n"/>
      <c r="AE6" s="61">
        <f>IF(Tasks[[#This Row],[Task Name]]="","",IF(Tasks[[#This Row],[_IsSummary]],MIN(INDEX(Tasks[_ShownFcstStart],Tasks[[#This Row],[_Row]]+1):INDEX(Tasks[_ShownFcstStart],Tasks[[#This Row],[_Row]]+Tasks[[#This Row],[_Descendants]])),Tasks[[#This Row],[_ShownFcstStart]]))</f>
        <v/>
      </c>
      <c r="AF6" s="61">
        <f>IF(Tasks[[#This Row],[Task Name]]="","",IF(Tasks[[#This Row],[_IsSummary]],MAX(INDEX(Tasks[_ShownFcstFinish],Tasks[[#This Row],[_Row]]+1):INDEX(Tasks[_ShownFcstFinish],Tasks[[#This Row],[_Row]]+Tasks[[#This Row],[_Descendants]])),Tasks[[#This Row],[_ShownFcstFinish]]))</f>
        <v/>
      </c>
      <c r="AG6" s="21">
        <f>""</f>
        <v/>
      </c>
      <c r="AH6" s="23" t="inlineStr">
        <is>
          <t>Phase 1 - summary rows roll up dates, work, cost and progress automatically.</t>
        </is>
      </c>
      <c r="AI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 s="7" t="n"/>
      <c r="AK6" s="22" t="inlineStr">
        <is>
          <t>Auto</t>
        </is>
      </c>
      <c r="AL6" s="23" t="n"/>
      <c r="AM6" s="7" t="n"/>
      <c r="AN6" s="21">
        <f>IF(Tasks[[#This Row],[Task Name]]="","",IF(Tasks[[#This Row],[Finish]]&gt;=Tasks[[#This Row],[Planned Finish]],NETWORKDAYS.INTL(Tasks[[#This Row],[Planned Finish]],Tasks[[#This Row],[Finish]],WorkWeek,Holidays)-1,1-NETWORKDAYS.INTL(Tasks[[#This Row],[Finish]],Tasks[[#This Row],[Planned Finish]],WorkWeek,Holidays)))</f>
        <v/>
      </c>
      <c r="AO6" s="21">
        <f>IF(Tasks[[#This Row],[Task Name]]="","",IF(Tasks[[#This Row],[Progress]]&gt;=1,"Complete",IF(OR(N(Tasks[[#This Row],[Actual Start]])&gt;0,Tasks[[#This Row],[Progress]]&gt;0),IF(Tasks[[#This Row],[Finish Var]]&gt;0,"Behind","In Progress"),IF(Tasks[[#This Row],[Planned Start]]&lt;StatusDate,"Late Start","Not Started"))))</f>
        <v/>
      </c>
      <c r="AP6" s="21">
        <f>IF(Tasks[[#This Row],[Task Name]]="","",IF(IF(Tasks[[#This Row],[_IsSummary]],COUNTIF(INDEX(Tasks[_LeafCritical],Tasks[[#This Row],[_Row]]+1):INDEX(Tasks[_LeafCritical],Tasks[[#This Row],[_Row]]+Tasks[[#This Row],[_Descendants]]),TRUE())&gt;0,Tasks[[#This Row],[_LeafCritical]]),"Yes",""))</f>
        <v/>
      </c>
      <c r="AQ6" s="61">
        <f>IF(Tasks[[#This Row],[Task Name]]="","",IF(N(Tasks[[#This Row],[Baseline Start]])&gt;0,Tasks[[#This Row],[Baseline Start]],Tasks[[#This Row],[_CalcStart]]))</f>
        <v/>
      </c>
      <c r="AR6" s="61">
        <f>IF(Tasks[[#This Row],[Task Name]]="","",IF(N(Tasks[[#This Row],[Baseline Finish]])&gt;0,Tasks[[#This Row],[Baseline Finish]],Tasks[[#This Row],[_CalcFinish]]))</f>
        <v/>
      </c>
      <c r="AS6" s="21">
        <f>IF(Tasks[[#This Row],[Task Name]]="","",IF(Tasks[[#This Row],[Start]]&gt;=Tasks[[#This Row],[Planned Start]],NETWORKDAYS.INTL(Tasks[[#This Row],[Planned Start]],Tasks[[#This Row],[Start]],WorkWeek,Holidays)-1,1-NETWORKDAYS.INTL(Tasks[[#This Row],[Start]],Tasks[[#This Row],[Planned Start]],WorkWeek,Holidays)))</f>
        <v/>
      </c>
      <c r="AT6" s="61">
        <f>IF(Tasks[[#This Row],[Task Name]]="","",IF(Tasks[[#This Row],[_IsSummary]],MIN(INDEX(Tasks[_LeafLateStart],Tasks[[#This Row],[_Row]]+1):INDEX(Tasks[_LeafLateStart],Tasks[[#This Row],[_Row]]+Tasks[[#This Row],[_Descendants]])),Tasks[[#This Row],[_LeafLateStart]]))</f>
        <v/>
      </c>
      <c r="AU6" s="61">
        <f>IF(Tasks[[#This Row],[Task Name]]="","",IF(Tasks[[#This Row],[_IsSummary]],MAX(INDEX(Tasks[_LeafLateFinish],Tasks[[#This Row],[_Row]]+1):INDEX(Tasks[_LeafLateFinish],Tasks[[#This Row],[_Row]]+Tasks[[#This Row],[_Descendants]])),Tasks[[#This Row],[_LeafLateFinish]]))</f>
        <v/>
      </c>
      <c r="AV6" s="21">
        <f>IF(Tasks[[#This Row],[Task Name]]="","",IF(Tasks[[#This Row],[_IsSummary]],MIN(INDEX(Tasks[_LeafTotalSlack],Tasks[[#This Row],[_Row]]+1):INDEX(Tasks[_LeafTotalSlack],Tasks[[#This Row],[_Row]]+Tasks[[#This Row],[_Descendants]])),Tasks[[#This Row],[_LeafTotalSlack]]))</f>
        <v/>
      </c>
      <c r="AW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3" t="n"/>
      <c r="BA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 s="21">
        <f>IF(Tasks[[#This Row],[Task Name]]="","",IF(Tasks[[#This Row],[_Level]]&lt;=OutlineShowLevel,"Yes","No"))</f>
        <v/>
      </c>
      <c r="BE6" s="84">
        <f>IF(Tasks[[#This Row],[Task Name]]="","",IF(Tasks[[#This Row],[_IsSummary]],SUM(INDEX(Tasks[_LeafTotalWork],Tasks[[#This Row],[_Row]]+1):INDEX(Tasks[_LeafTotalWork],Tasks[[#This Row],[_Row]]+Tasks[[#This Row],[_Descendants]])),Tasks[[#This Row],[_LeafTotalWork]]))</f>
        <v/>
      </c>
      <c r="BF6" s="23" t="inlineStr">
        <is>
          <t>Priya Sharma</t>
        </is>
      </c>
      <c r="BG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f>""</f>
        <v/>
      </c>
      <c r="BI6" s="85" t="n"/>
      <c r="BJ6" s="22" t="n"/>
      <c r="BK6" s="21">
        <f>IF(OR(Tasks[[#This Row],[Task Name]]="",Tasks[[#This Row],[Baseline Duration]]=""),"",Tasks[[#This Row],[_SpanDays]]-N(Tasks[[#This Row],[Baseline Duration]]))</f>
        <v/>
      </c>
      <c r="BL6" s="84">
        <f>IF(OR(Tasks[[#This Row],[Task Name]]="",Tasks[[#This Row],[Baseline Work]]=""),"",Tasks[[#This Row],[Work]]-N(Tasks[[#This Row],[Baseline Work]]))</f>
        <v/>
      </c>
      <c r="BM6" s="61">
        <f>IF(Tasks[[#This Row],[Task Name]]="","",IF(OR(TakeBaseline="Yes",N(Tasks[[#This Row],[Baseline Start]])=0),Tasks[[#This Row],[Start]],Tasks[[#This Row],[Baseline Start]]))</f>
        <v/>
      </c>
      <c r="BN6" s="61">
        <f>IF(Tasks[[#This Row],[Task Name]]="","",IF(OR(TakeBaseline="Yes",N(Tasks[[#This Row],[Baseline Finish]])=0),Tasks[[#This Row],[Finish]],Tasks[[#This Row],[Baseline Finish]]))</f>
        <v/>
      </c>
      <c r="BO6" s="21">
        <f>IF(Tasks[[#This Row],[Task Name]]="","",IF(OR(TakeBaseline="Yes",N(Tasks[[#This Row],[Baseline Duration]])=0),Tasks[[#This Row],[_SpanDays]],Tasks[[#This Row],[Baseline Duration]]))</f>
        <v/>
      </c>
      <c r="BP6" s="84">
        <f>IF(Tasks[[#This Row],[Task Name]]="","",IF(OR(TakeBaseline="Yes",N(Tasks[[#This Row],[Baseline Work]])=0),Tasks[[#This Row],[Work]],Tasks[[#This Row],[Baseline Work]]))</f>
        <v/>
      </c>
      <c r="BQ6" s="7" t="n">
        <v>46272</v>
      </c>
      <c r="BR6" s="7" t="n">
        <v>46276</v>
      </c>
      <c r="BS6" s="22" t="n">
        <v>5</v>
      </c>
      <c r="BT6" s="86" t="n">
        <v>40</v>
      </c>
      <c r="BU6" s="23" t="n"/>
      <c r="BV6" s="23" t="n"/>
      <c r="BW6" s="23" t="n"/>
      <c r="BX6" s="87">
        <f>IF(AND(Tasks[[#This Row],[_IsLeaf]]=1,ISNUMBER(Tasks[[#This Row],[Optimistic]]),ISNUMBER(Tasks[[#This Row],[Pessimistic]])),ROUND((Tasks[[#This Row],[Optimistic]]+4*N(Tasks[[#This Row],[_Days]])+Tasks[[#This Row],[Pessimistic]])/6,1),"")</f>
        <v/>
      </c>
      <c r="BY6" s="85" t="n"/>
      <c r="BZ6" s="85" t="n"/>
      <c r="CA6" s="22" t="n"/>
      <c r="CB6" s="42">
        <f>IF(Tasks[[#This Row],[Task Name]]="","",MAX(1,N(Tasks[[#This Row],[Level]])))</f>
        <v/>
      </c>
      <c r="CC6" s="42">
        <f>ROW()-ROW(Tasks[[#Headers],[ID]])</f>
        <v/>
      </c>
      <c r="CD6" s="42">
        <f>IF(OR(Tasks[[#This Row],[Task Name]]="",Tasks[[#This Row],[_Level]]&lt;=1),0,IFERROR(LOOKUP(2,1/(Tasks[[#Headers],[_Level]]:Tasks[[#This Row],[_Level]]=Tasks[[#This Row],[_Level]]-1),ROW(Tasks[[#Headers],[_Level]]:Tasks[[#This Row],[_Level]])),0))</f>
        <v/>
      </c>
      <c r="CE6" s="42">
        <f>IFERROR(N(INDEX(Tasks[_Level],Tasks[[#This Row],[_Row]]+1)),0)</f>
        <v/>
      </c>
      <c r="CF6" s="42">
        <f>AND(Tasks[[#This Row],[Task Name]]&lt;&gt;"",Tasks[[#This Row],[_NextLevel]]&gt;Tasks[[#This Row],[_Level]])</f>
        <v/>
      </c>
      <c r="CG6" s="42">
        <f>IF(Tasks[[#This Row],[_IsSummary]],COUNTIF(Tasks[WBS],Tasks[[#This Row],[WBS]]&amp;".*"),0)</f>
        <v/>
      </c>
      <c r="CH6" s="42">
        <f>IF(AND(Tasks[[#This Row],[Task Name]]&lt;&gt;"",NOT(Tasks[[#This Row],[_IsSummary]])),1,0)</f>
        <v/>
      </c>
      <c r="CI6" s="42">
        <f>IF(N(Tasks[[#This Row],[_Pred1UID]])=0,0,IFERROR(MATCH(Tasks[[#This Row],[_Pred1UID]],Tasks[UID],0),-1))</f>
        <v/>
      </c>
      <c r="CJ6" s="42">
        <f>IF(N(Tasks[[#This Row],[_Pred2UID]])=0,0,IFERROR(MATCH(Tasks[[#This Row],[_Pred2UID]],Tasks[UID],0),-1))</f>
        <v/>
      </c>
      <c r="CK6" s="42">
        <f>IF(N(Tasks[[#This Row],[_Pred3UID]])=0,0,IFERROR(MATCH(Tasks[[#This Row],[_Pred3UID]],Tasks[UID],0),-1))</f>
        <v/>
      </c>
      <c r="CL6" s="42">
        <f>IF(N(Tasks[[#This Row],[_Pred4UID]])=0,0,IFERROR(MATCH(Tasks[[#This Row],[_Pred4UID]],Tasks[UID],0),-1))</f>
        <v/>
      </c>
      <c r="CM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 s="88">
        <f>IF(N(Tasks[[#This Row],[Constraint Date]])=0,0,IF(AND(OR(Tasks[[#This Row],[_ConstraintCode]]=3,Tasks[[#This Row],[_ConstraintCode]]=6,Tasks[[#This Row],[_ConstraintCode]]=7),N(Tasks[[#This Row],[_Days]])&gt;1),WORKDAY.INTL(N(Tasks[[#This Row],[Constraint Date]]),-(N(Tasks[[#This Row],[_Days]])-1),WorkWeek,Holidays),N(Tasks[[#This Row],[Constraint Date]])))</f>
        <v/>
      </c>
      <c r="CO6" s="88">
        <f>IF(OR(Tasks[[#This Row],[_ConstraintCode]]=2,Tasks[[#This Row],[_ConstraintCode]]=3,Tasks[[#This Row],[_ConstraintCode]]=4,Tasks[[#This Row],[_ConstraintCode]]=6),Tasks[[#This Row],[_ConstraintStart]],0)</f>
        <v/>
      </c>
      <c r="CP6" s="88">
        <f>IF(OR(Tasks[[#This Row],[_ConstraintCode]]=2,Tasks[[#This Row],[_ConstraintCode]]=3,Tasks[[#This Row],[_ConstraintCode]]=5,Tasks[[#This Row],[_ConstraintCode]]=7),Tasks[[#This Row],[_ConstraintStart]],2958465)</f>
        <v/>
      </c>
      <c r="CQ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 s="88">
        <f>IF(NOT(Tasks[[#This Row],[_IsLeaf]]=1),"",IF(N(Tasks[[#This Row],[_Days]])&lt;=0,Tasks[[#This Row],[_LeafCalcStart]],WORKDAY.INTL(Tasks[[#This Row],[_LeafCalcStart]],Tasks[[#This Row],[_Days]]-1,WorkWeek,Holidays)))</f>
        <v/>
      </c>
      <c r="CS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 s="42">
        <f>IF(Tasks[[#This Row],[_Predecessors]]="","",TRIM(MID(SUBSTITUTE(SUBSTITUTE(SUBSTITUTE(UPPER(Tasks[[#This Row],[_Predecessors]]),";",",")," ",""),",",REPT(" ",99)),1,99)))</f>
        <v/>
      </c>
      <c r="CV6" s="42">
        <f>IF(Tasks[[#This Row],[_Pred1Text]]="","",IFERROR(VALUE(LEFT(Tasks[[#This Row],[_Pred1Text]],MIN(FIND("F",Tasks[[#This Row],[_Pred1Text]]&amp;"F"),FIND("S",Tasks[[#This Row],[_Pred1Text]]&amp;"S"),FIND("+",Tasks[[#This Row],[_Pred1Text]]&amp;"+"),FIND("-",Tasks[[#This Row],[_Pred1Text]]&amp;"-"))-1)),""))</f>
        <v/>
      </c>
      <c r="CW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 s="42">
        <f>IF(Tasks[[#This Row],[_Pred1Text]]="","",TRIM(MID(SUBSTITUTE(SUBSTITUTE(SUBSTITUTE(UPPER(Tasks[[#This Row],[_Predecessors]]),";",",")," ",""),",",REPT(" ",99)),100,99)))</f>
        <v/>
      </c>
      <c r="CZ6" s="42">
        <f>IF(Tasks[[#This Row],[_Pred2Text]]="","",IFERROR(VALUE(LEFT(Tasks[[#This Row],[_Pred2Text]],MIN(FIND("F",Tasks[[#This Row],[_Pred2Text]]&amp;"F"),FIND("S",Tasks[[#This Row],[_Pred2Text]]&amp;"S"),FIND("+",Tasks[[#This Row],[_Pred2Text]]&amp;"+"),FIND("-",Tasks[[#This Row],[_Pred2Text]]&amp;"-"))-1)),""))</f>
        <v/>
      </c>
      <c r="DA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 s="42">
        <f>IF(Tasks[[#This Row],[_Pred2Text]]="","",TRIM(MID(SUBSTITUTE(SUBSTITUTE(SUBSTITUTE(UPPER(Tasks[[#This Row],[_Predecessors]]),";",",")," ",""),",",REPT(" ",99)),199,99)))</f>
        <v/>
      </c>
      <c r="DD6" s="42">
        <f>IF(Tasks[[#This Row],[_Pred3Text]]="","",IFERROR(VALUE(LEFT(Tasks[[#This Row],[_Pred3Text]],MIN(FIND("F",Tasks[[#This Row],[_Pred3Text]]&amp;"F"),FIND("S",Tasks[[#This Row],[_Pred3Text]]&amp;"S"),FIND("+",Tasks[[#This Row],[_Pred3Text]]&amp;"+"),FIND("-",Tasks[[#This Row],[_Pred3Text]]&amp;"-"))-1)),""))</f>
        <v/>
      </c>
      <c r="DE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 s="42">
        <f>IF(Tasks[[#This Row],[_Pred3Text]]="","",TRIM(MID(SUBSTITUTE(SUBSTITUTE(SUBSTITUTE(UPPER(Tasks[[#This Row],[_Predecessors]]),";",",")," ",""),",",REPT(" ",99)),298,99)))</f>
        <v/>
      </c>
      <c r="DH6" s="42">
        <f>IF(Tasks[[#This Row],[_Pred4Text]]="","",IFERROR(VALUE(LEFT(Tasks[[#This Row],[_Pred4Text]],MIN(FIND("F",Tasks[[#This Row],[_Pred4Text]]&amp;"F"),FIND("S",Tasks[[#This Row],[_Pred4Text]]&amp;"S"),FIND("+",Tasks[[#This Row],[_Pred4Text]]&amp;"+"),FIND("-",Tasks[[#This Row],[_Pred4Text]]&amp;"-"))-1)),""))</f>
        <v/>
      </c>
      <c r="DI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 s="42">
        <f>IF(OR(Tasks[[#This Row],[Task Name]]="",Tasks[[#This Row],[_Resources]]=""),"",TRIM(MID(SUBSTITUTE(Tasks[[#This Row],[_Resources]],",",REPT(" ",99)),1,99)))</f>
        <v/>
      </c>
      <c r="DL6" s="42">
        <f>IF(Tasks[[#This Row],[_Res1Text]]="","",TRIM(MID(SUBSTITUTE(Tasks[[#This Row],[_Resources]],",",REPT(" ",99)),100,99)))</f>
        <v/>
      </c>
      <c r="DM6" s="42">
        <f>IF(Tasks[[#This Row],[_Res2Text]]="","",TRIM(MID(SUBSTITUTE(Tasks[[#This Row],[_Resources]],",",REPT(" ",99)),199,99)))</f>
        <v/>
      </c>
      <c r="DN6" s="42">
        <f>IF(Tasks[[#This Row],[_Res3Text]]="","",TRIM(MID(SUBSTITUTE(Tasks[[#This Row],[_Resources]],",",REPT(" ",99)),298,99)))</f>
        <v/>
      </c>
      <c r="DO6" s="42">
        <f>IF(Tasks[[#This Row],[_Res1Text]]="",0,IFERROR(MATCH(TRIM(LEFT(Tasks[[#This Row],[_Res1Text]],FIND("[",Tasks[[#This Row],[_Res1Text]]&amp;"[")-1)),res_Name,0),IFERROR(MATCH(TRIM(LEFT(Tasks[[#This Row],[_Res1Text]],FIND("[",Tasks[[#This Row],[_Res1Text]]&amp;"[")-1)),res_Initials,0),0)))</f>
        <v/>
      </c>
      <c r="DP6" s="42">
        <f>IF(Tasks[[#This Row],[_Res2Text]]="",0,IFERROR(MATCH(TRIM(LEFT(Tasks[[#This Row],[_Res2Text]],FIND("[",Tasks[[#This Row],[_Res2Text]]&amp;"[")-1)),res_Name,0),IFERROR(MATCH(TRIM(LEFT(Tasks[[#This Row],[_Res2Text]],FIND("[",Tasks[[#This Row],[_Res2Text]]&amp;"[")-1)),res_Initials,0),0)))</f>
        <v/>
      </c>
      <c r="DQ6" s="42">
        <f>IF(Tasks[[#This Row],[_Res3Text]]="",0,IFERROR(MATCH(TRIM(LEFT(Tasks[[#This Row],[_Res3Text]],FIND("[",Tasks[[#This Row],[_Res3Text]]&amp;"[")-1)),res_Name,0),IFERROR(MATCH(TRIM(LEFT(Tasks[[#This Row],[_Res3Text]],FIND("[",Tasks[[#This Row],[_Res3Text]]&amp;"[")-1)),res_Initials,0),0)))</f>
        <v/>
      </c>
      <c r="DR6" s="42">
        <f>IF(Tasks[[#This Row],[_Res4Text]]="",0,IFERROR(MATCH(TRIM(LEFT(Tasks[[#This Row],[_Res4Text]],FIND("[",Tasks[[#This Row],[_Res4Text]]&amp;"[")-1)),res_Name,0),IFERROR(MATCH(TRIM(LEFT(Tasks[[#This Row],[_Res4Text]],FIND("[",Tasks[[#This Row],[_Res4Text]]&amp;"[")-1)),res_Initials,0),0)))</f>
        <v/>
      </c>
      <c r="DS6" s="42">
        <f>IF(Tasks[[#This Row],[_Res1Text]]="","",IF(Tasks[[#This Row],[_Res1Row]]&gt;0,INDEX(res_Name,Tasks[[#This Row],[_Res1Row]]),TRIM(LEFT(Tasks[[#This Row],[_Res1Text]],FIND("[",Tasks[[#This Row],[_Res1Text]]&amp;"[")-1))))</f>
        <v/>
      </c>
      <c r="DT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 s="42">
        <f>IF(NOT(Tasks[[#This Row],[_IsLeaf]]=1),0,(Tasks[[#This Row],[_Resource1]]&lt;&gt;"")+(Tasks[[#This Row],[_Res2]]&lt;&gt;"")+(Tasks[[#This Row],[_Res3]]&lt;&gt;"")+(Tasks[[#This Row],[_Res4]]&lt;&gt;""))</f>
        <v/>
      </c>
      <c r="DV6" s="42">
        <f>IF(Tasks[[#This Row],[_Res2Text]]="","",IF(Tasks[[#This Row],[_Res2Row]]&gt;0,INDEX(res_Name,Tasks[[#This Row],[_Res2Row]]),TRIM(LEFT(Tasks[[#This Row],[_Res2Text]],FIND("[",Tasks[[#This Row],[_Res2Text]]&amp;"[")-1))))</f>
        <v/>
      </c>
      <c r="DW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 s="42">
        <f>IF(OR(NOT(Tasks[[#This Row],[_IsLeaf]]=1),Tasks[[#This Row],[_Res2Row]]=0),0,N(Tasks[[#This Row],[_Days]])*HoursPerDay*IF(Tasks[[#This Row],[_Res2Units]]="",DefaultUnits,Tasks[[#This Row],[_Res2Units]]))</f>
        <v/>
      </c>
      <c r="DY6" s="42">
        <f>IF(AND(AND(Tasks[[#This Row],[_IsLeaf]]=1,Tasks[[#This Row],[_LeafTotalWork]]&gt;0),Tasks[[#This Row],[_Res2Work]]&gt;0),Tasks[[#This Row],[_Res2Work]]/(Tasks[[#This Row],[_FinishWorkday]]-Tasks[[#This Row],[_StartWorkday]]+1),0)</f>
        <v/>
      </c>
      <c r="DZ6" s="42">
        <f>Tasks[[#This Row],[_Res2WorkPerWD]]*MAX(0,Tasks[[#This Row],[_StartWorkday]]-1)</f>
        <v/>
      </c>
      <c r="EA6" s="42">
        <f>Tasks[[#This Row],[_Res2Work]]*Tasks[[#This Row],[_LeafProgress]]</f>
        <v/>
      </c>
      <c r="EB6" s="42">
        <f>IF(Tasks[[#This Row],[_Res3Text]]="","",IF(Tasks[[#This Row],[_Res3Row]]&gt;0,INDEX(res_Name,Tasks[[#This Row],[_Res3Row]]),TRIM(LEFT(Tasks[[#This Row],[_Res3Text]],FIND("[",Tasks[[#This Row],[_Res3Text]]&amp;"[")-1))))</f>
        <v/>
      </c>
      <c r="EC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 s="42">
        <f>IF(OR(NOT(Tasks[[#This Row],[_IsLeaf]]=1),Tasks[[#This Row],[_Res3Row]]=0),0,N(Tasks[[#This Row],[_Days]])*HoursPerDay*IF(Tasks[[#This Row],[_Res3Units]]="",DefaultUnits,Tasks[[#This Row],[_Res3Units]]))</f>
        <v/>
      </c>
      <c r="EE6" s="42">
        <f>IF(AND(AND(Tasks[[#This Row],[_IsLeaf]]=1,Tasks[[#This Row],[_LeafTotalWork]]&gt;0),Tasks[[#This Row],[_Res3Work]]&gt;0),Tasks[[#This Row],[_Res3Work]]/(Tasks[[#This Row],[_FinishWorkday]]-Tasks[[#This Row],[_StartWorkday]]+1),0)</f>
        <v/>
      </c>
      <c r="EF6" s="42">
        <f>Tasks[[#This Row],[_Res3WorkPerWD]]*MAX(0,Tasks[[#This Row],[_StartWorkday]]-1)</f>
        <v/>
      </c>
      <c r="EG6" s="42">
        <f>Tasks[[#This Row],[_Res3Work]]*Tasks[[#This Row],[_LeafProgress]]</f>
        <v/>
      </c>
      <c r="EH6" s="42">
        <f>IF(Tasks[[#This Row],[_Res4Text]]="","",IF(Tasks[[#This Row],[_Res4Row]]&gt;0,INDEX(res_Name,Tasks[[#This Row],[_Res4Row]]),TRIM(LEFT(Tasks[[#This Row],[_Res4Text]],FIND("[",Tasks[[#This Row],[_Res4Text]]&amp;"[")-1))))</f>
        <v/>
      </c>
      <c r="EI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 s="42">
        <f>IF(OR(NOT(Tasks[[#This Row],[_IsLeaf]]=1),Tasks[[#This Row],[_Res4Row]]=0),0,N(Tasks[[#This Row],[_Days]])*HoursPerDay*IF(Tasks[[#This Row],[_Res4Units]]="",DefaultUnits,Tasks[[#This Row],[_Res4Units]]))</f>
        <v/>
      </c>
      <c r="EK6" s="42">
        <f>IF(AND(AND(Tasks[[#This Row],[_IsLeaf]]=1,Tasks[[#This Row],[_LeafTotalWork]]&gt;0),Tasks[[#This Row],[_Res4Work]]&gt;0),Tasks[[#This Row],[_Res4Work]]/(Tasks[[#This Row],[_FinishWorkday]]-Tasks[[#This Row],[_StartWorkday]]+1),0)</f>
        <v/>
      </c>
      <c r="EL6" s="42">
        <f>Tasks[[#This Row],[_Res4WorkPerWD]]*MAX(0,Tasks[[#This Row],[_StartWorkday]]-1)</f>
        <v/>
      </c>
      <c r="EM6" s="42">
        <f>Tasks[[#This Row],[_Res4Work]]*Tasks[[#This Row],[_LeafProgress]]</f>
        <v/>
      </c>
      <c r="EN6" s="42">
        <f>IF(ISNUMBER(Tasks[[#This Row],[% Complete]]),Tasks[[#This Row],[% Complete]],IF(Tasks[[#This Row],[Stage]]="",0,IFERROR(INDEX(stg_Pct,MATCH(Tasks[[#This Row],[Stage]],stg_Name,0)),0)))</f>
        <v/>
      </c>
      <c r="EO6" s="42">
        <f>IF(NOT(Tasks[[#This Row],[_IsLeaf]]=1),0,IF(N(Tasks[[#This Row],[Actual Finish]])&gt;0,1,MIN(1,Tasks[[#This Row],[_Pct]])))</f>
        <v/>
      </c>
      <c r="EP6" s="42">
        <f>IF(OR(NOT(Tasks[[#This Row],[_IsLeaf]]=1),Tasks[[#This Row],[_Res1Row]]=0),0,N(Tasks[[#This Row],[_Days]])*HoursPerDay*IF(Tasks[[#This Row],[_Units1]]="",DefaultUnits,Tasks[[#This Row],[_Units1]]))</f>
        <v/>
      </c>
      <c r="EQ6" s="42">
        <f>Tasks[[#This Row],[_LeafWork]]+Tasks[[#This Row],[_Res2Work]]+Tasks[[#This Row],[_Res3Work]]+Tasks[[#This Row],[_Res4Work]]</f>
        <v/>
      </c>
      <c r="ER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 s="42">
        <f>IF(NOT(Tasks[[#This Row],[_IsLeaf]]=1),0,MAX(_xlfn.MAXIFS(Tasks[_Row],Tasks[_Pred1UID],Tasks[[#This Row],[UID]]),_xlfn.MAXIFS(Tasks[_Row],Tasks[_Pred2UID],Tasks[[#This Row],[UID]]),_xlfn.MAXIFS(Tasks[_Row],Tasks[_Pred3UID],Tasks[[#This Row],[UID]]),_xlfn.MAXIFS(Tasks[_Row],Tasks[_Pred4UID],Tasks[[#This Row],[UID]])))</f>
        <v/>
      </c>
      <c r="FA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 s="88">
        <f>IF(NOT(Tasks[[#This Row],[_IsLeaf]]=1),"",IF(N(Tasks[[#This Row],[_Days]])&lt;=0,Tasks[[#This Row],[_LeafLateFinish]],WORKDAY.INTL(Tasks[[#This Row],[_LeafLateFinish]],-(Tasks[[#This Row],[_Days]]-1),WorkWeek,Holidays)))</f>
        <v/>
      </c>
      <c r="FD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 s="42">
        <f>AND(Tasks[[#This Row],[_IsLeaf]]=1,Tasks[[#This Row],[_LeafProgress]]&lt;1,N(Tasks[[#This Row],[_LeafTotalSlack]])&lt;=CriticalSlackDays)</f>
        <v/>
      </c>
      <c r="FF6" s="42">
        <f>IF(AND(Tasks[[#This Row],[_IsLeaf]]=1,Tasks[[#This Row],[_ConstraintCode]]=1,Tasks[[#This Row],[Mode]]&lt;&gt;"Manual",N(Tasks[[#This Row],[Actual Start]])=0),MAX(0,N(Tasks[[#This Row],[Free Slack]])),0)</f>
        <v/>
      </c>
      <c r="FG6" s="88">
        <f>IF(NOT(Tasks[[#This Row],[_IsLeaf]]=1),"",IF(Tasks[[#This Row],[_AlapShift]]=0,Tasks[[#This Row],[_LeafCalcStart]],WORKDAY.INTL(Tasks[[#This Row],[_LeafCalcStart]],Tasks[[#This Row],[_AlapShift]],WorkWeek,Holidays)))</f>
        <v/>
      </c>
      <c r="FH6" s="88">
        <f>IF(NOT(Tasks[[#This Row],[_IsLeaf]]=1),"",IF(Tasks[[#This Row],[_AlapShift]]=0,Tasks[[#This Row],[_LeafCalcFinish]],WORKDAY.INTL(Tasks[[#This Row],[_LeafCalcFinish]],Tasks[[#This Row],[_AlapShift]],WorkWeek,Holidays)))</f>
        <v/>
      </c>
      <c r="FI6" s="88">
        <f>IF(NOT(Tasks[[#This Row],[_IsLeaf]]=1),"",IF(Tasks[[#This Row],[_AlapShift]]=0,Tasks[[#This Row],[_LeafFcstStart]],WORKDAY.INTL(Tasks[[#This Row],[_LeafFcstStart]],Tasks[[#This Row],[_AlapShift]],WorkWeek,Holidays)))</f>
        <v/>
      </c>
      <c r="FJ6" s="88">
        <f>IF(NOT(Tasks[[#This Row],[_IsLeaf]]=1),"",IF(Tasks[[#This Row],[_AlapShift]]=0,Tasks[[#This Row],[_LeafFcstFinish]],WORKDAY.INTL(Tasks[[#This Row],[_LeafFcstFinish]],Tasks[[#This Row],[_AlapShift]],WorkWeek,Holidays)))</f>
        <v/>
      </c>
      <c r="FK6" s="88">
        <f>IF(Tasks[[#This Row],[Task Name]]="","",IF(Tasks[[#This Row],[_IsSummary]],MIN(INDEX(Tasks[_ShownCalcStart],Tasks[[#This Row],[_Row]]+1):INDEX(Tasks[_ShownCalcStart],Tasks[[#This Row],[_Row]]+Tasks[[#This Row],[_Descendants]])),Tasks[[#This Row],[_ShownCalcStart]]))</f>
        <v/>
      </c>
      <c r="FL6" s="88">
        <f>IF(Tasks[[#This Row],[Task Name]]="","",IF(Tasks[[#This Row],[_IsSummary]],MAX(INDEX(Tasks[_ShownCalcFinish],Tasks[[#This Row],[_Row]]+1):INDEX(Tasks[_ShownCalcFinish],Tasks[[#This Row],[_Row]]+Tasks[[#This Row],[_Descendants]])),Tasks[[#This Row],[_ShownCalcFinish]]))</f>
        <v/>
      </c>
      <c r="FM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 s="42">
        <f>IF(AND(Tasks[[#This Row],[_IsLeaf]]=1,Tasks[[#This Row],[_LeafTotalWork]]&gt;0),NETWORKDAYS.INTL(ProjectStart,Tasks[[#This Row],[_ShownFcstStart]],WorkWeek,Holidays),0)</f>
        <v/>
      </c>
      <c r="FZ6" s="42">
        <f>IF(AND(Tasks[[#This Row],[_IsLeaf]]=1,Tasks[[#This Row],[_LeafTotalWork]]&gt;0),MAX(Tasks[[#This Row],[_StartWorkday]],NETWORKDAYS.INTL(ProjectStart,Tasks[[#This Row],[_ShownFcstFinish]],WorkWeek,Holidays)),0)</f>
        <v/>
      </c>
      <c r="GA6" s="42">
        <f>IF(AND(Tasks[[#This Row],[_IsLeaf]]=1,Tasks[[#This Row],[_LeafTotalWork]]&gt;0),Tasks[[#This Row],[_LeafWork]]/(Tasks[[#This Row],[_FinishWorkday]]-Tasks[[#This Row],[_StartWorkday]]+1),0)</f>
        <v/>
      </c>
      <c r="GB6" s="42">
        <f>Tasks[[#This Row],[_WorkPerWorkday]]*(Tasks[[#This Row],[_StartWorkday]]-1)</f>
        <v/>
      </c>
      <c r="GC6" s="42">
        <f>IF(Tasks[[#This Row],[_IsLeaf]]=1,MAX(N(Tasks[[#This Row],[_Days]]),0.1),0)</f>
        <v/>
      </c>
      <c r="GD6" s="42">
        <f>Tasks[[#This Row],[_WeightDur]]*Tasks[[#This Row],[_LeafProgress]]</f>
        <v/>
      </c>
      <c r="GE6" s="42">
        <f>Tasks[[#This Row],[_WeightDur]]*Tasks[[#This Row],[_PlannedPct]]</f>
        <v/>
      </c>
      <c r="GF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 s="42">
        <f>IF(AND(Tasks[[#This Row],[_IsLeaf]]=1,N(Tasks[[#This Row],[_Days]])=0,Tasks[[#This Row],[_LeafProgress]]&lt;1),Tasks[[#This Row],[_ShownFcstFinish]]+Tasks[[#This Row],[_Row]]/100000,"")</f>
        <v/>
      </c>
      <c r="GH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 s="42">
        <f>IF(Tasks[[#This Row],[Task Name]]="","",LEFT(Tasks[[#This Row],[WBS]],FIND(".",Tasks[[#This Row],[WBS]]&amp;".")-1))</f>
        <v/>
      </c>
      <c r="GJ6" s="42">
        <f>IF(AND(Tasks[[#This Row],[Task Name]]&lt;&gt;"",Tasks[[#This Row],[_Level]]=1),Tasks[[#This Row],[_Row]],"")</f>
        <v/>
      </c>
      <c r="GK6" s="42">
        <f>IF(AND(Tasks[[#This Row],[_IsLeaf]]=1,N(Tasks[[#This Row],[_Days]])=0),Tasks[[#This Row],[Planned Finish]]+Tasks[[#This Row],[_Row]]/100000,"")</f>
        <v/>
      </c>
      <c r="GL6" s="42">
        <f>IF(AND(Tasks[[#This Row],[_IsLeaf]]=1,Tasks[[#This Row],[_LeafProgress]]&lt;1,OR(N(Tasks[[#This Row],[Finish Var]])&gt;0,Tasks[[#This Row],[Status]]="Late Start")),MAX(0,Tasks[[#This Row],[Finish Var]])+1-Tasks[[#This Row],[_Row]]/1000000,"")</f>
        <v/>
      </c>
      <c r="GM6" s="42">
        <f>IF(AND(Tasks[[#This Row],[_IsLeaf]]=1,N(Tasks[[#This Row],[Actual Start]])=0,Tasks[[#This Row],[_ShownFcstStart]]&gt;=StatusDate,Tasks[[#This Row],[_ShownFcstStart]]&lt;=LookaheadEnd),Tasks[[#This Row],[_ShownFcstStart]]+Tasks[[#This Row],[_Row]]/100000,"")</f>
        <v/>
      </c>
      <c r="GN6" s="42">
        <f>IF(AND(Tasks[[#This Row],[_IsLeaf]]=1,Tasks[[#This Row],[_LeafProgress]]&lt;1,Tasks[[#This Row],[_ShownFcstFinish]]&gt;=StatusDate,Tasks[[#This Row],[_ShownFcstFinish]]&lt;=LookaheadEnd),Tasks[[#This Row],[_ShownFcstFinish]]+Tasks[[#This Row],[_Row]]/100000,"")</f>
        <v/>
      </c>
      <c r="GO6" s="42">
        <f>IF(Tasks[[#This Row],[_LeafCritical]],Tasks[[#This Row],[_ShownFcstStart]]+Tasks[[#This Row],[_Row]]/100000,"")</f>
        <v/>
      </c>
      <c r="GP6" s="42">
        <f>Tasks[[#This Row],[_LeafWork]]*Tasks[[#This Row],[_LeafProgress]]</f>
        <v/>
      </c>
      <c r="GQ6" s="88">
        <f>IF(AND(Tasks[[#This Row],[_IsLeaf]]=1,Tasks[[#This Row],[_LeafProgress]]&gt;=1),IF(N(Tasks[[#This Row],[Actual Finish]])&gt;0,Tasks[[#This Row],[Actual Finish]],Tasks[[#This Row],[_ShownFcstFinish]]),"")</f>
        <v/>
      </c>
      <c r="GR6" s="42">
        <f>IF(Tasks[[#This Row],[_IsLeaf]]=1,N(Tasks[[#This Row],[Story Points]]),0)</f>
        <v/>
      </c>
      <c r="GS6" s="42">
        <f>""</f>
        <v/>
      </c>
      <c r="GT6" s="42">
        <f>IF(Tasks[[#This Row],[Task Name]]="",FALSE(),AND(Tasks[[#This Row],[_IsLeaf]]=1,N(Tasks[[#This Row],[_Days]])=0))</f>
        <v/>
      </c>
      <c r="GU6" s="88">
        <f>IF(Tasks[[#This Row],[Task Name]]="",0,IF(AND(Tasks[[#This Row],[_IsLeaf]]=1,NOT(Tasks[[#This Row],[_IsMilestone]]),N(Tasks[[#This Row],[Progress]])&gt;0),Tasks[[#This Row],[Start]],0))</f>
        <v/>
      </c>
      <c r="GV6" s="88">
        <f>IF(Tasks[[#This Row],[_DoneFrom]]=0,0,IF(Tasks[[#This Row],[Progress]]&gt;=1,Tasks[[#This Row],[Finish]],MAX(Tasks[[#This Row],[_DoneFrom]],Tasks[[#This Row],[Start]]+ROUND((Tasks[[#This Row],[Finish]]-Tasks[[#This Row],[Start]]+1)*Tasks[[#This Row],[Progress]],0)-1)))</f>
        <v/>
      </c>
      <c r="GW6" s="88">
        <f>IF(Tasks[[#This Row],[Task Name]]="",0,IF(OR(NOT(Tasks[[#This Row],[_IsLeaf]]=1),Tasks[[#This Row],[_IsMilestone]],N(Tasks[[#This Row],[Progress]])&gt;=1),0,IF(Tasks[[#This Row],[_DoneTo]]&gt;0,Tasks[[#This Row],[_DoneTo]]+1,Tasks[[#This Row],[Start]])))</f>
        <v/>
      </c>
      <c r="GX6" s="88">
        <f>IF(Tasks[[#This Row],[_RemFrom]]=0,0,Tasks[[#This Row],[Finish]])</f>
        <v/>
      </c>
      <c r="GY6" s="42">
        <f>IF(Tasks[[#This Row],[Task Name]]="",FALSE(),OR(NOT(BaselineSet),N(Tasks[[#This Row],[Baseline Start]])&gt;0))</f>
        <v/>
      </c>
      <c r="GZ6" s="42">
        <f>IF(AND(Sandbox="Yes",L_PARSE_DURATION(Tasks[[#This Row],[Sandbox Duration]])&lt;&gt;""),L_PARSE_DURATION(Tasks[[#This Row],[Sandbox Duration]]),L_PARSE_DURATION(Tasks[[#This Row],[Duration]]))</f>
        <v/>
      </c>
      <c r="HA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 s="42">
        <f>IF(Tasks[[#This Row],[_IsLeaf]]=1,Tasks[[#This Row],[_Row]],"")</f>
        <v/>
      </c>
      <c r="HD6" s="42">
        <f>IFERROR(INDEX(Tasks[UID],SMALL(Tasks[_PickKey],Tasks[[#This Row],[_Row]]))&amp;" "&amp;INDEX(Tasks[Task Name],SMALL(Tasks[_PickKey],Tasks[[#This Row],[_Row]])),"")</f>
        <v/>
      </c>
      <c r="HE6" s="42">
        <f>IF(Tasks[[#This Row],[Task Name]]="","",IF(Tasks[[#This Row],[_IsSummary]],NETWORKDAYS.INTL(Tasks[[#This Row],[Start]],Tasks[[#This Row],[Finish]],WorkWeek,Holidays),N(Tasks[[#This Row],[_Days]])))</f>
        <v/>
      </c>
      <c r="HF6" s="42">
        <f>IF(Tasks[[#This Row],[Expected]]="",0,((Tasks[[#This Row],[Pessimistic]]-Tasks[[#This Row],[Optimistic]])/6)^2)</f>
        <v/>
      </c>
      <c r="HG6" s="42">
        <f>IF(Tasks[[#This Row],[Expected]]="",0,Tasks[[#This Row],[Expected]]-N(Tasks[[#This Row],[_Days]]))</f>
        <v/>
      </c>
    </row>
    <row r="7" outlineLevel="1">
      <c r="A7" s="21">
        <f>IF(Tasks[[#This Row],[Task Name]]="","",COUNTA(Tasks[[#Headers],[Task Name]]:Tasks[[#This Row],[Task Name]])-1)</f>
        <v/>
      </c>
      <c r="B7" s="22" t="n">
        <v>2</v>
      </c>
      <c r="C7" s="22" t="n">
        <v>2</v>
      </c>
      <c r="D7" s="89" t="inlineStr">
        <is>
          <t>Project charter &amp; scope statement</t>
        </is>
      </c>
      <c r="E7" s="22" t="n">
        <v>3</v>
      </c>
      <c r="F7" s="23" t="n"/>
      <c r="G7" s="22" t="n"/>
      <c r="H7" s="22" t="n"/>
      <c r="I7" s="23" t="n"/>
      <c r="J7" s="22" t="n"/>
      <c r="K7" s="22" t="n"/>
      <c r="L7" s="23" t="n"/>
      <c r="M7" s="22" t="n"/>
      <c r="N7" s="22" t="n"/>
      <c r="O7" s="23" t="n"/>
      <c r="P7" s="22" t="n"/>
      <c r="Q7" s="22" t="n"/>
      <c r="R7" s="23" t="n"/>
      <c r="S7" s="23" t="inlineStr">
        <is>
          <t>Priya Sharma</t>
        </is>
      </c>
      <c r="T7" s="82" t="n"/>
      <c r="U7" s="23" t="n"/>
      <c r="V7" s="82" t="n"/>
      <c r="W7" s="23" t="n"/>
      <c r="X7" s="82" t="n"/>
      <c r="Y7" s="23" t="n"/>
      <c r="Z7" s="82" t="n"/>
      <c r="AA7" s="23" t="n"/>
      <c r="AB7" s="23" t="inlineStr">
        <is>
          <t>Complete</t>
        </is>
      </c>
      <c r="AC7" s="7" t="n">
        <v>46272</v>
      </c>
      <c r="AD7" s="7" t="n">
        <v>46275</v>
      </c>
      <c r="AE7" s="61">
        <f>IF(Tasks[[#This Row],[Task Name]]="","",IF(Tasks[[#This Row],[_IsSummary]],MIN(INDEX(Tasks[_ShownFcstStart],Tasks[[#This Row],[_Row]]+1):INDEX(Tasks[_ShownFcstStart],Tasks[[#This Row],[_Row]]+Tasks[[#This Row],[_Descendants]])),Tasks[[#This Row],[_ShownFcstStart]]))</f>
        <v/>
      </c>
      <c r="AF7" s="61">
        <f>IF(Tasks[[#This Row],[Task Name]]="","",IF(Tasks[[#This Row],[_IsSummary]],MAX(INDEX(Tasks[_ShownFcstFinish],Tasks[[#This Row],[_Row]]+1):INDEX(Tasks[_ShownFcstFinish],Tasks[[#This Row],[_Row]]+Tasks[[#This Row],[_Descendants]])),Tasks[[#This Row],[_ShownFcstFinish]]))</f>
        <v/>
      </c>
      <c r="AG7" s="21">
        <f>""</f>
        <v/>
      </c>
      <c r="AH7" s="23" t="inlineStr">
        <is>
          <t>Took 1 extra day for sponsor sign-off.</t>
        </is>
      </c>
      <c r="AI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 s="7" t="n"/>
      <c r="AK7" s="22" t="inlineStr">
        <is>
          <t>Auto</t>
        </is>
      </c>
      <c r="AL7" s="23" t="n"/>
      <c r="AM7" s="7" t="n"/>
      <c r="AN7" s="21">
        <f>IF(Tasks[[#This Row],[Task Name]]="","",IF(Tasks[[#This Row],[Finish]]&gt;=Tasks[[#This Row],[Planned Finish]],NETWORKDAYS.INTL(Tasks[[#This Row],[Planned Finish]],Tasks[[#This Row],[Finish]],WorkWeek,Holidays)-1,1-NETWORKDAYS.INTL(Tasks[[#This Row],[Finish]],Tasks[[#This Row],[Planned Finish]],WorkWeek,Holidays)))</f>
        <v/>
      </c>
      <c r="AO7" s="21">
        <f>IF(Tasks[[#This Row],[Task Name]]="","",IF(Tasks[[#This Row],[Progress]]&gt;=1,"Complete",IF(OR(N(Tasks[[#This Row],[Actual Start]])&gt;0,Tasks[[#This Row],[Progress]]&gt;0),IF(Tasks[[#This Row],[Finish Var]]&gt;0,"Behind","In Progress"),IF(Tasks[[#This Row],[Planned Start]]&lt;StatusDate,"Late Start","Not Started"))))</f>
        <v/>
      </c>
      <c r="AP7" s="21">
        <f>IF(Tasks[[#This Row],[Task Name]]="","",IF(IF(Tasks[[#This Row],[_IsSummary]],COUNTIF(INDEX(Tasks[_LeafCritical],Tasks[[#This Row],[_Row]]+1):INDEX(Tasks[_LeafCritical],Tasks[[#This Row],[_Row]]+Tasks[[#This Row],[_Descendants]]),TRUE())&gt;0,Tasks[[#This Row],[_LeafCritical]]),"Yes",""))</f>
        <v/>
      </c>
      <c r="AQ7" s="61">
        <f>IF(Tasks[[#This Row],[Task Name]]="","",IF(N(Tasks[[#This Row],[Baseline Start]])&gt;0,Tasks[[#This Row],[Baseline Start]],Tasks[[#This Row],[_CalcStart]]))</f>
        <v/>
      </c>
      <c r="AR7" s="61">
        <f>IF(Tasks[[#This Row],[Task Name]]="","",IF(N(Tasks[[#This Row],[Baseline Finish]])&gt;0,Tasks[[#This Row],[Baseline Finish]],Tasks[[#This Row],[_CalcFinish]]))</f>
        <v/>
      </c>
      <c r="AS7" s="21">
        <f>IF(Tasks[[#This Row],[Task Name]]="","",IF(Tasks[[#This Row],[Start]]&gt;=Tasks[[#This Row],[Planned Start]],NETWORKDAYS.INTL(Tasks[[#This Row],[Planned Start]],Tasks[[#This Row],[Start]],WorkWeek,Holidays)-1,1-NETWORKDAYS.INTL(Tasks[[#This Row],[Start]],Tasks[[#This Row],[Planned Start]],WorkWeek,Holidays)))</f>
        <v/>
      </c>
      <c r="AT7" s="61">
        <f>IF(Tasks[[#This Row],[Task Name]]="","",IF(Tasks[[#This Row],[_IsSummary]],MIN(INDEX(Tasks[_LeafLateStart],Tasks[[#This Row],[_Row]]+1):INDEX(Tasks[_LeafLateStart],Tasks[[#This Row],[_Row]]+Tasks[[#This Row],[_Descendants]])),Tasks[[#This Row],[_LeafLateStart]]))</f>
        <v/>
      </c>
      <c r="AU7" s="61">
        <f>IF(Tasks[[#This Row],[Task Name]]="","",IF(Tasks[[#This Row],[_IsSummary]],MAX(INDEX(Tasks[_LeafLateFinish],Tasks[[#This Row],[_Row]]+1):INDEX(Tasks[_LeafLateFinish],Tasks[[#This Row],[_Row]]+Tasks[[#This Row],[_Descendants]])),Tasks[[#This Row],[_LeafLateFinish]]))</f>
        <v/>
      </c>
      <c r="AV7" s="21">
        <f>IF(Tasks[[#This Row],[Task Name]]="","",IF(Tasks[[#This Row],[_IsSummary]],MIN(INDEX(Tasks[_LeafTotalSlack],Tasks[[#This Row],[_Row]]+1):INDEX(Tasks[_LeafTotalSlack],Tasks[[#This Row],[_Row]]+Tasks[[#This Row],[_Descendants]])),Tasks[[#This Row],[_LeafTotalSlack]]))</f>
        <v/>
      </c>
      <c r="AW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3" t="n"/>
      <c r="BA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 s="21">
        <f>IF(Tasks[[#This Row],[Task Name]]="","",IF(Tasks[[#This Row],[_Level]]&lt;=OutlineShowLevel,"Yes","No"))</f>
        <v/>
      </c>
      <c r="BE7" s="84">
        <f>IF(Tasks[[#This Row],[Task Name]]="","",IF(Tasks[[#This Row],[_IsSummary]],SUM(INDEX(Tasks[_LeafTotalWork],Tasks[[#This Row],[_Row]]+1):INDEX(Tasks[_LeafTotalWork],Tasks[[#This Row],[_Row]]+Tasks[[#This Row],[_Descendants]])),Tasks[[#This Row],[_LeafTotalWork]]))</f>
        <v/>
      </c>
      <c r="BF7" s="23" t="n"/>
      <c r="BG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 s="21">
        <f>""</f>
        <v/>
      </c>
      <c r="BI7" s="85" t="n"/>
      <c r="BJ7" s="22" t="n"/>
      <c r="BK7" s="21">
        <f>IF(OR(Tasks[[#This Row],[Task Name]]="",Tasks[[#This Row],[Baseline Duration]]=""),"",Tasks[[#This Row],[_SpanDays]]-N(Tasks[[#This Row],[Baseline Duration]]))</f>
        <v/>
      </c>
      <c r="BL7" s="84">
        <f>IF(OR(Tasks[[#This Row],[Task Name]]="",Tasks[[#This Row],[Baseline Work]]=""),"",Tasks[[#This Row],[Work]]-N(Tasks[[#This Row],[Baseline Work]]))</f>
        <v/>
      </c>
      <c r="BM7" s="61">
        <f>IF(Tasks[[#This Row],[Task Name]]="","",IF(OR(TakeBaseline="Yes",N(Tasks[[#This Row],[Baseline Start]])=0),Tasks[[#This Row],[Start]],Tasks[[#This Row],[Baseline Start]]))</f>
        <v/>
      </c>
      <c r="BN7" s="61">
        <f>IF(Tasks[[#This Row],[Task Name]]="","",IF(OR(TakeBaseline="Yes",N(Tasks[[#This Row],[Baseline Finish]])=0),Tasks[[#This Row],[Finish]],Tasks[[#This Row],[Baseline Finish]]))</f>
        <v/>
      </c>
      <c r="BO7" s="21">
        <f>IF(Tasks[[#This Row],[Task Name]]="","",IF(OR(TakeBaseline="Yes",N(Tasks[[#This Row],[Baseline Duration]])=0),Tasks[[#This Row],[_SpanDays]],Tasks[[#This Row],[Baseline Duration]]))</f>
        <v/>
      </c>
      <c r="BP7" s="84">
        <f>IF(Tasks[[#This Row],[Task Name]]="","",IF(OR(TakeBaseline="Yes",N(Tasks[[#This Row],[Baseline Work]])=0),Tasks[[#This Row],[Work]],Tasks[[#This Row],[Baseline Work]]))</f>
        <v/>
      </c>
      <c r="BQ7" s="7" t="n">
        <v>46272</v>
      </c>
      <c r="BR7" s="7" t="n">
        <v>46274</v>
      </c>
      <c r="BS7" s="22" t="n">
        <v>3</v>
      </c>
      <c r="BT7" s="86" t="n">
        <v>24</v>
      </c>
      <c r="BU7" s="23" t="inlineStr">
        <is>
          <t>Priya Sharma</t>
        </is>
      </c>
      <c r="BV7" s="23" t="inlineStr">
        <is>
          <t>Morgan Patel</t>
        </is>
      </c>
      <c r="BW7" s="23" t="inlineStr">
        <is>
          <t>Steering committee</t>
        </is>
      </c>
      <c r="BX7" s="87">
        <f>IF(AND(Tasks[[#This Row],[_IsLeaf]]=1,ISNUMBER(Tasks[[#This Row],[Optimistic]]),ISNUMBER(Tasks[[#This Row],[Pessimistic]])),ROUND((Tasks[[#This Row],[Optimistic]]+4*N(Tasks[[#This Row],[_Days]])+Tasks[[#This Row],[Pessimistic]])/6,1),"")</f>
        <v/>
      </c>
      <c r="BY7" s="85" t="n"/>
      <c r="BZ7" s="85" t="n"/>
      <c r="CA7" s="22" t="n"/>
      <c r="CB7" s="42">
        <f>IF(Tasks[[#This Row],[Task Name]]="","",MAX(1,N(Tasks[[#This Row],[Level]])))</f>
        <v/>
      </c>
      <c r="CC7" s="42">
        <f>ROW()-ROW(Tasks[[#Headers],[ID]])</f>
        <v/>
      </c>
      <c r="CD7" s="42">
        <f>IF(OR(Tasks[[#This Row],[Task Name]]="",Tasks[[#This Row],[_Level]]&lt;=1),0,IFERROR(LOOKUP(2,1/(Tasks[[#Headers],[_Level]]:Tasks[[#This Row],[_Level]]=Tasks[[#This Row],[_Level]]-1),ROW(Tasks[[#Headers],[_Level]]:Tasks[[#This Row],[_Level]])),0))</f>
        <v/>
      </c>
      <c r="CE7" s="42">
        <f>IFERROR(N(INDEX(Tasks[_Level],Tasks[[#This Row],[_Row]]+1)),0)</f>
        <v/>
      </c>
      <c r="CF7" s="42">
        <f>AND(Tasks[[#This Row],[Task Name]]&lt;&gt;"",Tasks[[#This Row],[_NextLevel]]&gt;Tasks[[#This Row],[_Level]])</f>
        <v/>
      </c>
      <c r="CG7" s="42">
        <f>IF(Tasks[[#This Row],[_IsSummary]],COUNTIF(Tasks[WBS],Tasks[[#This Row],[WBS]]&amp;".*"),0)</f>
        <v/>
      </c>
      <c r="CH7" s="42">
        <f>IF(AND(Tasks[[#This Row],[Task Name]]&lt;&gt;"",NOT(Tasks[[#This Row],[_IsSummary]])),1,0)</f>
        <v/>
      </c>
      <c r="CI7" s="42">
        <f>IF(N(Tasks[[#This Row],[_Pred1UID]])=0,0,IFERROR(MATCH(Tasks[[#This Row],[_Pred1UID]],Tasks[UID],0),-1))</f>
        <v/>
      </c>
      <c r="CJ7" s="42">
        <f>IF(N(Tasks[[#This Row],[_Pred2UID]])=0,0,IFERROR(MATCH(Tasks[[#This Row],[_Pred2UID]],Tasks[UID],0),-1))</f>
        <v/>
      </c>
      <c r="CK7" s="42">
        <f>IF(N(Tasks[[#This Row],[_Pred3UID]])=0,0,IFERROR(MATCH(Tasks[[#This Row],[_Pred3UID]],Tasks[UID],0),-1))</f>
        <v/>
      </c>
      <c r="CL7" s="42">
        <f>IF(N(Tasks[[#This Row],[_Pred4UID]])=0,0,IFERROR(MATCH(Tasks[[#This Row],[_Pred4UID]],Tasks[UID],0),-1))</f>
        <v/>
      </c>
      <c r="CM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 s="88">
        <f>IF(N(Tasks[[#This Row],[Constraint Date]])=0,0,IF(AND(OR(Tasks[[#This Row],[_ConstraintCode]]=3,Tasks[[#This Row],[_ConstraintCode]]=6,Tasks[[#This Row],[_ConstraintCode]]=7),N(Tasks[[#This Row],[_Days]])&gt;1),WORKDAY.INTL(N(Tasks[[#This Row],[Constraint Date]]),-(N(Tasks[[#This Row],[_Days]])-1),WorkWeek,Holidays),N(Tasks[[#This Row],[Constraint Date]])))</f>
        <v/>
      </c>
      <c r="CO7" s="88">
        <f>IF(OR(Tasks[[#This Row],[_ConstraintCode]]=2,Tasks[[#This Row],[_ConstraintCode]]=3,Tasks[[#This Row],[_ConstraintCode]]=4,Tasks[[#This Row],[_ConstraintCode]]=6),Tasks[[#This Row],[_ConstraintStart]],0)</f>
        <v/>
      </c>
      <c r="CP7" s="88">
        <f>IF(OR(Tasks[[#This Row],[_ConstraintCode]]=2,Tasks[[#This Row],[_ConstraintCode]]=3,Tasks[[#This Row],[_ConstraintCode]]=5,Tasks[[#This Row],[_ConstraintCode]]=7),Tasks[[#This Row],[_ConstraintStart]],2958465)</f>
        <v/>
      </c>
      <c r="CQ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 s="88">
        <f>IF(NOT(Tasks[[#This Row],[_IsLeaf]]=1),"",IF(N(Tasks[[#This Row],[_Days]])&lt;=0,Tasks[[#This Row],[_LeafCalcStart]],WORKDAY.INTL(Tasks[[#This Row],[_LeafCalcStart]],Tasks[[#This Row],[_Days]]-1,WorkWeek,Holidays)))</f>
        <v/>
      </c>
      <c r="CS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 s="42">
        <f>IF(Tasks[[#This Row],[_Predecessors]]="","",TRIM(MID(SUBSTITUTE(SUBSTITUTE(SUBSTITUTE(UPPER(Tasks[[#This Row],[_Predecessors]]),";",",")," ",""),",",REPT(" ",99)),1,99)))</f>
        <v/>
      </c>
      <c r="CV7" s="42">
        <f>IF(Tasks[[#This Row],[_Pred1Text]]="","",IFERROR(VALUE(LEFT(Tasks[[#This Row],[_Pred1Text]],MIN(FIND("F",Tasks[[#This Row],[_Pred1Text]]&amp;"F"),FIND("S",Tasks[[#This Row],[_Pred1Text]]&amp;"S"),FIND("+",Tasks[[#This Row],[_Pred1Text]]&amp;"+"),FIND("-",Tasks[[#This Row],[_Pred1Text]]&amp;"-"))-1)),""))</f>
        <v/>
      </c>
      <c r="CW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 s="42">
        <f>IF(Tasks[[#This Row],[_Pred1Text]]="","",TRIM(MID(SUBSTITUTE(SUBSTITUTE(SUBSTITUTE(UPPER(Tasks[[#This Row],[_Predecessors]]),";",",")," ",""),",",REPT(" ",99)),100,99)))</f>
        <v/>
      </c>
      <c r="CZ7" s="42">
        <f>IF(Tasks[[#This Row],[_Pred2Text]]="","",IFERROR(VALUE(LEFT(Tasks[[#This Row],[_Pred2Text]],MIN(FIND("F",Tasks[[#This Row],[_Pred2Text]]&amp;"F"),FIND("S",Tasks[[#This Row],[_Pred2Text]]&amp;"S"),FIND("+",Tasks[[#This Row],[_Pred2Text]]&amp;"+"),FIND("-",Tasks[[#This Row],[_Pred2Text]]&amp;"-"))-1)),""))</f>
        <v/>
      </c>
      <c r="DA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 s="42">
        <f>IF(Tasks[[#This Row],[_Pred2Text]]="","",TRIM(MID(SUBSTITUTE(SUBSTITUTE(SUBSTITUTE(UPPER(Tasks[[#This Row],[_Predecessors]]),";",",")," ",""),",",REPT(" ",99)),199,99)))</f>
        <v/>
      </c>
      <c r="DD7" s="42">
        <f>IF(Tasks[[#This Row],[_Pred3Text]]="","",IFERROR(VALUE(LEFT(Tasks[[#This Row],[_Pred3Text]],MIN(FIND("F",Tasks[[#This Row],[_Pred3Text]]&amp;"F"),FIND("S",Tasks[[#This Row],[_Pred3Text]]&amp;"S"),FIND("+",Tasks[[#This Row],[_Pred3Text]]&amp;"+"),FIND("-",Tasks[[#This Row],[_Pred3Text]]&amp;"-"))-1)),""))</f>
        <v/>
      </c>
      <c r="DE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 s="42">
        <f>IF(Tasks[[#This Row],[_Pred3Text]]="","",TRIM(MID(SUBSTITUTE(SUBSTITUTE(SUBSTITUTE(UPPER(Tasks[[#This Row],[_Predecessors]]),";",",")," ",""),",",REPT(" ",99)),298,99)))</f>
        <v/>
      </c>
      <c r="DH7" s="42">
        <f>IF(Tasks[[#This Row],[_Pred4Text]]="","",IFERROR(VALUE(LEFT(Tasks[[#This Row],[_Pred4Text]],MIN(FIND("F",Tasks[[#This Row],[_Pred4Text]]&amp;"F"),FIND("S",Tasks[[#This Row],[_Pred4Text]]&amp;"S"),FIND("+",Tasks[[#This Row],[_Pred4Text]]&amp;"+"),FIND("-",Tasks[[#This Row],[_Pred4Text]]&amp;"-"))-1)),""))</f>
        <v/>
      </c>
      <c r="DI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 s="42">
        <f>IF(OR(Tasks[[#This Row],[Task Name]]="",Tasks[[#This Row],[_Resources]]=""),"",TRIM(MID(SUBSTITUTE(Tasks[[#This Row],[_Resources]],",",REPT(" ",99)),1,99)))</f>
        <v/>
      </c>
      <c r="DL7" s="42">
        <f>IF(Tasks[[#This Row],[_Res1Text]]="","",TRIM(MID(SUBSTITUTE(Tasks[[#This Row],[_Resources]],",",REPT(" ",99)),100,99)))</f>
        <v/>
      </c>
      <c r="DM7" s="42">
        <f>IF(Tasks[[#This Row],[_Res2Text]]="","",TRIM(MID(SUBSTITUTE(Tasks[[#This Row],[_Resources]],",",REPT(" ",99)),199,99)))</f>
        <v/>
      </c>
      <c r="DN7" s="42">
        <f>IF(Tasks[[#This Row],[_Res3Text]]="","",TRIM(MID(SUBSTITUTE(Tasks[[#This Row],[_Resources]],",",REPT(" ",99)),298,99)))</f>
        <v/>
      </c>
      <c r="DO7" s="42">
        <f>IF(Tasks[[#This Row],[_Res1Text]]="",0,IFERROR(MATCH(TRIM(LEFT(Tasks[[#This Row],[_Res1Text]],FIND("[",Tasks[[#This Row],[_Res1Text]]&amp;"[")-1)),res_Name,0),IFERROR(MATCH(TRIM(LEFT(Tasks[[#This Row],[_Res1Text]],FIND("[",Tasks[[#This Row],[_Res1Text]]&amp;"[")-1)),res_Initials,0),0)))</f>
        <v/>
      </c>
      <c r="DP7" s="42">
        <f>IF(Tasks[[#This Row],[_Res2Text]]="",0,IFERROR(MATCH(TRIM(LEFT(Tasks[[#This Row],[_Res2Text]],FIND("[",Tasks[[#This Row],[_Res2Text]]&amp;"[")-1)),res_Name,0),IFERROR(MATCH(TRIM(LEFT(Tasks[[#This Row],[_Res2Text]],FIND("[",Tasks[[#This Row],[_Res2Text]]&amp;"[")-1)),res_Initials,0),0)))</f>
        <v/>
      </c>
      <c r="DQ7" s="42">
        <f>IF(Tasks[[#This Row],[_Res3Text]]="",0,IFERROR(MATCH(TRIM(LEFT(Tasks[[#This Row],[_Res3Text]],FIND("[",Tasks[[#This Row],[_Res3Text]]&amp;"[")-1)),res_Name,0),IFERROR(MATCH(TRIM(LEFT(Tasks[[#This Row],[_Res3Text]],FIND("[",Tasks[[#This Row],[_Res3Text]]&amp;"[")-1)),res_Initials,0),0)))</f>
        <v/>
      </c>
      <c r="DR7" s="42">
        <f>IF(Tasks[[#This Row],[_Res4Text]]="",0,IFERROR(MATCH(TRIM(LEFT(Tasks[[#This Row],[_Res4Text]],FIND("[",Tasks[[#This Row],[_Res4Text]]&amp;"[")-1)),res_Name,0),IFERROR(MATCH(TRIM(LEFT(Tasks[[#This Row],[_Res4Text]],FIND("[",Tasks[[#This Row],[_Res4Text]]&amp;"[")-1)),res_Initials,0),0)))</f>
        <v/>
      </c>
      <c r="DS7" s="42">
        <f>IF(Tasks[[#This Row],[_Res1Text]]="","",IF(Tasks[[#This Row],[_Res1Row]]&gt;0,INDEX(res_Name,Tasks[[#This Row],[_Res1Row]]),TRIM(LEFT(Tasks[[#This Row],[_Res1Text]],FIND("[",Tasks[[#This Row],[_Res1Text]]&amp;"[")-1))))</f>
        <v/>
      </c>
      <c r="DT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 s="42">
        <f>IF(NOT(Tasks[[#This Row],[_IsLeaf]]=1),0,(Tasks[[#This Row],[_Resource1]]&lt;&gt;"")+(Tasks[[#This Row],[_Res2]]&lt;&gt;"")+(Tasks[[#This Row],[_Res3]]&lt;&gt;"")+(Tasks[[#This Row],[_Res4]]&lt;&gt;""))</f>
        <v/>
      </c>
      <c r="DV7" s="42">
        <f>IF(Tasks[[#This Row],[_Res2Text]]="","",IF(Tasks[[#This Row],[_Res2Row]]&gt;0,INDEX(res_Name,Tasks[[#This Row],[_Res2Row]]),TRIM(LEFT(Tasks[[#This Row],[_Res2Text]],FIND("[",Tasks[[#This Row],[_Res2Text]]&amp;"[")-1))))</f>
        <v/>
      </c>
      <c r="DW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 s="42">
        <f>IF(OR(NOT(Tasks[[#This Row],[_IsLeaf]]=1),Tasks[[#This Row],[_Res2Row]]=0),0,N(Tasks[[#This Row],[_Days]])*HoursPerDay*IF(Tasks[[#This Row],[_Res2Units]]="",DefaultUnits,Tasks[[#This Row],[_Res2Units]]))</f>
        <v/>
      </c>
      <c r="DY7" s="42">
        <f>IF(AND(AND(Tasks[[#This Row],[_IsLeaf]]=1,Tasks[[#This Row],[_LeafTotalWork]]&gt;0),Tasks[[#This Row],[_Res2Work]]&gt;0),Tasks[[#This Row],[_Res2Work]]/(Tasks[[#This Row],[_FinishWorkday]]-Tasks[[#This Row],[_StartWorkday]]+1),0)</f>
        <v/>
      </c>
      <c r="DZ7" s="42">
        <f>Tasks[[#This Row],[_Res2WorkPerWD]]*MAX(0,Tasks[[#This Row],[_StartWorkday]]-1)</f>
        <v/>
      </c>
      <c r="EA7" s="42">
        <f>Tasks[[#This Row],[_Res2Work]]*Tasks[[#This Row],[_LeafProgress]]</f>
        <v/>
      </c>
      <c r="EB7" s="42">
        <f>IF(Tasks[[#This Row],[_Res3Text]]="","",IF(Tasks[[#This Row],[_Res3Row]]&gt;0,INDEX(res_Name,Tasks[[#This Row],[_Res3Row]]),TRIM(LEFT(Tasks[[#This Row],[_Res3Text]],FIND("[",Tasks[[#This Row],[_Res3Text]]&amp;"[")-1))))</f>
        <v/>
      </c>
      <c r="EC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 s="42">
        <f>IF(OR(NOT(Tasks[[#This Row],[_IsLeaf]]=1),Tasks[[#This Row],[_Res3Row]]=0),0,N(Tasks[[#This Row],[_Days]])*HoursPerDay*IF(Tasks[[#This Row],[_Res3Units]]="",DefaultUnits,Tasks[[#This Row],[_Res3Units]]))</f>
        <v/>
      </c>
      <c r="EE7" s="42">
        <f>IF(AND(AND(Tasks[[#This Row],[_IsLeaf]]=1,Tasks[[#This Row],[_LeafTotalWork]]&gt;0),Tasks[[#This Row],[_Res3Work]]&gt;0),Tasks[[#This Row],[_Res3Work]]/(Tasks[[#This Row],[_FinishWorkday]]-Tasks[[#This Row],[_StartWorkday]]+1),0)</f>
        <v/>
      </c>
      <c r="EF7" s="42">
        <f>Tasks[[#This Row],[_Res3WorkPerWD]]*MAX(0,Tasks[[#This Row],[_StartWorkday]]-1)</f>
        <v/>
      </c>
      <c r="EG7" s="42">
        <f>Tasks[[#This Row],[_Res3Work]]*Tasks[[#This Row],[_LeafProgress]]</f>
        <v/>
      </c>
      <c r="EH7" s="42">
        <f>IF(Tasks[[#This Row],[_Res4Text]]="","",IF(Tasks[[#This Row],[_Res4Row]]&gt;0,INDEX(res_Name,Tasks[[#This Row],[_Res4Row]]),TRIM(LEFT(Tasks[[#This Row],[_Res4Text]],FIND("[",Tasks[[#This Row],[_Res4Text]]&amp;"[")-1))))</f>
        <v/>
      </c>
      <c r="EI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 s="42">
        <f>IF(OR(NOT(Tasks[[#This Row],[_IsLeaf]]=1),Tasks[[#This Row],[_Res4Row]]=0),0,N(Tasks[[#This Row],[_Days]])*HoursPerDay*IF(Tasks[[#This Row],[_Res4Units]]="",DefaultUnits,Tasks[[#This Row],[_Res4Units]]))</f>
        <v/>
      </c>
      <c r="EK7" s="42">
        <f>IF(AND(AND(Tasks[[#This Row],[_IsLeaf]]=1,Tasks[[#This Row],[_LeafTotalWork]]&gt;0),Tasks[[#This Row],[_Res4Work]]&gt;0),Tasks[[#This Row],[_Res4Work]]/(Tasks[[#This Row],[_FinishWorkday]]-Tasks[[#This Row],[_StartWorkday]]+1),0)</f>
        <v/>
      </c>
      <c r="EL7" s="42">
        <f>Tasks[[#This Row],[_Res4WorkPerWD]]*MAX(0,Tasks[[#This Row],[_StartWorkday]]-1)</f>
        <v/>
      </c>
      <c r="EM7" s="42">
        <f>Tasks[[#This Row],[_Res4Work]]*Tasks[[#This Row],[_LeafProgress]]</f>
        <v/>
      </c>
      <c r="EN7" s="42">
        <f>IF(ISNUMBER(Tasks[[#This Row],[% Complete]]),Tasks[[#This Row],[% Complete]],IF(Tasks[[#This Row],[Stage]]="",0,IFERROR(INDEX(stg_Pct,MATCH(Tasks[[#This Row],[Stage]],stg_Name,0)),0)))</f>
        <v/>
      </c>
      <c r="EO7" s="42">
        <f>IF(NOT(Tasks[[#This Row],[_IsLeaf]]=1),0,IF(N(Tasks[[#This Row],[Actual Finish]])&gt;0,1,MIN(1,Tasks[[#This Row],[_Pct]])))</f>
        <v/>
      </c>
      <c r="EP7" s="42">
        <f>IF(OR(NOT(Tasks[[#This Row],[_IsLeaf]]=1),Tasks[[#This Row],[_Res1Row]]=0),0,N(Tasks[[#This Row],[_Days]])*HoursPerDay*IF(Tasks[[#This Row],[_Units1]]="",DefaultUnits,Tasks[[#This Row],[_Units1]]))</f>
        <v/>
      </c>
      <c r="EQ7" s="42">
        <f>Tasks[[#This Row],[_LeafWork]]+Tasks[[#This Row],[_Res2Work]]+Tasks[[#This Row],[_Res3Work]]+Tasks[[#This Row],[_Res4Work]]</f>
        <v/>
      </c>
      <c r="ER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 s="42">
        <f>IF(NOT(Tasks[[#This Row],[_IsLeaf]]=1),0,MAX(_xlfn.MAXIFS(Tasks[_Row],Tasks[_Pred1UID],Tasks[[#This Row],[UID]]),_xlfn.MAXIFS(Tasks[_Row],Tasks[_Pred2UID],Tasks[[#This Row],[UID]]),_xlfn.MAXIFS(Tasks[_Row],Tasks[_Pred3UID],Tasks[[#This Row],[UID]]),_xlfn.MAXIFS(Tasks[_Row],Tasks[_Pred4UID],Tasks[[#This Row],[UID]])))</f>
        <v/>
      </c>
      <c r="FA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 s="88">
        <f>IF(NOT(Tasks[[#This Row],[_IsLeaf]]=1),"",IF(N(Tasks[[#This Row],[_Days]])&lt;=0,Tasks[[#This Row],[_LeafLateFinish]],WORKDAY.INTL(Tasks[[#This Row],[_LeafLateFinish]],-(Tasks[[#This Row],[_Days]]-1),WorkWeek,Holidays)))</f>
        <v/>
      </c>
      <c r="FD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 s="42">
        <f>AND(Tasks[[#This Row],[_IsLeaf]]=1,Tasks[[#This Row],[_LeafProgress]]&lt;1,N(Tasks[[#This Row],[_LeafTotalSlack]])&lt;=CriticalSlackDays)</f>
        <v/>
      </c>
      <c r="FF7" s="42">
        <f>IF(AND(Tasks[[#This Row],[_IsLeaf]]=1,Tasks[[#This Row],[_ConstraintCode]]=1,Tasks[[#This Row],[Mode]]&lt;&gt;"Manual",N(Tasks[[#This Row],[Actual Start]])=0),MAX(0,N(Tasks[[#This Row],[Free Slack]])),0)</f>
        <v/>
      </c>
      <c r="FG7" s="88">
        <f>IF(NOT(Tasks[[#This Row],[_IsLeaf]]=1),"",IF(Tasks[[#This Row],[_AlapShift]]=0,Tasks[[#This Row],[_LeafCalcStart]],WORKDAY.INTL(Tasks[[#This Row],[_LeafCalcStart]],Tasks[[#This Row],[_AlapShift]],WorkWeek,Holidays)))</f>
        <v/>
      </c>
      <c r="FH7" s="88">
        <f>IF(NOT(Tasks[[#This Row],[_IsLeaf]]=1),"",IF(Tasks[[#This Row],[_AlapShift]]=0,Tasks[[#This Row],[_LeafCalcFinish]],WORKDAY.INTL(Tasks[[#This Row],[_LeafCalcFinish]],Tasks[[#This Row],[_AlapShift]],WorkWeek,Holidays)))</f>
        <v/>
      </c>
      <c r="FI7" s="88">
        <f>IF(NOT(Tasks[[#This Row],[_IsLeaf]]=1),"",IF(Tasks[[#This Row],[_AlapShift]]=0,Tasks[[#This Row],[_LeafFcstStart]],WORKDAY.INTL(Tasks[[#This Row],[_LeafFcstStart]],Tasks[[#This Row],[_AlapShift]],WorkWeek,Holidays)))</f>
        <v/>
      </c>
      <c r="FJ7" s="88">
        <f>IF(NOT(Tasks[[#This Row],[_IsLeaf]]=1),"",IF(Tasks[[#This Row],[_AlapShift]]=0,Tasks[[#This Row],[_LeafFcstFinish]],WORKDAY.INTL(Tasks[[#This Row],[_LeafFcstFinish]],Tasks[[#This Row],[_AlapShift]],WorkWeek,Holidays)))</f>
        <v/>
      </c>
      <c r="FK7" s="88">
        <f>IF(Tasks[[#This Row],[Task Name]]="","",IF(Tasks[[#This Row],[_IsSummary]],MIN(INDEX(Tasks[_ShownCalcStart],Tasks[[#This Row],[_Row]]+1):INDEX(Tasks[_ShownCalcStart],Tasks[[#This Row],[_Row]]+Tasks[[#This Row],[_Descendants]])),Tasks[[#This Row],[_ShownCalcStart]]))</f>
        <v/>
      </c>
      <c r="FL7" s="88">
        <f>IF(Tasks[[#This Row],[Task Name]]="","",IF(Tasks[[#This Row],[_IsSummary]],MAX(INDEX(Tasks[_ShownCalcFinish],Tasks[[#This Row],[_Row]]+1):INDEX(Tasks[_ShownCalcFinish],Tasks[[#This Row],[_Row]]+Tasks[[#This Row],[_Descendants]])),Tasks[[#This Row],[_ShownCalcFinish]]))</f>
        <v/>
      </c>
      <c r="FM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 s="42">
        <f>IF(AND(Tasks[[#This Row],[_IsLeaf]]=1,Tasks[[#This Row],[_LeafTotalWork]]&gt;0),NETWORKDAYS.INTL(ProjectStart,Tasks[[#This Row],[_ShownFcstStart]],WorkWeek,Holidays),0)</f>
        <v/>
      </c>
      <c r="FZ7" s="42">
        <f>IF(AND(Tasks[[#This Row],[_IsLeaf]]=1,Tasks[[#This Row],[_LeafTotalWork]]&gt;0),MAX(Tasks[[#This Row],[_StartWorkday]],NETWORKDAYS.INTL(ProjectStart,Tasks[[#This Row],[_ShownFcstFinish]],WorkWeek,Holidays)),0)</f>
        <v/>
      </c>
      <c r="GA7" s="42">
        <f>IF(AND(Tasks[[#This Row],[_IsLeaf]]=1,Tasks[[#This Row],[_LeafTotalWork]]&gt;0),Tasks[[#This Row],[_LeafWork]]/(Tasks[[#This Row],[_FinishWorkday]]-Tasks[[#This Row],[_StartWorkday]]+1),0)</f>
        <v/>
      </c>
      <c r="GB7" s="42">
        <f>Tasks[[#This Row],[_WorkPerWorkday]]*(Tasks[[#This Row],[_StartWorkday]]-1)</f>
        <v/>
      </c>
      <c r="GC7" s="42">
        <f>IF(Tasks[[#This Row],[_IsLeaf]]=1,MAX(N(Tasks[[#This Row],[_Days]]),0.1),0)</f>
        <v/>
      </c>
      <c r="GD7" s="42">
        <f>Tasks[[#This Row],[_WeightDur]]*Tasks[[#This Row],[_LeafProgress]]</f>
        <v/>
      </c>
      <c r="GE7" s="42">
        <f>Tasks[[#This Row],[_WeightDur]]*Tasks[[#This Row],[_PlannedPct]]</f>
        <v/>
      </c>
      <c r="GF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 s="42">
        <f>IF(AND(Tasks[[#This Row],[_IsLeaf]]=1,N(Tasks[[#This Row],[_Days]])=0,Tasks[[#This Row],[_LeafProgress]]&lt;1),Tasks[[#This Row],[_ShownFcstFinish]]+Tasks[[#This Row],[_Row]]/100000,"")</f>
        <v/>
      </c>
      <c r="GH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 s="42">
        <f>IF(Tasks[[#This Row],[Task Name]]="","",LEFT(Tasks[[#This Row],[WBS]],FIND(".",Tasks[[#This Row],[WBS]]&amp;".")-1))</f>
        <v/>
      </c>
      <c r="GJ7" s="42">
        <f>IF(AND(Tasks[[#This Row],[Task Name]]&lt;&gt;"",Tasks[[#This Row],[_Level]]=1),Tasks[[#This Row],[_Row]],"")</f>
        <v/>
      </c>
      <c r="GK7" s="42">
        <f>IF(AND(Tasks[[#This Row],[_IsLeaf]]=1,N(Tasks[[#This Row],[_Days]])=0),Tasks[[#This Row],[Planned Finish]]+Tasks[[#This Row],[_Row]]/100000,"")</f>
        <v/>
      </c>
      <c r="GL7" s="42">
        <f>IF(AND(Tasks[[#This Row],[_IsLeaf]]=1,Tasks[[#This Row],[_LeafProgress]]&lt;1,OR(N(Tasks[[#This Row],[Finish Var]])&gt;0,Tasks[[#This Row],[Status]]="Late Start")),MAX(0,Tasks[[#This Row],[Finish Var]])+1-Tasks[[#This Row],[_Row]]/1000000,"")</f>
        <v/>
      </c>
      <c r="GM7" s="42">
        <f>IF(AND(Tasks[[#This Row],[_IsLeaf]]=1,N(Tasks[[#This Row],[Actual Start]])=0,Tasks[[#This Row],[_ShownFcstStart]]&gt;=StatusDate,Tasks[[#This Row],[_ShownFcstStart]]&lt;=LookaheadEnd),Tasks[[#This Row],[_ShownFcstStart]]+Tasks[[#This Row],[_Row]]/100000,"")</f>
        <v/>
      </c>
      <c r="GN7" s="42">
        <f>IF(AND(Tasks[[#This Row],[_IsLeaf]]=1,Tasks[[#This Row],[_LeafProgress]]&lt;1,Tasks[[#This Row],[_ShownFcstFinish]]&gt;=StatusDate,Tasks[[#This Row],[_ShownFcstFinish]]&lt;=LookaheadEnd),Tasks[[#This Row],[_ShownFcstFinish]]+Tasks[[#This Row],[_Row]]/100000,"")</f>
        <v/>
      </c>
      <c r="GO7" s="42">
        <f>IF(Tasks[[#This Row],[_LeafCritical]],Tasks[[#This Row],[_ShownFcstStart]]+Tasks[[#This Row],[_Row]]/100000,"")</f>
        <v/>
      </c>
      <c r="GP7" s="42">
        <f>Tasks[[#This Row],[_LeafWork]]*Tasks[[#This Row],[_LeafProgress]]</f>
        <v/>
      </c>
      <c r="GQ7" s="88">
        <f>IF(AND(Tasks[[#This Row],[_IsLeaf]]=1,Tasks[[#This Row],[_LeafProgress]]&gt;=1),IF(N(Tasks[[#This Row],[Actual Finish]])&gt;0,Tasks[[#This Row],[Actual Finish]],Tasks[[#This Row],[_ShownFcstFinish]]),"")</f>
        <v/>
      </c>
      <c r="GR7" s="42">
        <f>IF(Tasks[[#This Row],[_IsLeaf]]=1,N(Tasks[[#This Row],[Story Points]]),0)</f>
        <v/>
      </c>
      <c r="GS7" s="42">
        <f>""</f>
        <v/>
      </c>
      <c r="GT7" s="42">
        <f>IF(Tasks[[#This Row],[Task Name]]="",FALSE(),AND(Tasks[[#This Row],[_IsLeaf]]=1,N(Tasks[[#This Row],[_Days]])=0))</f>
        <v/>
      </c>
      <c r="GU7" s="88">
        <f>IF(Tasks[[#This Row],[Task Name]]="",0,IF(AND(Tasks[[#This Row],[_IsLeaf]]=1,NOT(Tasks[[#This Row],[_IsMilestone]]),N(Tasks[[#This Row],[Progress]])&gt;0),Tasks[[#This Row],[Start]],0))</f>
        <v/>
      </c>
      <c r="GV7" s="88">
        <f>IF(Tasks[[#This Row],[_DoneFrom]]=0,0,IF(Tasks[[#This Row],[Progress]]&gt;=1,Tasks[[#This Row],[Finish]],MAX(Tasks[[#This Row],[_DoneFrom]],Tasks[[#This Row],[Start]]+ROUND((Tasks[[#This Row],[Finish]]-Tasks[[#This Row],[Start]]+1)*Tasks[[#This Row],[Progress]],0)-1)))</f>
        <v/>
      </c>
      <c r="GW7" s="88">
        <f>IF(Tasks[[#This Row],[Task Name]]="",0,IF(OR(NOT(Tasks[[#This Row],[_IsLeaf]]=1),Tasks[[#This Row],[_IsMilestone]],N(Tasks[[#This Row],[Progress]])&gt;=1),0,IF(Tasks[[#This Row],[_DoneTo]]&gt;0,Tasks[[#This Row],[_DoneTo]]+1,Tasks[[#This Row],[Start]])))</f>
        <v/>
      </c>
      <c r="GX7" s="88">
        <f>IF(Tasks[[#This Row],[_RemFrom]]=0,0,Tasks[[#This Row],[Finish]])</f>
        <v/>
      </c>
      <c r="GY7" s="42">
        <f>IF(Tasks[[#This Row],[Task Name]]="",FALSE(),OR(NOT(BaselineSet),N(Tasks[[#This Row],[Baseline Start]])&gt;0))</f>
        <v/>
      </c>
      <c r="GZ7" s="42">
        <f>IF(AND(Sandbox="Yes",L_PARSE_DURATION(Tasks[[#This Row],[Sandbox Duration]])&lt;&gt;""),L_PARSE_DURATION(Tasks[[#This Row],[Sandbox Duration]]),L_PARSE_DURATION(Tasks[[#This Row],[Duration]]))</f>
        <v/>
      </c>
      <c r="HA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 s="42">
        <f>IF(Tasks[[#This Row],[_IsLeaf]]=1,Tasks[[#This Row],[_Row]],"")</f>
        <v/>
      </c>
      <c r="HD7" s="42">
        <f>IFERROR(INDEX(Tasks[UID],SMALL(Tasks[_PickKey],Tasks[[#This Row],[_Row]]))&amp;" "&amp;INDEX(Tasks[Task Name],SMALL(Tasks[_PickKey],Tasks[[#This Row],[_Row]])),"")</f>
        <v/>
      </c>
      <c r="HE7" s="42">
        <f>IF(Tasks[[#This Row],[Task Name]]="","",IF(Tasks[[#This Row],[_IsSummary]],NETWORKDAYS.INTL(Tasks[[#This Row],[Start]],Tasks[[#This Row],[Finish]],WorkWeek,Holidays),N(Tasks[[#This Row],[_Days]])))</f>
        <v/>
      </c>
      <c r="HF7" s="42">
        <f>IF(Tasks[[#This Row],[Expected]]="",0,((Tasks[[#This Row],[Pessimistic]]-Tasks[[#This Row],[Optimistic]])/6)^2)</f>
        <v/>
      </c>
      <c r="HG7" s="42">
        <f>IF(Tasks[[#This Row],[Expected]]="",0,Tasks[[#This Row],[Expected]]-N(Tasks[[#This Row],[_Days]]))</f>
        <v/>
      </c>
    </row>
    <row r="8" outlineLevel="1">
      <c r="A8" s="21">
        <f>IF(Tasks[[#This Row],[Task Name]]="","",COUNTA(Tasks[[#Headers],[Task Name]]:Tasks[[#This Row],[Task Name]])-1)</f>
        <v/>
      </c>
      <c r="B8" s="22" t="n">
        <v>3</v>
      </c>
      <c r="C8" s="22" t="n">
        <v>2</v>
      </c>
      <c r="D8" s="89" t="inlineStr">
        <is>
          <t>Stakeholder kickoff workshop</t>
        </is>
      </c>
      <c r="E8" s="22" t="n">
        <v>2</v>
      </c>
      <c r="F8" s="23" t="n">
        <v>2</v>
      </c>
      <c r="G8" s="22" t="n"/>
      <c r="H8" s="22" t="n"/>
      <c r="I8" s="23" t="n"/>
      <c r="J8" s="22" t="n"/>
      <c r="K8" s="22" t="n"/>
      <c r="L8" s="23" t="n"/>
      <c r="M8" s="22" t="n"/>
      <c r="N8" s="22" t="n"/>
      <c r="O8" s="23" t="n"/>
      <c r="P8" s="22" t="n"/>
      <c r="Q8" s="22" t="n"/>
      <c r="R8" s="23" t="n"/>
      <c r="S8" s="23" t="inlineStr">
        <is>
          <t>Morgan Patel</t>
        </is>
      </c>
      <c r="T8" s="82" t="n"/>
      <c r="U8" s="23" t="n"/>
      <c r="V8" s="82" t="n"/>
      <c r="W8" s="23" t="n"/>
      <c r="X8" s="82" t="n"/>
      <c r="Y8" s="23" t="n"/>
      <c r="Z8" s="82" t="n"/>
      <c r="AA8" s="23" t="n"/>
      <c r="AB8" s="23" t="inlineStr">
        <is>
          <t>Complete</t>
        </is>
      </c>
      <c r="AC8" s="7" t="n">
        <v>46276</v>
      </c>
      <c r="AD8" s="7" t="n">
        <v>46279</v>
      </c>
      <c r="AE8" s="61">
        <f>IF(Tasks[[#This Row],[Task Name]]="","",IF(Tasks[[#This Row],[_IsSummary]],MIN(INDEX(Tasks[_ShownFcstStart],Tasks[[#This Row],[_Row]]+1):INDEX(Tasks[_ShownFcstStart],Tasks[[#This Row],[_Row]]+Tasks[[#This Row],[_Descendants]])),Tasks[[#This Row],[_ShownFcstStart]]))</f>
        <v/>
      </c>
      <c r="AF8" s="61">
        <f>IF(Tasks[[#This Row],[Task Name]]="","",IF(Tasks[[#This Row],[_IsSummary]],MAX(INDEX(Tasks[_ShownFcstFinish],Tasks[[#This Row],[_Row]]+1):INDEX(Tasks[_ShownFcstFinish],Tasks[[#This Row],[_Row]]+Tasks[[#This Row],[_Descendants]])),Tasks[[#This Row],[_ShownFcstFinish]]))</f>
        <v/>
      </c>
      <c r="AG8" s="21">
        <f>""</f>
        <v/>
      </c>
      <c r="AH8" s="23" t="inlineStr"/>
      <c r="AI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 s="7" t="n"/>
      <c r="AK8" s="22" t="inlineStr">
        <is>
          <t>Auto</t>
        </is>
      </c>
      <c r="AL8" s="23" t="n"/>
      <c r="AM8" s="7" t="n"/>
      <c r="AN8" s="21">
        <f>IF(Tasks[[#This Row],[Task Name]]="","",IF(Tasks[[#This Row],[Finish]]&gt;=Tasks[[#This Row],[Planned Finish]],NETWORKDAYS.INTL(Tasks[[#This Row],[Planned Finish]],Tasks[[#This Row],[Finish]],WorkWeek,Holidays)-1,1-NETWORKDAYS.INTL(Tasks[[#This Row],[Finish]],Tasks[[#This Row],[Planned Finish]],WorkWeek,Holidays)))</f>
        <v/>
      </c>
      <c r="AO8" s="21">
        <f>IF(Tasks[[#This Row],[Task Name]]="","",IF(Tasks[[#This Row],[Progress]]&gt;=1,"Complete",IF(OR(N(Tasks[[#This Row],[Actual Start]])&gt;0,Tasks[[#This Row],[Progress]]&gt;0),IF(Tasks[[#This Row],[Finish Var]]&gt;0,"Behind","In Progress"),IF(Tasks[[#This Row],[Planned Start]]&lt;StatusDate,"Late Start","Not Started"))))</f>
        <v/>
      </c>
      <c r="AP8" s="21">
        <f>IF(Tasks[[#This Row],[Task Name]]="","",IF(IF(Tasks[[#This Row],[_IsSummary]],COUNTIF(INDEX(Tasks[_LeafCritical],Tasks[[#This Row],[_Row]]+1):INDEX(Tasks[_LeafCritical],Tasks[[#This Row],[_Row]]+Tasks[[#This Row],[_Descendants]]),TRUE())&gt;0,Tasks[[#This Row],[_LeafCritical]]),"Yes",""))</f>
        <v/>
      </c>
      <c r="AQ8" s="61">
        <f>IF(Tasks[[#This Row],[Task Name]]="","",IF(N(Tasks[[#This Row],[Baseline Start]])&gt;0,Tasks[[#This Row],[Baseline Start]],Tasks[[#This Row],[_CalcStart]]))</f>
        <v/>
      </c>
      <c r="AR8" s="61">
        <f>IF(Tasks[[#This Row],[Task Name]]="","",IF(N(Tasks[[#This Row],[Baseline Finish]])&gt;0,Tasks[[#This Row],[Baseline Finish]],Tasks[[#This Row],[_CalcFinish]]))</f>
        <v/>
      </c>
      <c r="AS8" s="21">
        <f>IF(Tasks[[#This Row],[Task Name]]="","",IF(Tasks[[#This Row],[Start]]&gt;=Tasks[[#This Row],[Planned Start]],NETWORKDAYS.INTL(Tasks[[#This Row],[Planned Start]],Tasks[[#This Row],[Start]],WorkWeek,Holidays)-1,1-NETWORKDAYS.INTL(Tasks[[#This Row],[Start]],Tasks[[#This Row],[Planned Start]],WorkWeek,Holidays)))</f>
        <v/>
      </c>
      <c r="AT8" s="61">
        <f>IF(Tasks[[#This Row],[Task Name]]="","",IF(Tasks[[#This Row],[_IsSummary]],MIN(INDEX(Tasks[_LeafLateStart],Tasks[[#This Row],[_Row]]+1):INDEX(Tasks[_LeafLateStart],Tasks[[#This Row],[_Row]]+Tasks[[#This Row],[_Descendants]])),Tasks[[#This Row],[_LeafLateStart]]))</f>
        <v/>
      </c>
      <c r="AU8" s="61">
        <f>IF(Tasks[[#This Row],[Task Name]]="","",IF(Tasks[[#This Row],[_IsSummary]],MAX(INDEX(Tasks[_LeafLateFinish],Tasks[[#This Row],[_Row]]+1):INDEX(Tasks[_LeafLateFinish],Tasks[[#This Row],[_Row]]+Tasks[[#This Row],[_Descendants]])),Tasks[[#This Row],[_LeafLateFinish]]))</f>
        <v/>
      </c>
      <c r="AV8" s="21">
        <f>IF(Tasks[[#This Row],[Task Name]]="","",IF(Tasks[[#This Row],[_IsSummary]],MIN(INDEX(Tasks[_LeafTotalSlack],Tasks[[#This Row],[_Row]]+1):INDEX(Tasks[_LeafTotalSlack],Tasks[[#This Row],[_Row]]+Tasks[[#This Row],[_Descendants]])),Tasks[[#This Row],[_LeafTotalSlack]]))</f>
        <v/>
      </c>
      <c r="AW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3" t="n"/>
      <c r="BA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 s="21">
        <f>IF(Tasks[[#This Row],[Task Name]]="","",IF(Tasks[[#This Row],[_Level]]&lt;=OutlineShowLevel,"Yes","No"))</f>
        <v/>
      </c>
      <c r="BE8" s="84">
        <f>IF(Tasks[[#This Row],[Task Name]]="","",IF(Tasks[[#This Row],[_IsSummary]],SUM(INDEX(Tasks[_LeafTotalWork],Tasks[[#This Row],[_Row]]+1):INDEX(Tasks[_LeafTotalWork],Tasks[[#This Row],[_Row]]+Tasks[[#This Row],[_Descendants]])),Tasks[[#This Row],[_LeafTotalWork]]))</f>
        <v/>
      </c>
      <c r="BF8" s="23" t="n"/>
      <c r="BG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 s="21">
        <f>""</f>
        <v/>
      </c>
      <c r="BI8" s="85" t="n"/>
      <c r="BJ8" s="22" t="n"/>
      <c r="BK8" s="21">
        <f>IF(OR(Tasks[[#This Row],[Task Name]]="",Tasks[[#This Row],[Baseline Duration]]=""),"",Tasks[[#This Row],[_SpanDays]]-N(Tasks[[#This Row],[Baseline Duration]]))</f>
        <v/>
      </c>
      <c r="BL8" s="84">
        <f>IF(OR(Tasks[[#This Row],[Task Name]]="",Tasks[[#This Row],[Baseline Work]]=""),"",Tasks[[#This Row],[Work]]-N(Tasks[[#This Row],[Baseline Work]]))</f>
        <v/>
      </c>
      <c r="BM8" s="61">
        <f>IF(Tasks[[#This Row],[Task Name]]="","",IF(OR(TakeBaseline="Yes",N(Tasks[[#This Row],[Baseline Start]])=0),Tasks[[#This Row],[Start]],Tasks[[#This Row],[Baseline Start]]))</f>
        <v/>
      </c>
      <c r="BN8" s="61">
        <f>IF(Tasks[[#This Row],[Task Name]]="","",IF(OR(TakeBaseline="Yes",N(Tasks[[#This Row],[Baseline Finish]])=0),Tasks[[#This Row],[Finish]],Tasks[[#This Row],[Baseline Finish]]))</f>
        <v/>
      </c>
      <c r="BO8" s="21">
        <f>IF(Tasks[[#This Row],[Task Name]]="","",IF(OR(TakeBaseline="Yes",N(Tasks[[#This Row],[Baseline Duration]])=0),Tasks[[#This Row],[_SpanDays]],Tasks[[#This Row],[Baseline Duration]]))</f>
        <v/>
      </c>
      <c r="BP8" s="84">
        <f>IF(Tasks[[#This Row],[Task Name]]="","",IF(OR(TakeBaseline="Yes",N(Tasks[[#This Row],[Baseline Work]])=0),Tasks[[#This Row],[Work]],Tasks[[#This Row],[Baseline Work]]))</f>
        <v/>
      </c>
      <c r="BQ8" s="7" t="n">
        <v>46275</v>
      </c>
      <c r="BR8" s="7" t="n">
        <v>46276</v>
      </c>
      <c r="BS8" s="22" t="n">
        <v>2</v>
      </c>
      <c r="BT8" s="86" t="n">
        <v>16</v>
      </c>
      <c r="BU8" s="23" t="n"/>
      <c r="BV8" s="23" t="n"/>
      <c r="BW8" s="23" t="n"/>
      <c r="BX8" s="87">
        <f>IF(AND(Tasks[[#This Row],[_IsLeaf]]=1,ISNUMBER(Tasks[[#This Row],[Optimistic]]),ISNUMBER(Tasks[[#This Row],[Pessimistic]])),ROUND((Tasks[[#This Row],[Optimistic]]+4*N(Tasks[[#This Row],[_Days]])+Tasks[[#This Row],[Pessimistic]])/6,1),"")</f>
        <v/>
      </c>
      <c r="BY8" s="85" t="n"/>
      <c r="BZ8" s="85" t="n"/>
      <c r="CA8" s="22" t="n"/>
      <c r="CB8" s="42">
        <f>IF(Tasks[[#This Row],[Task Name]]="","",MAX(1,N(Tasks[[#This Row],[Level]])))</f>
        <v/>
      </c>
      <c r="CC8" s="42">
        <f>ROW()-ROW(Tasks[[#Headers],[ID]])</f>
        <v/>
      </c>
      <c r="CD8" s="42">
        <f>IF(OR(Tasks[[#This Row],[Task Name]]="",Tasks[[#This Row],[_Level]]&lt;=1),0,IFERROR(LOOKUP(2,1/(Tasks[[#Headers],[_Level]]:Tasks[[#This Row],[_Level]]=Tasks[[#This Row],[_Level]]-1),ROW(Tasks[[#Headers],[_Level]]:Tasks[[#This Row],[_Level]])),0))</f>
        <v/>
      </c>
      <c r="CE8" s="42">
        <f>IFERROR(N(INDEX(Tasks[_Level],Tasks[[#This Row],[_Row]]+1)),0)</f>
        <v/>
      </c>
      <c r="CF8" s="42">
        <f>AND(Tasks[[#This Row],[Task Name]]&lt;&gt;"",Tasks[[#This Row],[_NextLevel]]&gt;Tasks[[#This Row],[_Level]])</f>
        <v/>
      </c>
      <c r="CG8" s="42">
        <f>IF(Tasks[[#This Row],[_IsSummary]],COUNTIF(Tasks[WBS],Tasks[[#This Row],[WBS]]&amp;".*"),0)</f>
        <v/>
      </c>
      <c r="CH8" s="42">
        <f>IF(AND(Tasks[[#This Row],[Task Name]]&lt;&gt;"",NOT(Tasks[[#This Row],[_IsSummary]])),1,0)</f>
        <v/>
      </c>
      <c r="CI8" s="42">
        <f>IF(N(Tasks[[#This Row],[_Pred1UID]])=0,0,IFERROR(MATCH(Tasks[[#This Row],[_Pred1UID]],Tasks[UID],0),-1))</f>
        <v/>
      </c>
      <c r="CJ8" s="42">
        <f>IF(N(Tasks[[#This Row],[_Pred2UID]])=0,0,IFERROR(MATCH(Tasks[[#This Row],[_Pred2UID]],Tasks[UID],0),-1))</f>
        <v/>
      </c>
      <c r="CK8" s="42">
        <f>IF(N(Tasks[[#This Row],[_Pred3UID]])=0,0,IFERROR(MATCH(Tasks[[#This Row],[_Pred3UID]],Tasks[UID],0),-1))</f>
        <v/>
      </c>
      <c r="CL8" s="42">
        <f>IF(N(Tasks[[#This Row],[_Pred4UID]])=0,0,IFERROR(MATCH(Tasks[[#This Row],[_Pred4UID]],Tasks[UID],0),-1))</f>
        <v/>
      </c>
      <c r="CM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 s="88">
        <f>IF(N(Tasks[[#This Row],[Constraint Date]])=0,0,IF(AND(OR(Tasks[[#This Row],[_ConstraintCode]]=3,Tasks[[#This Row],[_ConstraintCode]]=6,Tasks[[#This Row],[_ConstraintCode]]=7),N(Tasks[[#This Row],[_Days]])&gt;1),WORKDAY.INTL(N(Tasks[[#This Row],[Constraint Date]]),-(N(Tasks[[#This Row],[_Days]])-1),WorkWeek,Holidays),N(Tasks[[#This Row],[Constraint Date]])))</f>
        <v/>
      </c>
      <c r="CO8" s="88">
        <f>IF(OR(Tasks[[#This Row],[_ConstraintCode]]=2,Tasks[[#This Row],[_ConstraintCode]]=3,Tasks[[#This Row],[_ConstraintCode]]=4,Tasks[[#This Row],[_ConstraintCode]]=6),Tasks[[#This Row],[_ConstraintStart]],0)</f>
        <v/>
      </c>
      <c r="CP8" s="88">
        <f>IF(OR(Tasks[[#This Row],[_ConstraintCode]]=2,Tasks[[#This Row],[_ConstraintCode]]=3,Tasks[[#This Row],[_ConstraintCode]]=5,Tasks[[#This Row],[_ConstraintCode]]=7),Tasks[[#This Row],[_ConstraintStart]],2958465)</f>
        <v/>
      </c>
      <c r="CQ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 s="88">
        <f>IF(NOT(Tasks[[#This Row],[_IsLeaf]]=1),"",IF(N(Tasks[[#This Row],[_Days]])&lt;=0,Tasks[[#This Row],[_LeafCalcStart]],WORKDAY.INTL(Tasks[[#This Row],[_LeafCalcStart]],Tasks[[#This Row],[_Days]]-1,WorkWeek,Holidays)))</f>
        <v/>
      </c>
      <c r="CS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 s="42">
        <f>IF(Tasks[[#This Row],[_Predecessors]]="","",TRIM(MID(SUBSTITUTE(SUBSTITUTE(SUBSTITUTE(UPPER(Tasks[[#This Row],[_Predecessors]]),";",",")," ",""),",",REPT(" ",99)),1,99)))</f>
        <v/>
      </c>
      <c r="CV8" s="42">
        <f>IF(Tasks[[#This Row],[_Pred1Text]]="","",IFERROR(VALUE(LEFT(Tasks[[#This Row],[_Pred1Text]],MIN(FIND("F",Tasks[[#This Row],[_Pred1Text]]&amp;"F"),FIND("S",Tasks[[#This Row],[_Pred1Text]]&amp;"S"),FIND("+",Tasks[[#This Row],[_Pred1Text]]&amp;"+"),FIND("-",Tasks[[#This Row],[_Pred1Text]]&amp;"-"))-1)),""))</f>
        <v/>
      </c>
      <c r="CW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 s="42">
        <f>IF(Tasks[[#This Row],[_Pred1Text]]="","",TRIM(MID(SUBSTITUTE(SUBSTITUTE(SUBSTITUTE(UPPER(Tasks[[#This Row],[_Predecessors]]),";",",")," ",""),",",REPT(" ",99)),100,99)))</f>
        <v/>
      </c>
      <c r="CZ8" s="42">
        <f>IF(Tasks[[#This Row],[_Pred2Text]]="","",IFERROR(VALUE(LEFT(Tasks[[#This Row],[_Pred2Text]],MIN(FIND("F",Tasks[[#This Row],[_Pred2Text]]&amp;"F"),FIND("S",Tasks[[#This Row],[_Pred2Text]]&amp;"S"),FIND("+",Tasks[[#This Row],[_Pred2Text]]&amp;"+"),FIND("-",Tasks[[#This Row],[_Pred2Text]]&amp;"-"))-1)),""))</f>
        <v/>
      </c>
      <c r="DA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 s="42">
        <f>IF(Tasks[[#This Row],[_Pred2Text]]="","",TRIM(MID(SUBSTITUTE(SUBSTITUTE(SUBSTITUTE(UPPER(Tasks[[#This Row],[_Predecessors]]),";",",")," ",""),",",REPT(" ",99)),199,99)))</f>
        <v/>
      </c>
      <c r="DD8" s="42">
        <f>IF(Tasks[[#This Row],[_Pred3Text]]="","",IFERROR(VALUE(LEFT(Tasks[[#This Row],[_Pred3Text]],MIN(FIND("F",Tasks[[#This Row],[_Pred3Text]]&amp;"F"),FIND("S",Tasks[[#This Row],[_Pred3Text]]&amp;"S"),FIND("+",Tasks[[#This Row],[_Pred3Text]]&amp;"+"),FIND("-",Tasks[[#This Row],[_Pred3Text]]&amp;"-"))-1)),""))</f>
        <v/>
      </c>
      <c r="DE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 s="42">
        <f>IF(Tasks[[#This Row],[_Pred3Text]]="","",TRIM(MID(SUBSTITUTE(SUBSTITUTE(SUBSTITUTE(UPPER(Tasks[[#This Row],[_Predecessors]]),";",",")," ",""),",",REPT(" ",99)),298,99)))</f>
        <v/>
      </c>
      <c r="DH8" s="42">
        <f>IF(Tasks[[#This Row],[_Pred4Text]]="","",IFERROR(VALUE(LEFT(Tasks[[#This Row],[_Pred4Text]],MIN(FIND("F",Tasks[[#This Row],[_Pred4Text]]&amp;"F"),FIND("S",Tasks[[#This Row],[_Pred4Text]]&amp;"S"),FIND("+",Tasks[[#This Row],[_Pred4Text]]&amp;"+"),FIND("-",Tasks[[#This Row],[_Pred4Text]]&amp;"-"))-1)),""))</f>
        <v/>
      </c>
      <c r="DI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 s="42">
        <f>IF(OR(Tasks[[#This Row],[Task Name]]="",Tasks[[#This Row],[_Resources]]=""),"",TRIM(MID(SUBSTITUTE(Tasks[[#This Row],[_Resources]],",",REPT(" ",99)),1,99)))</f>
        <v/>
      </c>
      <c r="DL8" s="42">
        <f>IF(Tasks[[#This Row],[_Res1Text]]="","",TRIM(MID(SUBSTITUTE(Tasks[[#This Row],[_Resources]],",",REPT(" ",99)),100,99)))</f>
        <v/>
      </c>
      <c r="DM8" s="42">
        <f>IF(Tasks[[#This Row],[_Res2Text]]="","",TRIM(MID(SUBSTITUTE(Tasks[[#This Row],[_Resources]],",",REPT(" ",99)),199,99)))</f>
        <v/>
      </c>
      <c r="DN8" s="42">
        <f>IF(Tasks[[#This Row],[_Res3Text]]="","",TRIM(MID(SUBSTITUTE(Tasks[[#This Row],[_Resources]],",",REPT(" ",99)),298,99)))</f>
        <v/>
      </c>
      <c r="DO8" s="42">
        <f>IF(Tasks[[#This Row],[_Res1Text]]="",0,IFERROR(MATCH(TRIM(LEFT(Tasks[[#This Row],[_Res1Text]],FIND("[",Tasks[[#This Row],[_Res1Text]]&amp;"[")-1)),res_Name,0),IFERROR(MATCH(TRIM(LEFT(Tasks[[#This Row],[_Res1Text]],FIND("[",Tasks[[#This Row],[_Res1Text]]&amp;"[")-1)),res_Initials,0),0)))</f>
        <v/>
      </c>
      <c r="DP8" s="42">
        <f>IF(Tasks[[#This Row],[_Res2Text]]="",0,IFERROR(MATCH(TRIM(LEFT(Tasks[[#This Row],[_Res2Text]],FIND("[",Tasks[[#This Row],[_Res2Text]]&amp;"[")-1)),res_Name,0),IFERROR(MATCH(TRIM(LEFT(Tasks[[#This Row],[_Res2Text]],FIND("[",Tasks[[#This Row],[_Res2Text]]&amp;"[")-1)),res_Initials,0),0)))</f>
        <v/>
      </c>
      <c r="DQ8" s="42">
        <f>IF(Tasks[[#This Row],[_Res3Text]]="",0,IFERROR(MATCH(TRIM(LEFT(Tasks[[#This Row],[_Res3Text]],FIND("[",Tasks[[#This Row],[_Res3Text]]&amp;"[")-1)),res_Name,0),IFERROR(MATCH(TRIM(LEFT(Tasks[[#This Row],[_Res3Text]],FIND("[",Tasks[[#This Row],[_Res3Text]]&amp;"[")-1)),res_Initials,0),0)))</f>
        <v/>
      </c>
      <c r="DR8" s="42">
        <f>IF(Tasks[[#This Row],[_Res4Text]]="",0,IFERROR(MATCH(TRIM(LEFT(Tasks[[#This Row],[_Res4Text]],FIND("[",Tasks[[#This Row],[_Res4Text]]&amp;"[")-1)),res_Name,0),IFERROR(MATCH(TRIM(LEFT(Tasks[[#This Row],[_Res4Text]],FIND("[",Tasks[[#This Row],[_Res4Text]]&amp;"[")-1)),res_Initials,0),0)))</f>
        <v/>
      </c>
      <c r="DS8" s="42">
        <f>IF(Tasks[[#This Row],[_Res1Text]]="","",IF(Tasks[[#This Row],[_Res1Row]]&gt;0,INDEX(res_Name,Tasks[[#This Row],[_Res1Row]]),TRIM(LEFT(Tasks[[#This Row],[_Res1Text]],FIND("[",Tasks[[#This Row],[_Res1Text]]&amp;"[")-1))))</f>
        <v/>
      </c>
      <c r="DT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 s="42">
        <f>IF(NOT(Tasks[[#This Row],[_IsLeaf]]=1),0,(Tasks[[#This Row],[_Resource1]]&lt;&gt;"")+(Tasks[[#This Row],[_Res2]]&lt;&gt;"")+(Tasks[[#This Row],[_Res3]]&lt;&gt;"")+(Tasks[[#This Row],[_Res4]]&lt;&gt;""))</f>
        <v/>
      </c>
      <c r="DV8" s="42">
        <f>IF(Tasks[[#This Row],[_Res2Text]]="","",IF(Tasks[[#This Row],[_Res2Row]]&gt;0,INDEX(res_Name,Tasks[[#This Row],[_Res2Row]]),TRIM(LEFT(Tasks[[#This Row],[_Res2Text]],FIND("[",Tasks[[#This Row],[_Res2Text]]&amp;"[")-1))))</f>
        <v/>
      </c>
      <c r="DW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 s="42">
        <f>IF(OR(NOT(Tasks[[#This Row],[_IsLeaf]]=1),Tasks[[#This Row],[_Res2Row]]=0),0,N(Tasks[[#This Row],[_Days]])*HoursPerDay*IF(Tasks[[#This Row],[_Res2Units]]="",DefaultUnits,Tasks[[#This Row],[_Res2Units]]))</f>
        <v/>
      </c>
      <c r="DY8" s="42">
        <f>IF(AND(AND(Tasks[[#This Row],[_IsLeaf]]=1,Tasks[[#This Row],[_LeafTotalWork]]&gt;0),Tasks[[#This Row],[_Res2Work]]&gt;0),Tasks[[#This Row],[_Res2Work]]/(Tasks[[#This Row],[_FinishWorkday]]-Tasks[[#This Row],[_StartWorkday]]+1),0)</f>
        <v/>
      </c>
      <c r="DZ8" s="42">
        <f>Tasks[[#This Row],[_Res2WorkPerWD]]*MAX(0,Tasks[[#This Row],[_StartWorkday]]-1)</f>
        <v/>
      </c>
      <c r="EA8" s="42">
        <f>Tasks[[#This Row],[_Res2Work]]*Tasks[[#This Row],[_LeafProgress]]</f>
        <v/>
      </c>
      <c r="EB8" s="42">
        <f>IF(Tasks[[#This Row],[_Res3Text]]="","",IF(Tasks[[#This Row],[_Res3Row]]&gt;0,INDEX(res_Name,Tasks[[#This Row],[_Res3Row]]),TRIM(LEFT(Tasks[[#This Row],[_Res3Text]],FIND("[",Tasks[[#This Row],[_Res3Text]]&amp;"[")-1))))</f>
        <v/>
      </c>
      <c r="EC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 s="42">
        <f>IF(OR(NOT(Tasks[[#This Row],[_IsLeaf]]=1),Tasks[[#This Row],[_Res3Row]]=0),0,N(Tasks[[#This Row],[_Days]])*HoursPerDay*IF(Tasks[[#This Row],[_Res3Units]]="",DefaultUnits,Tasks[[#This Row],[_Res3Units]]))</f>
        <v/>
      </c>
      <c r="EE8" s="42">
        <f>IF(AND(AND(Tasks[[#This Row],[_IsLeaf]]=1,Tasks[[#This Row],[_LeafTotalWork]]&gt;0),Tasks[[#This Row],[_Res3Work]]&gt;0),Tasks[[#This Row],[_Res3Work]]/(Tasks[[#This Row],[_FinishWorkday]]-Tasks[[#This Row],[_StartWorkday]]+1),0)</f>
        <v/>
      </c>
      <c r="EF8" s="42">
        <f>Tasks[[#This Row],[_Res3WorkPerWD]]*MAX(0,Tasks[[#This Row],[_StartWorkday]]-1)</f>
        <v/>
      </c>
      <c r="EG8" s="42">
        <f>Tasks[[#This Row],[_Res3Work]]*Tasks[[#This Row],[_LeafProgress]]</f>
        <v/>
      </c>
      <c r="EH8" s="42">
        <f>IF(Tasks[[#This Row],[_Res4Text]]="","",IF(Tasks[[#This Row],[_Res4Row]]&gt;0,INDEX(res_Name,Tasks[[#This Row],[_Res4Row]]),TRIM(LEFT(Tasks[[#This Row],[_Res4Text]],FIND("[",Tasks[[#This Row],[_Res4Text]]&amp;"[")-1))))</f>
        <v/>
      </c>
      <c r="EI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 s="42">
        <f>IF(OR(NOT(Tasks[[#This Row],[_IsLeaf]]=1),Tasks[[#This Row],[_Res4Row]]=0),0,N(Tasks[[#This Row],[_Days]])*HoursPerDay*IF(Tasks[[#This Row],[_Res4Units]]="",DefaultUnits,Tasks[[#This Row],[_Res4Units]]))</f>
        <v/>
      </c>
      <c r="EK8" s="42">
        <f>IF(AND(AND(Tasks[[#This Row],[_IsLeaf]]=1,Tasks[[#This Row],[_LeafTotalWork]]&gt;0),Tasks[[#This Row],[_Res4Work]]&gt;0),Tasks[[#This Row],[_Res4Work]]/(Tasks[[#This Row],[_FinishWorkday]]-Tasks[[#This Row],[_StartWorkday]]+1),0)</f>
        <v/>
      </c>
      <c r="EL8" s="42">
        <f>Tasks[[#This Row],[_Res4WorkPerWD]]*MAX(0,Tasks[[#This Row],[_StartWorkday]]-1)</f>
        <v/>
      </c>
      <c r="EM8" s="42">
        <f>Tasks[[#This Row],[_Res4Work]]*Tasks[[#This Row],[_LeafProgress]]</f>
        <v/>
      </c>
      <c r="EN8" s="42">
        <f>IF(ISNUMBER(Tasks[[#This Row],[% Complete]]),Tasks[[#This Row],[% Complete]],IF(Tasks[[#This Row],[Stage]]="",0,IFERROR(INDEX(stg_Pct,MATCH(Tasks[[#This Row],[Stage]],stg_Name,0)),0)))</f>
        <v/>
      </c>
      <c r="EO8" s="42">
        <f>IF(NOT(Tasks[[#This Row],[_IsLeaf]]=1),0,IF(N(Tasks[[#This Row],[Actual Finish]])&gt;0,1,MIN(1,Tasks[[#This Row],[_Pct]])))</f>
        <v/>
      </c>
      <c r="EP8" s="42">
        <f>IF(OR(NOT(Tasks[[#This Row],[_IsLeaf]]=1),Tasks[[#This Row],[_Res1Row]]=0),0,N(Tasks[[#This Row],[_Days]])*HoursPerDay*IF(Tasks[[#This Row],[_Units1]]="",DefaultUnits,Tasks[[#This Row],[_Units1]]))</f>
        <v/>
      </c>
      <c r="EQ8" s="42">
        <f>Tasks[[#This Row],[_LeafWork]]+Tasks[[#This Row],[_Res2Work]]+Tasks[[#This Row],[_Res3Work]]+Tasks[[#This Row],[_Res4Work]]</f>
        <v/>
      </c>
      <c r="ER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 s="42">
        <f>IF(NOT(Tasks[[#This Row],[_IsLeaf]]=1),0,MAX(_xlfn.MAXIFS(Tasks[_Row],Tasks[_Pred1UID],Tasks[[#This Row],[UID]]),_xlfn.MAXIFS(Tasks[_Row],Tasks[_Pred2UID],Tasks[[#This Row],[UID]]),_xlfn.MAXIFS(Tasks[_Row],Tasks[_Pred3UID],Tasks[[#This Row],[UID]]),_xlfn.MAXIFS(Tasks[_Row],Tasks[_Pred4UID],Tasks[[#This Row],[UID]])))</f>
        <v/>
      </c>
      <c r="FA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 s="88">
        <f>IF(NOT(Tasks[[#This Row],[_IsLeaf]]=1),"",IF(N(Tasks[[#This Row],[_Days]])&lt;=0,Tasks[[#This Row],[_LeafLateFinish]],WORKDAY.INTL(Tasks[[#This Row],[_LeafLateFinish]],-(Tasks[[#This Row],[_Days]]-1),WorkWeek,Holidays)))</f>
        <v/>
      </c>
      <c r="FD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 s="42">
        <f>AND(Tasks[[#This Row],[_IsLeaf]]=1,Tasks[[#This Row],[_LeafProgress]]&lt;1,N(Tasks[[#This Row],[_LeafTotalSlack]])&lt;=CriticalSlackDays)</f>
        <v/>
      </c>
      <c r="FF8" s="42">
        <f>IF(AND(Tasks[[#This Row],[_IsLeaf]]=1,Tasks[[#This Row],[_ConstraintCode]]=1,Tasks[[#This Row],[Mode]]&lt;&gt;"Manual",N(Tasks[[#This Row],[Actual Start]])=0),MAX(0,N(Tasks[[#This Row],[Free Slack]])),0)</f>
        <v/>
      </c>
      <c r="FG8" s="88">
        <f>IF(NOT(Tasks[[#This Row],[_IsLeaf]]=1),"",IF(Tasks[[#This Row],[_AlapShift]]=0,Tasks[[#This Row],[_LeafCalcStart]],WORKDAY.INTL(Tasks[[#This Row],[_LeafCalcStart]],Tasks[[#This Row],[_AlapShift]],WorkWeek,Holidays)))</f>
        <v/>
      </c>
      <c r="FH8" s="88">
        <f>IF(NOT(Tasks[[#This Row],[_IsLeaf]]=1),"",IF(Tasks[[#This Row],[_AlapShift]]=0,Tasks[[#This Row],[_LeafCalcFinish]],WORKDAY.INTL(Tasks[[#This Row],[_LeafCalcFinish]],Tasks[[#This Row],[_AlapShift]],WorkWeek,Holidays)))</f>
        <v/>
      </c>
      <c r="FI8" s="88">
        <f>IF(NOT(Tasks[[#This Row],[_IsLeaf]]=1),"",IF(Tasks[[#This Row],[_AlapShift]]=0,Tasks[[#This Row],[_LeafFcstStart]],WORKDAY.INTL(Tasks[[#This Row],[_LeafFcstStart]],Tasks[[#This Row],[_AlapShift]],WorkWeek,Holidays)))</f>
        <v/>
      </c>
      <c r="FJ8" s="88">
        <f>IF(NOT(Tasks[[#This Row],[_IsLeaf]]=1),"",IF(Tasks[[#This Row],[_AlapShift]]=0,Tasks[[#This Row],[_LeafFcstFinish]],WORKDAY.INTL(Tasks[[#This Row],[_LeafFcstFinish]],Tasks[[#This Row],[_AlapShift]],WorkWeek,Holidays)))</f>
        <v/>
      </c>
      <c r="FK8" s="88">
        <f>IF(Tasks[[#This Row],[Task Name]]="","",IF(Tasks[[#This Row],[_IsSummary]],MIN(INDEX(Tasks[_ShownCalcStart],Tasks[[#This Row],[_Row]]+1):INDEX(Tasks[_ShownCalcStart],Tasks[[#This Row],[_Row]]+Tasks[[#This Row],[_Descendants]])),Tasks[[#This Row],[_ShownCalcStart]]))</f>
        <v/>
      </c>
      <c r="FL8" s="88">
        <f>IF(Tasks[[#This Row],[Task Name]]="","",IF(Tasks[[#This Row],[_IsSummary]],MAX(INDEX(Tasks[_ShownCalcFinish],Tasks[[#This Row],[_Row]]+1):INDEX(Tasks[_ShownCalcFinish],Tasks[[#This Row],[_Row]]+Tasks[[#This Row],[_Descendants]])),Tasks[[#This Row],[_ShownCalcFinish]]))</f>
        <v/>
      </c>
      <c r="FM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 s="42">
        <f>IF(AND(Tasks[[#This Row],[_IsLeaf]]=1,Tasks[[#This Row],[_LeafTotalWork]]&gt;0),NETWORKDAYS.INTL(ProjectStart,Tasks[[#This Row],[_ShownFcstStart]],WorkWeek,Holidays),0)</f>
        <v/>
      </c>
      <c r="FZ8" s="42">
        <f>IF(AND(Tasks[[#This Row],[_IsLeaf]]=1,Tasks[[#This Row],[_LeafTotalWork]]&gt;0),MAX(Tasks[[#This Row],[_StartWorkday]],NETWORKDAYS.INTL(ProjectStart,Tasks[[#This Row],[_ShownFcstFinish]],WorkWeek,Holidays)),0)</f>
        <v/>
      </c>
      <c r="GA8" s="42">
        <f>IF(AND(Tasks[[#This Row],[_IsLeaf]]=1,Tasks[[#This Row],[_LeafTotalWork]]&gt;0),Tasks[[#This Row],[_LeafWork]]/(Tasks[[#This Row],[_FinishWorkday]]-Tasks[[#This Row],[_StartWorkday]]+1),0)</f>
        <v/>
      </c>
      <c r="GB8" s="42">
        <f>Tasks[[#This Row],[_WorkPerWorkday]]*(Tasks[[#This Row],[_StartWorkday]]-1)</f>
        <v/>
      </c>
      <c r="GC8" s="42">
        <f>IF(Tasks[[#This Row],[_IsLeaf]]=1,MAX(N(Tasks[[#This Row],[_Days]]),0.1),0)</f>
        <v/>
      </c>
      <c r="GD8" s="42">
        <f>Tasks[[#This Row],[_WeightDur]]*Tasks[[#This Row],[_LeafProgress]]</f>
        <v/>
      </c>
      <c r="GE8" s="42">
        <f>Tasks[[#This Row],[_WeightDur]]*Tasks[[#This Row],[_PlannedPct]]</f>
        <v/>
      </c>
      <c r="GF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 s="42">
        <f>IF(AND(Tasks[[#This Row],[_IsLeaf]]=1,N(Tasks[[#This Row],[_Days]])=0,Tasks[[#This Row],[_LeafProgress]]&lt;1),Tasks[[#This Row],[_ShownFcstFinish]]+Tasks[[#This Row],[_Row]]/100000,"")</f>
        <v/>
      </c>
      <c r="GH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 s="42">
        <f>IF(Tasks[[#This Row],[Task Name]]="","",LEFT(Tasks[[#This Row],[WBS]],FIND(".",Tasks[[#This Row],[WBS]]&amp;".")-1))</f>
        <v/>
      </c>
      <c r="GJ8" s="42">
        <f>IF(AND(Tasks[[#This Row],[Task Name]]&lt;&gt;"",Tasks[[#This Row],[_Level]]=1),Tasks[[#This Row],[_Row]],"")</f>
        <v/>
      </c>
      <c r="GK8" s="42">
        <f>IF(AND(Tasks[[#This Row],[_IsLeaf]]=1,N(Tasks[[#This Row],[_Days]])=0),Tasks[[#This Row],[Planned Finish]]+Tasks[[#This Row],[_Row]]/100000,"")</f>
        <v/>
      </c>
      <c r="GL8" s="42">
        <f>IF(AND(Tasks[[#This Row],[_IsLeaf]]=1,Tasks[[#This Row],[_LeafProgress]]&lt;1,OR(N(Tasks[[#This Row],[Finish Var]])&gt;0,Tasks[[#This Row],[Status]]="Late Start")),MAX(0,Tasks[[#This Row],[Finish Var]])+1-Tasks[[#This Row],[_Row]]/1000000,"")</f>
        <v/>
      </c>
      <c r="GM8" s="42">
        <f>IF(AND(Tasks[[#This Row],[_IsLeaf]]=1,N(Tasks[[#This Row],[Actual Start]])=0,Tasks[[#This Row],[_ShownFcstStart]]&gt;=StatusDate,Tasks[[#This Row],[_ShownFcstStart]]&lt;=LookaheadEnd),Tasks[[#This Row],[_ShownFcstStart]]+Tasks[[#This Row],[_Row]]/100000,"")</f>
        <v/>
      </c>
      <c r="GN8" s="42">
        <f>IF(AND(Tasks[[#This Row],[_IsLeaf]]=1,Tasks[[#This Row],[_LeafProgress]]&lt;1,Tasks[[#This Row],[_ShownFcstFinish]]&gt;=StatusDate,Tasks[[#This Row],[_ShownFcstFinish]]&lt;=LookaheadEnd),Tasks[[#This Row],[_ShownFcstFinish]]+Tasks[[#This Row],[_Row]]/100000,"")</f>
        <v/>
      </c>
      <c r="GO8" s="42">
        <f>IF(Tasks[[#This Row],[_LeafCritical]],Tasks[[#This Row],[_ShownFcstStart]]+Tasks[[#This Row],[_Row]]/100000,"")</f>
        <v/>
      </c>
      <c r="GP8" s="42">
        <f>Tasks[[#This Row],[_LeafWork]]*Tasks[[#This Row],[_LeafProgress]]</f>
        <v/>
      </c>
      <c r="GQ8" s="88">
        <f>IF(AND(Tasks[[#This Row],[_IsLeaf]]=1,Tasks[[#This Row],[_LeafProgress]]&gt;=1),IF(N(Tasks[[#This Row],[Actual Finish]])&gt;0,Tasks[[#This Row],[Actual Finish]],Tasks[[#This Row],[_ShownFcstFinish]]),"")</f>
        <v/>
      </c>
      <c r="GR8" s="42">
        <f>IF(Tasks[[#This Row],[_IsLeaf]]=1,N(Tasks[[#This Row],[Story Points]]),0)</f>
        <v/>
      </c>
      <c r="GS8" s="42">
        <f>""</f>
        <v/>
      </c>
      <c r="GT8" s="42">
        <f>IF(Tasks[[#This Row],[Task Name]]="",FALSE(),AND(Tasks[[#This Row],[_IsLeaf]]=1,N(Tasks[[#This Row],[_Days]])=0))</f>
        <v/>
      </c>
      <c r="GU8" s="88">
        <f>IF(Tasks[[#This Row],[Task Name]]="",0,IF(AND(Tasks[[#This Row],[_IsLeaf]]=1,NOT(Tasks[[#This Row],[_IsMilestone]]),N(Tasks[[#This Row],[Progress]])&gt;0),Tasks[[#This Row],[Start]],0))</f>
        <v/>
      </c>
      <c r="GV8" s="88">
        <f>IF(Tasks[[#This Row],[_DoneFrom]]=0,0,IF(Tasks[[#This Row],[Progress]]&gt;=1,Tasks[[#This Row],[Finish]],MAX(Tasks[[#This Row],[_DoneFrom]],Tasks[[#This Row],[Start]]+ROUND((Tasks[[#This Row],[Finish]]-Tasks[[#This Row],[Start]]+1)*Tasks[[#This Row],[Progress]],0)-1)))</f>
        <v/>
      </c>
      <c r="GW8" s="88">
        <f>IF(Tasks[[#This Row],[Task Name]]="",0,IF(OR(NOT(Tasks[[#This Row],[_IsLeaf]]=1),Tasks[[#This Row],[_IsMilestone]],N(Tasks[[#This Row],[Progress]])&gt;=1),0,IF(Tasks[[#This Row],[_DoneTo]]&gt;0,Tasks[[#This Row],[_DoneTo]]+1,Tasks[[#This Row],[Start]])))</f>
        <v/>
      </c>
      <c r="GX8" s="88">
        <f>IF(Tasks[[#This Row],[_RemFrom]]=0,0,Tasks[[#This Row],[Finish]])</f>
        <v/>
      </c>
      <c r="GY8" s="42">
        <f>IF(Tasks[[#This Row],[Task Name]]="",FALSE(),OR(NOT(BaselineSet),N(Tasks[[#This Row],[Baseline Start]])&gt;0))</f>
        <v/>
      </c>
      <c r="GZ8" s="42">
        <f>IF(AND(Sandbox="Yes",L_PARSE_DURATION(Tasks[[#This Row],[Sandbox Duration]])&lt;&gt;""),L_PARSE_DURATION(Tasks[[#This Row],[Sandbox Duration]]),L_PARSE_DURATION(Tasks[[#This Row],[Duration]]))</f>
        <v/>
      </c>
      <c r="HA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 s="42">
        <f>IF(Tasks[[#This Row],[_IsLeaf]]=1,Tasks[[#This Row],[_Row]],"")</f>
        <v/>
      </c>
      <c r="HD8" s="42">
        <f>IFERROR(INDEX(Tasks[UID],SMALL(Tasks[_PickKey],Tasks[[#This Row],[_Row]]))&amp;" "&amp;INDEX(Tasks[Task Name],SMALL(Tasks[_PickKey],Tasks[[#This Row],[_Row]])),"")</f>
        <v/>
      </c>
      <c r="HE8" s="42">
        <f>IF(Tasks[[#This Row],[Task Name]]="","",IF(Tasks[[#This Row],[_IsSummary]],NETWORKDAYS.INTL(Tasks[[#This Row],[Start]],Tasks[[#This Row],[Finish]],WorkWeek,Holidays),N(Tasks[[#This Row],[_Days]])))</f>
        <v/>
      </c>
      <c r="HF8" s="42">
        <f>IF(Tasks[[#This Row],[Expected]]="",0,((Tasks[[#This Row],[Pessimistic]]-Tasks[[#This Row],[Optimistic]])/6)^2)</f>
        <v/>
      </c>
      <c r="HG8" s="42">
        <f>IF(Tasks[[#This Row],[Expected]]="",0,Tasks[[#This Row],[Expected]]-N(Tasks[[#This Row],[_Days]]))</f>
        <v/>
      </c>
    </row>
    <row r="9" outlineLevel="1">
      <c r="A9" s="21">
        <f>IF(Tasks[[#This Row],[Task Name]]="","",COUNTA(Tasks[[#Headers],[Task Name]]:Tasks[[#This Row],[Task Name]])-1)</f>
        <v/>
      </c>
      <c r="B9" s="22" t="n">
        <v>4</v>
      </c>
      <c r="C9" s="22" t="n">
        <v>2</v>
      </c>
      <c r="D9" s="89" t="inlineStr">
        <is>
          <t>Kickoff complete</t>
        </is>
      </c>
      <c r="E9" s="22" t="n">
        <v>0</v>
      </c>
      <c r="F9" s="23" t="n">
        <v>3</v>
      </c>
      <c r="G9" s="22" t="n"/>
      <c r="H9" s="22" t="n"/>
      <c r="I9" s="23" t="n"/>
      <c r="J9" s="22" t="n"/>
      <c r="K9" s="22" t="n"/>
      <c r="L9" s="23" t="n"/>
      <c r="M9" s="22" t="n"/>
      <c r="N9" s="22" t="n"/>
      <c r="O9" s="23" t="n"/>
      <c r="P9" s="22" t="n"/>
      <c r="Q9" s="22" t="n"/>
      <c r="R9" s="23" t="n"/>
      <c r="S9" s="23" t="n"/>
      <c r="T9" s="82" t="n"/>
      <c r="U9" s="23" t="n"/>
      <c r="V9" s="82" t="n"/>
      <c r="W9" s="23" t="n"/>
      <c r="X9" s="82" t="n"/>
      <c r="Y9" s="23" t="n"/>
      <c r="Z9" s="82" t="n"/>
      <c r="AA9" s="23" t="n"/>
      <c r="AB9" s="23" t="inlineStr">
        <is>
          <t>Complete</t>
        </is>
      </c>
      <c r="AC9" s="7" t="n">
        <v>46279</v>
      </c>
      <c r="AD9" s="7" t="n">
        <v>46279</v>
      </c>
      <c r="AE9" s="61">
        <f>IF(Tasks[[#This Row],[Task Name]]="","",IF(Tasks[[#This Row],[_IsSummary]],MIN(INDEX(Tasks[_ShownFcstStart],Tasks[[#This Row],[_Row]]+1):INDEX(Tasks[_ShownFcstStart],Tasks[[#This Row],[_Row]]+Tasks[[#This Row],[_Descendants]])),Tasks[[#This Row],[_ShownFcstStart]]))</f>
        <v/>
      </c>
      <c r="AF9" s="61">
        <f>IF(Tasks[[#This Row],[Task Name]]="","",IF(Tasks[[#This Row],[_IsSummary]],MAX(INDEX(Tasks[_ShownFcstFinish],Tasks[[#This Row],[_Row]]+1):INDEX(Tasks[_ShownFcstFinish],Tasks[[#This Row],[_Row]]+Tasks[[#This Row],[_Descendants]])),Tasks[[#This Row],[_ShownFcstFinish]]))</f>
        <v/>
      </c>
      <c r="AG9" s="21">
        <f>""</f>
        <v/>
      </c>
      <c r="AH9" s="23" t="inlineStr">
        <is>
          <t>Milestone (Duration 0).</t>
        </is>
      </c>
      <c r="AI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 s="7" t="n"/>
      <c r="AK9" s="22" t="inlineStr">
        <is>
          <t>Auto</t>
        </is>
      </c>
      <c r="AL9" s="23" t="n"/>
      <c r="AM9" s="7" t="n"/>
      <c r="AN9" s="21">
        <f>IF(Tasks[[#This Row],[Task Name]]="","",IF(Tasks[[#This Row],[Finish]]&gt;=Tasks[[#This Row],[Planned Finish]],NETWORKDAYS.INTL(Tasks[[#This Row],[Planned Finish]],Tasks[[#This Row],[Finish]],WorkWeek,Holidays)-1,1-NETWORKDAYS.INTL(Tasks[[#This Row],[Finish]],Tasks[[#This Row],[Planned Finish]],WorkWeek,Holidays)))</f>
        <v/>
      </c>
      <c r="AO9" s="21">
        <f>IF(Tasks[[#This Row],[Task Name]]="","",IF(Tasks[[#This Row],[Progress]]&gt;=1,"Complete",IF(OR(N(Tasks[[#This Row],[Actual Start]])&gt;0,Tasks[[#This Row],[Progress]]&gt;0),IF(Tasks[[#This Row],[Finish Var]]&gt;0,"Behind","In Progress"),IF(Tasks[[#This Row],[Planned Start]]&lt;StatusDate,"Late Start","Not Started"))))</f>
        <v/>
      </c>
      <c r="AP9" s="21">
        <f>IF(Tasks[[#This Row],[Task Name]]="","",IF(IF(Tasks[[#This Row],[_IsSummary]],COUNTIF(INDEX(Tasks[_LeafCritical],Tasks[[#This Row],[_Row]]+1):INDEX(Tasks[_LeafCritical],Tasks[[#This Row],[_Row]]+Tasks[[#This Row],[_Descendants]]),TRUE())&gt;0,Tasks[[#This Row],[_LeafCritical]]),"Yes",""))</f>
        <v/>
      </c>
      <c r="AQ9" s="61">
        <f>IF(Tasks[[#This Row],[Task Name]]="","",IF(N(Tasks[[#This Row],[Baseline Start]])&gt;0,Tasks[[#This Row],[Baseline Start]],Tasks[[#This Row],[_CalcStart]]))</f>
        <v/>
      </c>
      <c r="AR9" s="61">
        <f>IF(Tasks[[#This Row],[Task Name]]="","",IF(N(Tasks[[#This Row],[Baseline Finish]])&gt;0,Tasks[[#This Row],[Baseline Finish]],Tasks[[#This Row],[_CalcFinish]]))</f>
        <v/>
      </c>
      <c r="AS9" s="21">
        <f>IF(Tasks[[#This Row],[Task Name]]="","",IF(Tasks[[#This Row],[Start]]&gt;=Tasks[[#This Row],[Planned Start]],NETWORKDAYS.INTL(Tasks[[#This Row],[Planned Start]],Tasks[[#This Row],[Start]],WorkWeek,Holidays)-1,1-NETWORKDAYS.INTL(Tasks[[#This Row],[Start]],Tasks[[#This Row],[Planned Start]],WorkWeek,Holidays)))</f>
        <v/>
      </c>
      <c r="AT9" s="61">
        <f>IF(Tasks[[#This Row],[Task Name]]="","",IF(Tasks[[#This Row],[_IsSummary]],MIN(INDEX(Tasks[_LeafLateStart],Tasks[[#This Row],[_Row]]+1):INDEX(Tasks[_LeafLateStart],Tasks[[#This Row],[_Row]]+Tasks[[#This Row],[_Descendants]])),Tasks[[#This Row],[_LeafLateStart]]))</f>
        <v/>
      </c>
      <c r="AU9" s="61">
        <f>IF(Tasks[[#This Row],[Task Name]]="","",IF(Tasks[[#This Row],[_IsSummary]],MAX(INDEX(Tasks[_LeafLateFinish],Tasks[[#This Row],[_Row]]+1):INDEX(Tasks[_LeafLateFinish],Tasks[[#This Row],[_Row]]+Tasks[[#This Row],[_Descendants]])),Tasks[[#This Row],[_LeafLateFinish]]))</f>
        <v/>
      </c>
      <c r="AV9" s="21">
        <f>IF(Tasks[[#This Row],[Task Name]]="","",IF(Tasks[[#This Row],[_IsSummary]],MIN(INDEX(Tasks[_LeafTotalSlack],Tasks[[#This Row],[_Row]]+1):INDEX(Tasks[_LeafTotalSlack],Tasks[[#This Row],[_Row]]+Tasks[[#This Row],[_Descendants]])),Tasks[[#This Row],[_LeafTotalSlack]]))</f>
        <v/>
      </c>
      <c r="AW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3" t="n"/>
      <c r="BA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 s="21">
        <f>IF(Tasks[[#This Row],[Task Name]]="","",IF(Tasks[[#This Row],[_Level]]&lt;=OutlineShowLevel,"Yes","No"))</f>
        <v/>
      </c>
      <c r="BE9" s="84">
        <f>IF(Tasks[[#This Row],[Task Name]]="","",IF(Tasks[[#This Row],[_IsSummary]],SUM(INDEX(Tasks[_LeafTotalWork],Tasks[[#This Row],[_Row]]+1):INDEX(Tasks[_LeafTotalWork],Tasks[[#This Row],[_Row]]+Tasks[[#This Row],[_Descendants]])),Tasks[[#This Row],[_LeafTotalWork]]))</f>
        <v/>
      </c>
      <c r="BF9" s="23" t="n"/>
      <c r="BG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f>""</f>
        <v/>
      </c>
      <c r="BI9" s="85" t="n"/>
      <c r="BJ9" s="22" t="n"/>
      <c r="BK9" s="21">
        <f>IF(OR(Tasks[[#This Row],[Task Name]]="",Tasks[[#This Row],[Baseline Duration]]=""),"",Tasks[[#This Row],[_SpanDays]]-N(Tasks[[#This Row],[Baseline Duration]]))</f>
        <v/>
      </c>
      <c r="BL9" s="84">
        <f>IF(OR(Tasks[[#This Row],[Task Name]]="",Tasks[[#This Row],[Baseline Work]]=""),"",Tasks[[#This Row],[Work]]-N(Tasks[[#This Row],[Baseline Work]]))</f>
        <v/>
      </c>
      <c r="BM9" s="61">
        <f>IF(Tasks[[#This Row],[Task Name]]="","",IF(OR(TakeBaseline="Yes",N(Tasks[[#This Row],[Baseline Start]])=0),Tasks[[#This Row],[Start]],Tasks[[#This Row],[Baseline Start]]))</f>
        <v/>
      </c>
      <c r="BN9" s="61">
        <f>IF(Tasks[[#This Row],[Task Name]]="","",IF(OR(TakeBaseline="Yes",N(Tasks[[#This Row],[Baseline Finish]])=0),Tasks[[#This Row],[Finish]],Tasks[[#This Row],[Baseline Finish]]))</f>
        <v/>
      </c>
      <c r="BO9" s="21">
        <f>IF(Tasks[[#This Row],[Task Name]]="","",IF(OR(TakeBaseline="Yes",N(Tasks[[#This Row],[Baseline Duration]])=0),Tasks[[#This Row],[_SpanDays]],Tasks[[#This Row],[Baseline Duration]]))</f>
        <v/>
      </c>
      <c r="BP9" s="84">
        <f>IF(Tasks[[#This Row],[Task Name]]="","",IF(OR(TakeBaseline="Yes",N(Tasks[[#This Row],[Baseline Work]])=0),Tasks[[#This Row],[Work]],Tasks[[#This Row],[Baseline Work]]))</f>
        <v/>
      </c>
      <c r="BQ9" s="7" t="n">
        <v>46276</v>
      </c>
      <c r="BR9" s="7" t="n">
        <v>46276</v>
      </c>
      <c r="BS9" s="22" t="n">
        <v>0</v>
      </c>
      <c r="BT9" s="86" t="n">
        <v>0</v>
      </c>
      <c r="BU9" s="23" t="n"/>
      <c r="BV9" s="23" t="n"/>
      <c r="BW9" s="23" t="n"/>
      <c r="BX9" s="87">
        <f>IF(AND(Tasks[[#This Row],[_IsLeaf]]=1,ISNUMBER(Tasks[[#This Row],[Optimistic]]),ISNUMBER(Tasks[[#This Row],[Pessimistic]])),ROUND((Tasks[[#This Row],[Optimistic]]+4*N(Tasks[[#This Row],[_Days]])+Tasks[[#This Row],[Pessimistic]])/6,1),"")</f>
        <v/>
      </c>
      <c r="BY9" s="85" t="n"/>
      <c r="BZ9" s="85" t="n"/>
      <c r="CA9" s="22" t="n"/>
      <c r="CB9" s="42">
        <f>IF(Tasks[[#This Row],[Task Name]]="","",MAX(1,N(Tasks[[#This Row],[Level]])))</f>
        <v/>
      </c>
      <c r="CC9" s="42">
        <f>ROW()-ROW(Tasks[[#Headers],[ID]])</f>
        <v/>
      </c>
      <c r="CD9" s="42">
        <f>IF(OR(Tasks[[#This Row],[Task Name]]="",Tasks[[#This Row],[_Level]]&lt;=1),0,IFERROR(LOOKUP(2,1/(Tasks[[#Headers],[_Level]]:Tasks[[#This Row],[_Level]]=Tasks[[#This Row],[_Level]]-1),ROW(Tasks[[#Headers],[_Level]]:Tasks[[#This Row],[_Level]])),0))</f>
        <v/>
      </c>
      <c r="CE9" s="42">
        <f>IFERROR(N(INDEX(Tasks[_Level],Tasks[[#This Row],[_Row]]+1)),0)</f>
        <v/>
      </c>
      <c r="CF9" s="42">
        <f>AND(Tasks[[#This Row],[Task Name]]&lt;&gt;"",Tasks[[#This Row],[_NextLevel]]&gt;Tasks[[#This Row],[_Level]])</f>
        <v/>
      </c>
      <c r="CG9" s="42">
        <f>IF(Tasks[[#This Row],[_IsSummary]],COUNTIF(Tasks[WBS],Tasks[[#This Row],[WBS]]&amp;".*"),0)</f>
        <v/>
      </c>
      <c r="CH9" s="42">
        <f>IF(AND(Tasks[[#This Row],[Task Name]]&lt;&gt;"",NOT(Tasks[[#This Row],[_IsSummary]])),1,0)</f>
        <v/>
      </c>
      <c r="CI9" s="42">
        <f>IF(N(Tasks[[#This Row],[_Pred1UID]])=0,0,IFERROR(MATCH(Tasks[[#This Row],[_Pred1UID]],Tasks[UID],0),-1))</f>
        <v/>
      </c>
      <c r="CJ9" s="42">
        <f>IF(N(Tasks[[#This Row],[_Pred2UID]])=0,0,IFERROR(MATCH(Tasks[[#This Row],[_Pred2UID]],Tasks[UID],0),-1))</f>
        <v/>
      </c>
      <c r="CK9" s="42">
        <f>IF(N(Tasks[[#This Row],[_Pred3UID]])=0,0,IFERROR(MATCH(Tasks[[#This Row],[_Pred3UID]],Tasks[UID],0),-1))</f>
        <v/>
      </c>
      <c r="CL9" s="42">
        <f>IF(N(Tasks[[#This Row],[_Pred4UID]])=0,0,IFERROR(MATCH(Tasks[[#This Row],[_Pred4UID]],Tasks[UID],0),-1))</f>
        <v/>
      </c>
      <c r="CM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 s="88">
        <f>IF(N(Tasks[[#This Row],[Constraint Date]])=0,0,IF(AND(OR(Tasks[[#This Row],[_ConstraintCode]]=3,Tasks[[#This Row],[_ConstraintCode]]=6,Tasks[[#This Row],[_ConstraintCode]]=7),N(Tasks[[#This Row],[_Days]])&gt;1),WORKDAY.INTL(N(Tasks[[#This Row],[Constraint Date]]),-(N(Tasks[[#This Row],[_Days]])-1),WorkWeek,Holidays),N(Tasks[[#This Row],[Constraint Date]])))</f>
        <v/>
      </c>
      <c r="CO9" s="88">
        <f>IF(OR(Tasks[[#This Row],[_ConstraintCode]]=2,Tasks[[#This Row],[_ConstraintCode]]=3,Tasks[[#This Row],[_ConstraintCode]]=4,Tasks[[#This Row],[_ConstraintCode]]=6),Tasks[[#This Row],[_ConstraintStart]],0)</f>
        <v/>
      </c>
      <c r="CP9" s="88">
        <f>IF(OR(Tasks[[#This Row],[_ConstraintCode]]=2,Tasks[[#This Row],[_ConstraintCode]]=3,Tasks[[#This Row],[_ConstraintCode]]=5,Tasks[[#This Row],[_ConstraintCode]]=7),Tasks[[#This Row],[_ConstraintStart]],2958465)</f>
        <v/>
      </c>
      <c r="CQ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 s="88">
        <f>IF(NOT(Tasks[[#This Row],[_IsLeaf]]=1),"",IF(N(Tasks[[#This Row],[_Days]])&lt;=0,Tasks[[#This Row],[_LeafCalcStart]],WORKDAY.INTL(Tasks[[#This Row],[_LeafCalcStart]],Tasks[[#This Row],[_Days]]-1,WorkWeek,Holidays)))</f>
        <v/>
      </c>
      <c r="CS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 s="42">
        <f>IF(Tasks[[#This Row],[_Predecessors]]="","",TRIM(MID(SUBSTITUTE(SUBSTITUTE(SUBSTITUTE(UPPER(Tasks[[#This Row],[_Predecessors]]),";",",")," ",""),",",REPT(" ",99)),1,99)))</f>
        <v/>
      </c>
      <c r="CV9" s="42">
        <f>IF(Tasks[[#This Row],[_Pred1Text]]="","",IFERROR(VALUE(LEFT(Tasks[[#This Row],[_Pred1Text]],MIN(FIND("F",Tasks[[#This Row],[_Pred1Text]]&amp;"F"),FIND("S",Tasks[[#This Row],[_Pred1Text]]&amp;"S"),FIND("+",Tasks[[#This Row],[_Pred1Text]]&amp;"+"),FIND("-",Tasks[[#This Row],[_Pred1Text]]&amp;"-"))-1)),""))</f>
        <v/>
      </c>
      <c r="CW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 s="42">
        <f>IF(Tasks[[#This Row],[_Pred1Text]]="","",TRIM(MID(SUBSTITUTE(SUBSTITUTE(SUBSTITUTE(UPPER(Tasks[[#This Row],[_Predecessors]]),";",",")," ",""),",",REPT(" ",99)),100,99)))</f>
        <v/>
      </c>
      <c r="CZ9" s="42">
        <f>IF(Tasks[[#This Row],[_Pred2Text]]="","",IFERROR(VALUE(LEFT(Tasks[[#This Row],[_Pred2Text]],MIN(FIND("F",Tasks[[#This Row],[_Pred2Text]]&amp;"F"),FIND("S",Tasks[[#This Row],[_Pred2Text]]&amp;"S"),FIND("+",Tasks[[#This Row],[_Pred2Text]]&amp;"+"),FIND("-",Tasks[[#This Row],[_Pred2Text]]&amp;"-"))-1)),""))</f>
        <v/>
      </c>
      <c r="DA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 s="42">
        <f>IF(Tasks[[#This Row],[_Pred2Text]]="","",TRIM(MID(SUBSTITUTE(SUBSTITUTE(SUBSTITUTE(UPPER(Tasks[[#This Row],[_Predecessors]]),";",",")," ",""),",",REPT(" ",99)),199,99)))</f>
        <v/>
      </c>
      <c r="DD9" s="42">
        <f>IF(Tasks[[#This Row],[_Pred3Text]]="","",IFERROR(VALUE(LEFT(Tasks[[#This Row],[_Pred3Text]],MIN(FIND("F",Tasks[[#This Row],[_Pred3Text]]&amp;"F"),FIND("S",Tasks[[#This Row],[_Pred3Text]]&amp;"S"),FIND("+",Tasks[[#This Row],[_Pred3Text]]&amp;"+"),FIND("-",Tasks[[#This Row],[_Pred3Text]]&amp;"-"))-1)),""))</f>
        <v/>
      </c>
      <c r="DE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 s="42">
        <f>IF(Tasks[[#This Row],[_Pred3Text]]="","",TRIM(MID(SUBSTITUTE(SUBSTITUTE(SUBSTITUTE(UPPER(Tasks[[#This Row],[_Predecessors]]),";",",")," ",""),",",REPT(" ",99)),298,99)))</f>
        <v/>
      </c>
      <c r="DH9" s="42">
        <f>IF(Tasks[[#This Row],[_Pred4Text]]="","",IFERROR(VALUE(LEFT(Tasks[[#This Row],[_Pred4Text]],MIN(FIND("F",Tasks[[#This Row],[_Pred4Text]]&amp;"F"),FIND("S",Tasks[[#This Row],[_Pred4Text]]&amp;"S"),FIND("+",Tasks[[#This Row],[_Pred4Text]]&amp;"+"),FIND("-",Tasks[[#This Row],[_Pred4Text]]&amp;"-"))-1)),""))</f>
        <v/>
      </c>
      <c r="DI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 s="42">
        <f>IF(OR(Tasks[[#This Row],[Task Name]]="",Tasks[[#This Row],[_Resources]]=""),"",TRIM(MID(SUBSTITUTE(Tasks[[#This Row],[_Resources]],",",REPT(" ",99)),1,99)))</f>
        <v/>
      </c>
      <c r="DL9" s="42">
        <f>IF(Tasks[[#This Row],[_Res1Text]]="","",TRIM(MID(SUBSTITUTE(Tasks[[#This Row],[_Resources]],",",REPT(" ",99)),100,99)))</f>
        <v/>
      </c>
      <c r="DM9" s="42">
        <f>IF(Tasks[[#This Row],[_Res2Text]]="","",TRIM(MID(SUBSTITUTE(Tasks[[#This Row],[_Resources]],",",REPT(" ",99)),199,99)))</f>
        <v/>
      </c>
      <c r="DN9" s="42">
        <f>IF(Tasks[[#This Row],[_Res3Text]]="","",TRIM(MID(SUBSTITUTE(Tasks[[#This Row],[_Resources]],",",REPT(" ",99)),298,99)))</f>
        <v/>
      </c>
      <c r="DO9" s="42">
        <f>IF(Tasks[[#This Row],[_Res1Text]]="",0,IFERROR(MATCH(TRIM(LEFT(Tasks[[#This Row],[_Res1Text]],FIND("[",Tasks[[#This Row],[_Res1Text]]&amp;"[")-1)),res_Name,0),IFERROR(MATCH(TRIM(LEFT(Tasks[[#This Row],[_Res1Text]],FIND("[",Tasks[[#This Row],[_Res1Text]]&amp;"[")-1)),res_Initials,0),0)))</f>
        <v/>
      </c>
      <c r="DP9" s="42">
        <f>IF(Tasks[[#This Row],[_Res2Text]]="",0,IFERROR(MATCH(TRIM(LEFT(Tasks[[#This Row],[_Res2Text]],FIND("[",Tasks[[#This Row],[_Res2Text]]&amp;"[")-1)),res_Name,0),IFERROR(MATCH(TRIM(LEFT(Tasks[[#This Row],[_Res2Text]],FIND("[",Tasks[[#This Row],[_Res2Text]]&amp;"[")-1)),res_Initials,0),0)))</f>
        <v/>
      </c>
      <c r="DQ9" s="42">
        <f>IF(Tasks[[#This Row],[_Res3Text]]="",0,IFERROR(MATCH(TRIM(LEFT(Tasks[[#This Row],[_Res3Text]],FIND("[",Tasks[[#This Row],[_Res3Text]]&amp;"[")-1)),res_Name,0),IFERROR(MATCH(TRIM(LEFT(Tasks[[#This Row],[_Res3Text]],FIND("[",Tasks[[#This Row],[_Res3Text]]&amp;"[")-1)),res_Initials,0),0)))</f>
        <v/>
      </c>
      <c r="DR9" s="42">
        <f>IF(Tasks[[#This Row],[_Res4Text]]="",0,IFERROR(MATCH(TRIM(LEFT(Tasks[[#This Row],[_Res4Text]],FIND("[",Tasks[[#This Row],[_Res4Text]]&amp;"[")-1)),res_Name,0),IFERROR(MATCH(TRIM(LEFT(Tasks[[#This Row],[_Res4Text]],FIND("[",Tasks[[#This Row],[_Res4Text]]&amp;"[")-1)),res_Initials,0),0)))</f>
        <v/>
      </c>
      <c r="DS9" s="42">
        <f>IF(Tasks[[#This Row],[_Res1Text]]="","",IF(Tasks[[#This Row],[_Res1Row]]&gt;0,INDEX(res_Name,Tasks[[#This Row],[_Res1Row]]),TRIM(LEFT(Tasks[[#This Row],[_Res1Text]],FIND("[",Tasks[[#This Row],[_Res1Text]]&amp;"[")-1))))</f>
        <v/>
      </c>
      <c r="DT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 s="42">
        <f>IF(NOT(Tasks[[#This Row],[_IsLeaf]]=1),0,(Tasks[[#This Row],[_Resource1]]&lt;&gt;"")+(Tasks[[#This Row],[_Res2]]&lt;&gt;"")+(Tasks[[#This Row],[_Res3]]&lt;&gt;"")+(Tasks[[#This Row],[_Res4]]&lt;&gt;""))</f>
        <v/>
      </c>
      <c r="DV9" s="42">
        <f>IF(Tasks[[#This Row],[_Res2Text]]="","",IF(Tasks[[#This Row],[_Res2Row]]&gt;0,INDEX(res_Name,Tasks[[#This Row],[_Res2Row]]),TRIM(LEFT(Tasks[[#This Row],[_Res2Text]],FIND("[",Tasks[[#This Row],[_Res2Text]]&amp;"[")-1))))</f>
        <v/>
      </c>
      <c r="DW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 s="42">
        <f>IF(OR(NOT(Tasks[[#This Row],[_IsLeaf]]=1),Tasks[[#This Row],[_Res2Row]]=0),0,N(Tasks[[#This Row],[_Days]])*HoursPerDay*IF(Tasks[[#This Row],[_Res2Units]]="",DefaultUnits,Tasks[[#This Row],[_Res2Units]]))</f>
        <v/>
      </c>
      <c r="DY9" s="42">
        <f>IF(AND(AND(Tasks[[#This Row],[_IsLeaf]]=1,Tasks[[#This Row],[_LeafTotalWork]]&gt;0),Tasks[[#This Row],[_Res2Work]]&gt;0),Tasks[[#This Row],[_Res2Work]]/(Tasks[[#This Row],[_FinishWorkday]]-Tasks[[#This Row],[_StartWorkday]]+1),0)</f>
        <v/>
      </c>
      <c r="DZ9" s="42">
        <f>Tasks[[#This Row],[_Res2WorkPerWD]]*MAX(0,Tasks[[#This Row],[_StartWorkday]]-1)</f>
        <v/>
      </c>
      <c r="EA9" s="42">
        <f>Tasks[[#This Row],[_Res2Work]]*Tasks[[#This Row],[_LeafProgress]]</f>
        <v/>
      </c>
      <c r="EB9" s="42">
        <f>IF(Tasks[[#This Row],[_Res3Text]]="","",IF(Tasks[[#This Row],[_Res3Row]]&gt;0,INDEX(res_Name,Tasks[[#This Row],[_Res3Row]]),TRIM(LEFT(Tasks[[#This Row],[_Res3Text]],FIND("[",Tasks[[#This Row],[_Res3Text]]&amp;"[")-1))))</f>
        <v/>
      </c>
      <c r="EC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 s="42">
        <f>IF(OR(NOT(Tasks[[#This Row],[_IsLeaf]]=1),Tasks[[#This Row],[_Res3Row]]=0),0,N(Tasks[[#This Row],[_Days]])*HoursPerDay*IF(Tasks[[#This Row],[_Res3Units]]="",DefaultUnits,Tasks[[#This Row],[_Res3Units]]))</f>
        <v/>
      </c>
      <c r="EE9" s="42">
        <f>IF(AND(AND(Tasks[[#This Row],[_IsLeaf]]=1,Tasks[[#This Row],[_LeafTotalWork]]&gt;0),Tasks[[#This Row],[_Res3Work]]&gt;0),Tasks[[#This Row],[_Res3Work]]/(Tasks[[#This Row],[_FinishWorkday]]-Tasks[[#This Row],[_StartWorkday]]+1),0)</f>
        <v/>
      </c>
      <c r="EF9" s="42">
        <f>Tasks[[#This Row],[_Res3WorkPerWD]]*MAX(0,Tasks[[#This Row],[_StartWorkday]]-1)</f>
        <v/>
      </c>
      <c r="EG9" s="42">
        <f>Tasks[[#This Row],[_Res3Work]]*Tasks[[#This Row],[_LeafProgress]]</f>
        <v/>
      </c>
      <c r="EH9" s="42">
        <f>IF(Tasks[[#This Row],[_Res4Text]]="","",IF(Tasks[[#This Row],[_Res4Row]]&gt;0,INDEX(res_Name,Tasks[[#This Row],[_Res4Row]]),TRIM(LEFT(Tasks[[#This Row],[_Res4Text]],FIND("[",Tasks[[#This Row],[_Res4Text]]&amp;"[")-1))))</f>
        <v/>
      </c>
      <c r="EI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 s="42">
        <f>IF(OR(NOT(Tasks[[#This Row],[_IsLeaf]]=1),Tasks[[#This Row],[_Res4Row]]=0),0,N(Tasks[[#This Row],[_Days]])*HoursPerDay*IF(Tasks[[#This Row],[_Res4Units]]="",DefaultUnits,Tasks[[#This Row],[_Res4Units]]))</f>
        <v/>
      </c>
      <c r="EK9" s="42">
        <f>IF(AND(AND(Tasks[[#This Row],[_IsLeaf]]=1,Tasks[[#This Row],[_LeafTotalWork]]&gt;0),Tasks[[#This Row],[_Res4Work]]&gt;0),Tasks[[#This Row],[_Res4Work]]/(Tasks[[#This Row],[_FinishWorkday]]-Tasks[[#This Row],[_StartWorkday]]+1),0)</f>
        <v/>
      </c>
      <c r="EL9" s="42">
        <f>Tasks[[#This Row],[_Res4WorkPerWD]]*MAX(0,Tasks[[#This Row],[_StartWorkday]]-1)</f>
        <v/>
      </c>
      <c r="EM9" s="42">
        <f>Tasks[[#This Row],[_Res4Work]]*Tasks[[#This Row],[_LeafProgress]]</f>
        <v/>
      </c>
      <c r="EN9" s="42">
        <f>IF(ISNUMBER(Tasks[[#This Row],[% Complete]]),Tasks[[#This Row],[% Complete]],IF(Tasks[[#This Row],[Stage]]="",0,IFERROR(INDEX(stg_Pct,MATCH(Tasks[[#This Row],[Stage]],stg_Name,0)),0)))</f>
        <v/>
      </c>
      <c r="EO9" s="42">
        <f>IF(NOT(Tasks[[#This Row],[_IsLeaf]]=1),0,IF(N(Tasks[[#This Row],[Actual Finish]])&gt;0,1,MIN(1,Tasks[[#This Row],[_Pct]])))</f>
        <v/>
      </c>
      <c r="EP9" s="42">
        <f>IF(OR(NOT(Tasks[[#This Row],[_IsLeaf]]=1),Tasks[[#This Row],[_Res1Row]]=0),0,N(Tasks[[#This Row],[_Days]])*HoursPerDay*IF(Tasks[[#This Row],[_Units1]]="",DefaultUnits,Tasks[[#This Row],[_Units1]]))</f>
        <v/>
      </c>
      <c r="EQ9" s="42">
        <f>Tasks[[#This Row],[_LeafWork]]+Tasks[[#This Row],[_Res2Work]]+Tasks[[#This Row],[_Res3Work]]+Tasks[[#This Row],[_Res4Work]]</f>
        <v/>
      </c>
      <c r="ER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 s="42">
        <f>IF(NOT(Tasks[[#This Row],[_IsLeaf]]=1),0,MAX(_xlfn.MAXIFS(Tasks[_Row],Tasks[_Pred1UID],Tasks[[#This Row],[UID]]),_xlfn.MAXIFS(Tasks[_Row],Tasks[_Pred2UID],Tasks[[#This Row],[UID]]),_xlfn.MAXIFS(Tasks[_Row],Tasks[_Pred3UID],Tasks[[#This Row],[UID]]),_xlfn.MAXIFS(Tasks[_Row],Tasks[_Pred4UID],Tasks[[#This Row],[UID]])))</f>
        <v/>
      </c>
      <c r="FA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 s="88">
        <f>IF(NOT(Tasks[[#This Row],[_IsLeaf]]=1),"",IF(N(Tasks[[#This Row],[_Days]])&lt;=0,Tasks[[#This Row],[_LeafLateFinish]],WORKDAY.INTL(Tasks[[#This Row],[_LeafLateFinish]],-(Tasks[[#This Row],[_Days]]-1),WorkWeek,Holidays)))</f>
        <v/>
      </c>
      <c r="FD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 s="42">
        <f>AND(Tasks[[#This Row],[_IsLeaf]]=1,Tasks[[#This Row],[_LeafProgress]]&lt;1,N(Tasks[[#This Row],[_LeafTotalSlack]])&lt;=CriticalSlackDays)</f>
        <v/>
      </c>
      <c r="FF9" s="42">
        <f>IF(AND(Tasks[[#This Row],[_IsLeaf]]=1,Tasks[[#This Row],[_ConstraintCode]]=1,Tasks[[#This Row],[Mode]]&lt;&gt;"Manual",N(Tasks[[#This Row],[Actual Start]])=0),MAX(0,N(Tasks[[#This Row],[Free Slack]])),0)</f>
        <v/>
      </c>
      <c r="FG9" s="88">
        <f>IF(NOT(Tasks[[#This Row],[_IsLeaf]]=1),"",IF(Tasks[[#This Row],[_AlapShift]]=0,Tasks[[#This Row],[_LeafCalcStart]],WORKDAY.INTL(Tasks[[#This Row],[_LeafCalcStart]],Tasks[[#This Row],[_AlapShift]],WorkWeek,Holidays)))</f>
        <v/>
      </c>
      <c r="FH9" s="88">
        <f>IF(NOT(Tasks[[#This Row],[_IsLeaf]]=1),"",IF(Tasks[[#This Row],[_AlapShift]]=0,Tasks[[#This Row],[_LeafCalcFinish]],WORKDAY.INTL(Tasks[[#This Row],[_LeafCalcFinish]],Tasks[[#This Row],[_AlapShift]],WorkWeek,Holidays)))</f>
        <v/>
      </c>
      <c r="FI9" s="88">
        <f>IF(NOT(Tasks[[#This Row],[_IsLeaf]]=1),"",IF(Tasks[[#This Row],[_AlapShift]]=0,Tasks[[#This Row],[_LeafFcstStart]],WORKDAY.INTL(Tasks[[#This Row],[_LeafFcstStart]],Tasks[[#This Row],[_AlapShift]],WorkWeek,Holidays)))</f>
        <v/>
      </c>
      <c r="FJ9" s="88">
        <f>IF(NOT(Tasks[[#This Row],[_IsLeaf]]=1),"",IF(Tasks[[#This Row],[_AlapShift]]=0,Tasks[[#This Row],[_LeafFcstFinish]],WORKDAY.INTL(Tasks[[#This Row],[_LeafFcstFinish]],Tasks[[#This Row],[_AlapShift]],WorkWeek,Holidays)))</f>
        <v/>
      </c>
      <c r="FK9" s="88">
        <f>IF(Tasks[[#This Row],[Task Name]]="","",IF(Tasks[[#This Row],[_IsSummary]],MIN(INDEX(Tasks[_ShownCalcStart],Tasks[[#This Row],[_Row]]+1):INDEX(Tasks[_ShownCalcStart],Tasks[[#This Row],[_Row]]+Tasks[[#This Row],[_Descendants]])),Tasks[[#This Row],[_ShownCalcStart]]))</f>
        <v/>
      </c>
      <c r="FL9" s="88">
        <f>IF(Tasks[[#This Row],[Task Name]]="","",IF(Tasks[[#This Row],[_IsSummary]],MAX(INDEX(Tasks[_ShownCalcFinish],Tasks[[#This Row],[_Row]]+1):INDEX(Tasks[_ShownCalcFinish],Tasks[[#This Row],[_Row]]+Tasks[[#This Row],[_Descendants]])),Tasks[[#This Row],[_ShownCalcFinish]]))</f>
        <v/>
      </c>
      <c r="FM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 s="42">
        <f>IF(AND(Tasks[[#This Row],[_IsLeaf]]=1,Tasks[[#This Row],[_LeafTotalWork]]&gt;0),NETWORKDAYS.INTL(ProjectStart,Tasks[[#This Row],[_ShownFcstStart]],WorkWeek,Holidays),0)</f>
        <v/>
      </c>
      <c r="FZ9" s="42">
        <f>IF(AND(Tasks[[#This Row],[_IsLeaf]]=1,Tasks[[#This Row],[_LeafTotalWork]]&gt;0),MAX(Tasks[[#This Row],[_StartWorkday]],NETWORKDAYS.INTL(ProjectStart,Tasks[[#This Row],[_ShownFcstFinish]],WorkWeek,Holidays)),0)</f>
        <v/>
      </c>
      <c r="GA9" s="42">
        <f>IF(AND(Tasks[[#This Row],[_IsLeaf]]=1,Tasks[[#This Row],[_LeafTotalWork]]&gt;0),Tasks[[#This Row],[_LeafWork]]/(Tasks[[#This Row],[_FinishWorkday]]-Tasks[[#This Row],[_StartWorkday]]+1),0)</f>
        <v/>
      </c>
      <c r="GB9" s="42">
        <f>Tasks[[#This Row],[_WorkPerWorkday]]*(Tasks[[#This Row],[_StartWorkday]]-1)</f>
        <v/>
      </c>
      <c r="GC9" s="42">
        <f>IF(Tasks[[#This Row],[_IsLeaf]]=1,MAX(N(Tasks[[#This Row],[_Days]]),0.1),0)</f>
        <v/>
      </c>
      <c r="GD9" s="42">
        <f>Tasks[[#This Row],[_WeightDur]]*Tasks[[#This Row],[_LeafProgress]]</f>
        <v/>
      </c>
      <c r="GE9" s="42">
        <f>Tasks[[#This Row],[_WeightDur]]*Tasks[[#This Row],[_PlannedPct]]</f>
        <v/>
      </c>
      <c r="GF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 s="42">
        <f>IF(AND(Tasks[[#This Row],[_IsLeaf]]=1,N(Tasks[[#This Row],[_Days]])=0,Tasks[[#This Row],[_LeafProgress]]&lt;1),Tasks[[#This Row],[_ShownFcstFinish]]+Tasks[[#This Row],[_Row]]/100000,"")</f>
        <v/>
      </c>
      <c r="GH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 s="42">
        <f>IF(Tasks[[#This Row],[Task Name]]="","",LEFT(Tasks[[#This Row],[WBS]],FIND(".",Tasks[[#This Row],[WBS]]&amp;".")-1))</f>
        <v/>
      </c>
      <c r="GJ9" s="42">
        <f>IF(AND(Tasks[[#This Row],[Task Name]]&lt;&gt;"",Tasks[[#This Row],[_Level]]=1),Tasks[[#This Row],[_Row]],"")</f>
        <v/>
      </c>
      <c r="GK9" s="42">
        <f>IF(AND(Tasks[[#This Row],[_IsLeaf]]=1,N(Tasks[[#This Row],[_Days]])=0),Tasks[[#This Row],[Planned Finish]]+Tasks[[#This Row],[_Row]]/100000,"")</f>
        <v/>
      </c>
      <c r="GL9" s="42">
        <f>IF(AND(Tasks[[#This Row],[_IsLeaf]]=1,Tasks[[#This Row],[_LeafProgress]]&lt;1,OR(N(Tasks[[#This Row],[Finish Var]])&gt;0,Tasks[[#This Row],[Status]]="Late Start")),MAX(0,Tasks[[#This Row],[Finish Var]])+1-Tasks[[#This Row],[_Row]]/1000000,"")</f>
        <v/>
      </c>
      <c r="GM9" s="42">
        <f>IF(AND(Tasks[[#This Row],[_IsLeaf]]=1,N(Tasks[[#This Row],[Actual Start]])=0,Tasks[[#This Row],[_ShownFcstStart]]&gt;=StatusDate,Tasks[[#This Row],[_ShownFcstStart]]&lt;=LookaheadEnd),Tasks[[#This Row],[_ShownFcstStart]]+Tasks[[#This Row],[_Row]]/100000,"")</f>
        <v/>
      </c>
      <c r="GN9" s="42">
        <f>IF(AND(Tasks[[#This Row],[_IsLeaf]]=1,Tasks[[#This Row],[_LeafProgress]]&lt;1,Tasks[[#This Row],[_ShownFcstFinish]]&gt;=StatusDate,Tasks[[#This Row],[_ShownFcstFinish]]&lt;=LookaheadEnd),Tasks[[#This Row],[_ShownFcstFinish]]+Tasks[[#This Row],[_Row]]/100000,"")</f>
        <v/>
      </c>
      <c r="GO9" s="42">
        <f>IF(Tasks[[#This Row],[_LeafCritical]],Tasks[[#This Row],[_ShownFcstStart]]+Tasks[[#This Row],[_Row]]/100000,"")</f>
        <v/>
      </c>
      <c r="GP9" s="42">
        <f>Tasks[[#This Row],[_LeafWork]]*Tasks[[#This Row],[_LeafProgress]]</f>
        <v/>
      </c>
      <c r="GQ9" s="88">
        <f>IF(AND(Tasks[[#This Row],[_IsLeaf]]=1,Tasks[[#This Row],[_LeafProgress]]&gt;=1),IF(N(Tasks[[#This Row],[Actual Finish]])&gt;0,Tasks[[#This Row],[Actual Finish]],Tasks[[#This Row],[_ShownFcstFinish]]),"")</f>
        <v/>
      </c>
      <c r="GR9" s="42">
        <f>IF(Tasks[[#This Row],[_IsLeaf]]=1,N(Tasks[[#This Row],[Story Points]]),0)</f>
        <v/>
      </c>
      <c r="GS9" s="42">
        <f>""</f>
        <v/>
      </c>
      <c r="GT9" s="42">
        <f>IF(Tasks[[#This Row],[Task Name]]="",FALSE(),AND(Tasks[[#This Row],[_IsLeaf]]=1,N(Tasks[[#This Row],[_Days]])=0))</f>
        <v/>
      </c>
      <c r="GU9" s="88">
        <f>IF(Tasks[[#This Row],[Task Name]]="",0,IF(AND(Tasks[[#This Row],[_IsLeaf]]=1,NOT(Tasks[[#This Row],[_IsMilestone]]),N(Tasks[[#This Row],[Progress]])&gt;0),Tasks[[#This Row],[Start]],0))</f>
        <v/>
      </c>
      <c r="GV9" s="88">
        <f>IF(Tasks[[#This Row],[_DoneFrom]]=0,0,IF(Tasks[[#This Row],[Progress]]&gt;=1,Tasks[[#This Row],[Finish]],MAX(Tasks[[#This Row],[_DoneFrom]],Tasks[[#This Row],[Start]]+ROUND((Tasks[[#This Row],[Finish]]-Tasks[[#This Row],[Start]]+1)*Tasks[[#This Row],[Progress]],0)-1)))</f>
        <v/>
      </c>
      <c r="GW9" s="88">
        <f>IF(Tasks[[#This Row],[Task Name]]="",0,IF(OR(NOT(Tasks[[#This Row],[_IsLeaf]]=1),Tasks[[#This Row],[_IsMilestone]],N(Tasks[[#This Row],[Progress]])&gt;=1),0,IF(Tasks[[#This Row],[_DoneTo]]&gt;0,Tasks[[#This Row],[_DoneTo]]+1,Tasks[[#This Row],[Start]])))</f>
        <v/>
      </c>
      <c r="GX9" s="88">
        <f>IF(Tasks[[#This Row],[_RemFrom]]=0,0,Tasks[[#This Row],[Finish]])</f>
        <v/>
      </c>
      <c r="GY9" s="42">
        <f>IF(Tasks[[#This Row],[Task Name]]="",FALSE(),OR(NOT(BaselineSet),N(Tasks[[#This Row],[Baseline Start]])&gt;0))</f>
        <v/>
      </c>
      <c r="GZ9" s="42">
        <f>IF(AND(Sandbox="Yes",L_PARSE_DURATION(Tasks[[#This Row],[Sandbox Duration]])&lt;&gt;""),L_PARSE_DURATION(Tasks[[#This Row],[Sandbox Duration]]),L_PARSE_DURATION(Tasks[[#This Row],[Duration]]))</f>
        <v/>
      </c>
      <c r="HA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 s="42">
        <f>IF(Tasks[[#This Row],[_IsLeaf]]=1,Tasks[[#This Row],[_Row]],"")</f>
        <v/>
      </c>
      <c r="HD9" s="42">
        <f>IFERROR(INDEX(Tasks[UID],SMALL(Tasks[_PickKey],Tasks[[#This Row],[_Row]]))&amp;" "&amp;INDEX(Tasks[Task Name],SMALL(Tasks[_PickKey],Tasks[[#This Row],[_Row]])),"")</f>
        <v/>
      </c>
      <c r="HE9" s="42">
        <f>IF(Tasks[[#This Row],[Task Name]]="","",IF(Tasks[[#This Row],[_IsSummary]],NETWORKDAYS.INTL(Tasks[[#This Row],[Start]],Tasks[[#This Row],[Finish]],WorkWeek,Holidays),N(Tasks[[#This Row],[_Days]])))</f>
        <v/>
      </c>
      <c r="HF9" s="42">
        <f>IF(Tasks[[#This Row],[Expected]]="",0,((Tasks[[#This Row],[Pessimistic]]-Tasks[[#This Row],[Optimistic]])/6)^2)</f>
        <v/>
      </c>
      <c r="HG9" s="42">
        <f>IF(Tasks[[#This Row],[Expected]]="",0,Tasks[[#This Row],[Expected]]-N(Tasks[[#This Row],[_Days]]))</f>
        <v/>
      </c>
    </row>
    <row r="10">
      <c r="A10" s="21">
        <f>IF(Tasks[[#This Row],[Task Name]]="","",COUNTA(Tasks[[#Headers],[Task Name]]:Tasks[[#This Row],[Task Name]])-1)</f>
        <v/>
      </c>
      <c r="B10" s="22" t="n">
        <v>5</v>
      </c>
      <c r="C10" s="22" t="n">
        <v>1</v>
      </c>
      <c r="D10" s="23" t="inlineStr">
        <is>
          <t>Requirements &amp; Design</t>
        </is>
      </c>
      <c r="E10" s="22" t="n"/>
      <c r="F10" s="23" t="n"/>
      <c r="G10" s="22" t="n"/>
      <c r="H10" s="22" t="n"/>
      <c r="I10" s="23" t="n"/>
      <c r="J10" s="22" t="n"/>
      <c r="K10" s="22" t="n"/>
      <c r="L10" s="23" t="n"/>
      <c r="M10" s="22" t="n"/>
      <c r="N10" s="22" t="n"/>
      <c r="O10" s="23" t="n"/>
      <c r="P10" s="22" t="n"/>
      <c r="Q10" s="22" t="n"/>
      <c r="R10" s="23" t="n"/>
      <c r="S10" s="23" t="n"/>
      <c r="T10" s="82" t="n"/>
      <c r="U10" s="23" t="n"/>
      <c r="V10" s="82" t="n"/>
      <c r="W10" s="23" t="n"/>
      <c r="X10" s="82" t="n"/>
      <c r="Y10" s="23" t="n"/>
      <c r="Z10" s="82" t="n"/>
      <c r="AA10" s="23" t="n"/>
      <c r="AB10" s="23" t="n"/>
      <c r="AC10" s="7" t="n"/>
      <c r="AD10" s="7" t="n"/>
      <c r="AE10" s="61">
        <f>IF(Tasks[[#This Row],[Task Name]]="","",IF(Tasks[[#This Row],[_IsSummary]],MIN(INDEX(Tasks[_ShownFcstStart],Tasks[[#This Row],[_Row]]+1):INDEX(Tasks[_ShownFcstStart],Tasks[[#This Row],[_Row]]+Tasks[[#This Row],[_Descendants]])),Tasks[[#This Row],[_ShownFcstStart]]))</f>
        <v/>
      </c>
      <c r="AF10" s="61">
        <f>IF(Tasks[[#This Row],[Task Name]]="","",IF(Tasks[[#This Row],[_IsSummary]],MAX(INDEX(Tasks[_ShownFcstFinish],Tasks[[#This Row],[_Row]]+1):INDEX(Tasks[_ShownFcstFinish],Tasks[[#This Row],[_Row]]+Tasks[[#This Row],[_Descendants]])),Tasks[[#This Row],[_ShownFcstFinish]]))</f>
        <v/>
      </c>
      <c r="AG10" s="21">
        <f>""</f>
        <v/>
      </c>
      <c r="AH10" s="23" t="inlineStr"/>
      <c r="AI1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 s="7" t="n"/>
      <c r="AK10" s="22" t="inlineStr">
        <is>
          <t>Auto</t>
        </is>
      </c>
      <c r="AL10" s="23" t="n"/>
      <c r="AM10" s="7" t="n"/>
      <c r="AN10" s="21">
        <f>IF(Tasks[[#This Row],[Task Name]]="","",IF(Tasks[[#This Row],[Finish]]&gt;=Tasks[[#This Row],[Planned Finish]],NETWORKDAYS.INTL(Tasks[[#This Row],[Planned Finish]],Tasks[[#This Row],[Finish]],WorkWeek,Holidays)-1,1-NETWORKDAYS.INTL(Tasks[[#This Row],[Finish]],Tasks[[#This Row],[Planned Finish]],WorkWeek,Holidays)))</f>
        <v/>
      </c>
      <c r="AO10" s="21">
        <f>IF(Tasks[[#This Row],[Task Name]]="","",IF(Tasks[[#This Row],[Progress]]&gt;=1,"Complete",IF(OR(N(Tasks[[#This Row],[Actual Start]])&gt;0,Tasks[[#This Row],[Progress]]&gt;0),IF(Tasks[[#This Row],[Finish Var]]&gt;0,"Behind","In Progress"),IF(Tasks[[#This Row],[Planned Start]]&lt;StatusDate,"Late Start","Not Started"))))</f>
        <v/>
      </c>
      <c r="AP10" s="21">
        <f>IF(Tasks[[#This Row],[Task Name]]="","",IF(IF(Tasks[[#This Row],[_IsSummary]],COUNTIF(INDEX(Tasks[_LeafCritical],Tasks[[#This Row],[_Row]]+1):INDEX(Tasks[_LeafCritical],Tasks[[#This Row],[_Row]]+Tasks[[#This Row],[_Descendants]]),TRUE())&gt;0,Tasks[[#This Row],[_LeafCritical]]),"Yes",""))</f>
        <v/>
      </c>
      <c r="AQ10" s="61">
        <f>IF(Tasks[[#This Row],[Task Name]]="","",IF(N(Tasks[[#This Row],[Baseline Start]])&gt;0,Tasks[[#This Row],[Baseline Start]],Tasks[[#This Row],[_CalcStart]]))</f>
        <v/>
      </c>
      <c r="AR10" s="61">
        <f>IF(Tasks[[#This Row],[Task Name]]="","",IF(N(Tasks[[#This Row],[Baseline Finish]])&gt;0,Tasks[[#This Row],[Baseline Finish]],Tasks[[#This Row],[_CalcFinish]]))</f>
        <v/>
      </c>
      <c r="AS10" s="21">
        <f>IF(Tasks[[#This Row],[Task Name]]="","",IF(Tasks[[#This Row],[Start]]&gt;=Tasks[[#This Row],[Planned Start]],NETWORKDAYS.INTL(Tasks[[#This Row],[Planned Start]],Tasks[[#This Row],[Start]],WorkWeek,Holidays)-1,1-NETWORKDAYS.INTL(Tasks[[#This Row],[Start]],Tasks[[#This Row],[Planned Start]],WorkWeek,Holidays)))</f>
        <v/>
      </c>
      <c r="AT10" s="61">
        <f>IF(Tasks[[#This Row],[Task Name]]="","",IF(Tasks[[#This Row],[_IsSummary]],MIN(INDEX(Tasks[_LeafLateStart],Tasks[[#This Row],[_Row]]+1):INDEX(Tasks[_LeafLateStart],Tasks[[#This Row],[_Row]]+Tasks[[#This Row],[_Descendants]])),Tasks[[#This Row],[_LeafLateStart]]))</f>
        <v/>
      </c>
      <c r="AU10" s="61">
        <f>IF(Tasks[[#This Row],[Task Name]]="","",IF(Tasks[[#This Row],[_IsSummary]],MAX(INDEX(Tasks[_LeafLateFinish],Tasks[[#This Row],[_Row]]+1):INDEX(Tasks[_LeafLateFinish],Tasks[[#This Row],[_Row]]+Tasks[[#This Row],[_Descendants]])),Tasks[[#This Row],[_LeafLateFinish]]))</f>
        <v/>
      </c>
      <c r="AV10" s="21">
        <f>IF(Tasks[[#This Row],[Task Name]]="","",IF(Tasks[[#This Row],[_IsSummary]],MIN(INDEX(Tasks[_LeafTotalSlack],Tasks[[#This Row],[_Row]]+1):INDEX(Tasks[_LeafTotalSlack],Tasks[[#This Row],[_Row]]+Tasks[[#This Row],[_Descendants]])),Tasks[[#This Row],[_LeafTotalSlack]]))</f>
        <v/>
      </c>
      <c r="AW1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3" t="n"/>
      <c r="BA1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 s="21">
        <f>IF(Tasks[[#This Row],[Task Name]]="","",IF(Tasks[[#This Row],[_Level]]&lt;=OutlineShowLevel,"Yes","No"))</f>
        <v/>
      </c>
      <c r="BE10" s="84">
        <f>IF(Tasks[[#This Row],[Task Name]]="","",IF(Tasks[[#This Row],[_IsSummary]],SUM(INDEX(Tasks[_LeafTotalWork],Tasks[[#This Row],[_Row]]+1):INDEX(Tasks[_LeafTotalWork],Tasks[[#This Row],[_Row]]+Tasks[[#This Row],[_Descendants]])),Tasks[[#This Row],[_LeafTotalWork]]))</f>
        <v/>
      </c>
      <c r="BF10" s="23" t="inlineStr">
        <is>
          <t>Morgan Patel</t>
        </is>
      </c>
      <c r="BG1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f>""</f>
        <v/>
      </c>
      <c r="BI10" s="85" t="n"/>
      <c r="BJ10" s="22" t="n"/>
      <c r="BK10" s="21">
        <f>IF(OR(Tasks[[#This Row],[Task Name]]="",Tasks[[#This Row],[Baseline Duration]]=""),"",Tasks[[#This Row],[_SpanDays]]-N(Tasks[[#This Row],[Baseline Duration]]))</f>
        <v/>
      </c>
      <c r="BL10" s="84">
        <f>IF(OR(Tasks[[#This Row],[Task Name]]="",Tasks[[#This Row],[Baseline Work]]=""),"",Tasks[[#This Row],[Work]]-N(Tasks[[#This Row],[Baseline Work]]))</f>
        <v/>
      </c>
      <c r="BM10" s="61">
        <f>IF(Tasks[[#This Row],[Task Name]]="","",IF(OR(TakeBaseline="Yes",N(Tasks[[#This Row],[Baseline Start]])=0),Tasks[[#This Row],[Start]],Tasks[[#This Row],[Baseline Start]]))</f>
        <v/>
      </c>
      <c r="BN10" s="61">
        <f>IF(Tasks[[#This Row],[Task Name]]="","",IF(OR(TakeBaseline="Yes",N(Tasks[[#This Row],[Baseline Finish]])=0),Tasks[[#This Row],[Finish]],Tasks[[#This Row],[Baseline Finish]]))</f>
        <v/>
      </c>
      <c r="BO10" s="21">
        <f>IF(Tasks[[#This Row],[Task Name]]="","",IF(OR(TakeBaseline="Yes",N(Tasks[[#This Row],[Baseline Duration]])=0),Tasks[[#This Row],[_SpanDays]],Tasks[[#This Row],[Baseline Duration]]))</f>
        <v/>
      </c>
      <c r="BP10" s="84">
        <f>IF(Tasks[[#This Row],[Task Name]]="","",IF(OR(TakeBaseline="Yes",N(Tasks[[#This Row],[Baseline Work]])=0),Tasks[[#This Row],[Work]],Tasks[[#This Row],[Baseline Work]]))</f>
        <v/>
      </c>
      <c r="BQ10" s="7" t="n">
        <v>46279</v>
      </c>
      <c r="BR10" s="7" t="n">
        <v>46296</v>
      </c>
      <c r="BS10" s="22" t="n">
        <v>14</v>
      </c>
      <c r="BT10" s="86" t="n">
        <v>112</v>
      </c>
      <c r="BU10" s="23" t="n"/>
      <c r="BV10" s="23" t="n"/>
      <c r="BW10" s="23" t="n"/>
      <c r="BX10" s="87">
        <f>IF(AND(Tasks[[#This Row],[_IsLeaf]]=1,ISNUMBER(Tasks[[#This Row],[Optimistic]]),ISNUMBER(Tasks[[#This Row],[Pessimistic]])),ROUND((Tasks[[#This Row],[Optimistic]]+4*N(Tasks[[#This Row],[_Days]])+Tasks[[#This Row],[Pessimistic]])/6,1),"")</f>
        <v/>
      </c>
      <c r="BY10" s="85" t="n"/>
      <c r="BZ10" s="85" t="n"/>
      <c r="CA10" s="22" t="n"/>
      <c r="CB10" s="42">
        <f>IF(Tasks[[#This Row],[Task Name]]="","",MAX(1,N(Tasks[[#This Row],[Level]])))</f>
        <v/>
      </c>
      <c r="CC10" s="42">
        <f>ROW()-ROW(Tasks[[#Headers],[ID]])</f>
        <v/>
      </c>
      <c r="CD10" s="42">
        <f>IF(OR(Tasks[[#This Row],[Task Name]]="",Tasks[[#This Row],[_Level]]&lt;=1),0,IFERROR(LOOKUP(2,1/(Tasks[[#Headers],[_Level]]:Tasks[[#This Row],[_Level]]=Tasks[[#This Row],[_Level]]-1),ROW(Tasks[[#Headers],[_Level]]:Tasks[[#This Row],[_Level]])),0))</f>
        <v/>
      </c>
      <c r="CE10" s="42">
        <f>IFERROR(N(INDEX(Tasks[_Level],Tasks[[#This Row],[_Row]]+1)),0)</f>
        <v/>
      </c>
      <c r="CF10" s="42">
        <f>AND(Tasks[[#This Row],[Task Name]]&lt;&gt;"",Tasks[[#This Row],[_NextLevel]]&gt;Tasks[[#This Row],[_Level]])</f>
        <v/>
      </c>
      <c r="CG10" s="42">
        <f>IF(Tasks[[#This Row],[_IsSummary]],COUNTIF(Tasks[WBS],Tasks[[#This Row],[WBS]]&amp;".*"),0)</f>
        <v/>
      </c>
      <c r="CH10" s="42">
        <f>IF(AND(Tasks[[#This Row],[Task Name]]&lt;&gt;"",NOT(Tasks[[#This Row],[_IsSummary]])),1,0)</f>
        <v/>
      </c>
      <c r="CI10" s="42">
        <f>IF(N(Tasks[[#This Row],[_Pred1UID]])=0,0,IFERROR(MATCH(Tasks[[#This Row],[_Pred1UID]],Tasks[UID],0),-1))</f>
        <v/>
      </c>
      <c r="CJ10" s="42">
        <f>IF(N(Tasks[[#This Row],[_Pred2UID]])=0,0,IFERROR(MATCH(Tasks[[#This Row],[_Pred2UID]],Tasks[UID],0),-1))</f>
        <v/>
      </c>
      <c r="CK10" s="42">
        <f>IF(N(Tasks[[#This Row],[_Pred3UID]])=0,0,IFERROR(MATCH(Tasks[[#This Row],[_Pred3UID]],Tasks[UID],0),-1))</f>
        <v/>
      </c>
      <c r="CL10" s="42">
        <f>IF(N(Tasks[[#This Row],[_Pred4UID]])=0,0,IFERROR(MATCH(Tasks[[#This Row],[_Pred4UID]],Tasks[UID],0),-1))</f>
        <v/>
      </c>
      <c r="CM1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 s="88">
        <f>IF(N(Tasks[[#This Row],[Constraint Date]])=0,0,IF(AND(OR(Tasks[[#This Row],[_ConstraintCode]]=3,Tasks[[#This Row],[_ConstraintCode]]=6,Tasks[[#This Row],[_ConstraintCode]]=7),N(Tasks[[#This Row],[_Days]])&gt;1),WORKDAY.INTL(N(Tasks[[#This Row],[Constraint Date]]),-(N(Tasks[[#This Row],[_Days]])-1),WorkWeek,Holidays),N(Tasks[[#This Row],[Constraint Date]])))</f>
        <v/>
      </c>
      <c r="CO10" s="88">
        <f>IF(OR(Tasks[[#This Row],[_ConstraintCode]]=2,Tasks[[#This Row],[_ConstraintCode]]=3,Tasks[[#This Row],[_ConstraintCode]]=4,Tasks[[#This Row],[_ConstraintCode]]=6),Tasks[[#This Row],[_ConstraintStart]],0)</f>
        <v/>
      </c>
      <c r="CP10" s="88">
        <f>IF(OR(Tasks[[#This Row],[_ConstraintCode]]=2,Tasks[[#This Row],[_ConstraintCode]]=3,Tasks[[#This Row],[_ConstraintCode]]=5,Tasks[[#This Row],[_ConstraintCode]]=7),Tasks[[#This Row],[_ConstraintStart]],2958465)</f>
        <v/>
      </c>
      <c r="CQ1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 s="88">
        <f>IF(NOT(Tasks[[#This Row],[_IsLeaf]]=1),"",IF(N(Tasks[[#This Row],[_Days]])&lt;=0,Tasks[[#This Row],[_LeafCalcStart]],WORKDAY.INTL(Tasks[[#This Row],[_LeafCalcStart]],Tasks[[#This Row],[_Days]]-1,WorkWeek,Holidays)))</f>
        <v/>
      </c>
      <c r="CS1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 s="42">
        <f>IF(Tasks[[#This Row],[_Predecessors]]="","",TRIM(MID(SUBSTITUTE(SUBSTITUTE(SUBSTITUTE(UPPER(Tasks[[#This Row],[_Predecessors]]),";",",")," ",""),",",REPT(" ",99)),1,99)))</f>
        <v/>
      </c>
      <c r="CV10" s="42">
        <f>IF(Tasks[[#This Row],[_Pred1Text]]="","",IFERROR(VALUE(LEFT(Tasks[[#This Row],[_Pred1Text]],MIN(FIND("F",Tasks[[#This Row],[_Pred1Text]]&amp;"F"),FIND("S",Tasks[[#This Row],[_Pred1Text]]&amp;"S"),FIND("+",Tasks[[#This Row],[_Pred1Text]]&amp;"+"),FIND("-",Tasks[[#This Row],[_Pred1Text]]&amp;"-"))-1)),""))</f>
        <v/>
      </c>
      <c r="CW1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 s="42">
        <f>IF(Tasks[[#This Row],[_Pred1Text]]="","",TRIM(MID(SUBSTITUTE(SUBSTITUTE(SUBSTITUTE(UPPER(Tasks[[#This Row],[_Predecessors]]),";",",")," ",""),",",REPT(" ",99)),100,99)))</f>
        <v/>
      </c>
      <c r="CZ10" s="42">
        <f>IF(Tasks[[#This Row],[_Pred2Text]]="","",IFERROR(VALUE(LEFT(Tasks[[#This Row],[_Pred2Text]],MIN(FIND("F",Tasks[[#This Row],[_Pred2Text]]&amp;"F"),FIND("S",Tasks[[#This Row],[_Pred2Text]]&amp;"S"),FIND("+",Tasks[[#This Row],[_Pred2Text]]&amp;"+"),FIND("-",Tasks[[#This Row],[_Pred2Text]]&amp;"-"))-1)),""))</f>
        <v/>
      </c>
      <c r="DA1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 s="42">
        <f>IF(Tasks[[#This Row],[_Pred2Text]]="","",TRIM(MID(SUBSTITUTE(SUBSTITUTE(SUBSTITUTE(UPPER(Tasks[[#This Row],[_Predecessors]]),";",",")," ",""),",",REPT(" ",99)),199,99)))</f>
        <v/>
      </c>
      <c r="DD10" s="42">
        <f>IF(Tasks[[#This Row],[_Pred3Text]]="","",IFERROR(VALUE(LEFT(Tasks[[#This Row],[_Pred3Text]],MIN(FIND("F",Tasks[[#This Row],[_Pred3Text]]&amp;"F"),FIND("S",Tasks[[#This Row],[_Pred3Text]]&amp;"S"),FIND("+",Tasks[[#This Row],[_Pred3Text]]&amp;"+"),FIND("-",Tasks[[#This Row],[_Pred3Text]]&amp;"-"))-1)),""))</f>
        <v/>
      </c>
      <c r="DE1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 s="42">
        <f>IF(Tasks[[#This Row],[_Pred3Text]]="","",TRIM(MID(SUBSTITUTE(SUBSTITUTE(SUBSTITUTE(UPPER(Tasks[[#This Row],[_Predecessors]]),";",",")," ",""),",",REPT(" ",99)),298,99)))</f>
        <v/>
      </c>
      <c r="DH10" s="42">
        <f>IF(Tasks[[#This Row],[_Pred4Text]]="","",IFERROR(VALUE(LEFT(Tasks[[#This Row],[_Pred4Text]],MIN(FIND("F",Tasks[[#This Row],[_Pred4Text]]&amp;"F"),FIND("S",Tasks[[#This Row],[_Pred4Text]]&amp;"S"),FIND("+",Tasks[[#This Row],[_Pred4Text]]&amp;"+"),FIND("-",Tasks[[#This Row],[_Pred4Text]]&amp;"-"))-1)),""))</f>
        <v/>
      </c>
      <c r="DI1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 s="42">
        <f>IF(OR(Tasks[[#This Row],[Task Name]]="",Tasks[[#This Row],[_Resources]]=""),"",TRIM(MID(SUBSTITUTE(Tasks[[#This Row],[_Resources]],",",REPT(" ",99)),1,99)))</f>
        <v/>
      </c>
      <c r="DL10" s="42">
        <f>IF(Tasks[[#This Row],[_Res1Text]]="","",TRIM(MID(SUBSTITUTE(Tasks[[#This Row],[_Resources]],",",REPT(" ",99)),100,99)))</f>
        <v/>
      </c>
      <c r="DM10" s="42">
        <f>IF(Tasks[[#This Row],[_Res2Text]]="","",TRIM(MID(SUBSTITUTE(Tasks[[#This Row],[_Resources]],",",REPT(" ",99)),199,99)))</f>
        <v/>
      </c>
      <c r="DN10" s="42">
        <f>IF(Tasks[[#This Row],[_Res3Text]]="","",TRIM(MID(SUBSTITUTE(Tasks[[#This Row],[_Resources]],",",REPT(" ",99)),298,99)))</f>
        <v/>
      </c>
      <c r="DO10" s="42">
        <f>IF(Tasks[[#This Row],[_Res1Text]]="",0,IFERROR(MATCH(TRIM(LEFT(Tasks[[#This Row],[_Res1Text]],FIND("[",Tasks[[#This Row],[_Res1Text]]&amp;"[")-1)),res_Name,0),IFERROR(MATCH(TRIM(LEFT(Tasks[[#This Row],[_Res1Text]],FIND("[",Tasks[[#This Row],[_Res1Text]]&amp;"[")-1)),res_Initials,0),0)))</f>
        <v/>
      </c>
      <c r="DP10" s="42">
        <f>IF(Tasks[[#This Row],[_Res2Text]]="",0,IFERROR(MATCH(TRIM(LEFT(Tasks[[#This Row],[_Res2Text]],FIND("[",Tasks[[#This Row],[_Res2Text]]&amp;"[")-1)),res_Name,0),IFERROR(MATCH(TRIM(LEFT(Tasks[[#This Row],[_Res2Text]],FIND("[",Tasks[[#This Row],[_Res2Text]]&amp;"[")-1)),res_Initials,0),0)))</f>
        <v/>
      </c>
      <c r="DQ10" s="42">
        <f>IF(Tasks[[#This Row],[_Res3Text]]="",0,IFERROR(MATCH(TRIM(LEFT(Tasks[[#This Row],[_Res3Text]],FIND("[",Tasks[[#This Row],[_Res3Text]]&amp;"[")-1)),res_Name,0),IFERROR(MATCH(TRIM(LEFT(Tasks[[#This Row],[_Res3Text]],FIND("[",Tasks[[#This Row],[_Res3Text]]&amp;"[")-1)),res_Initials,0),0)))</f>
        <v/>
      </c>
      <c r="DR10" s="42">
        <f>IF(Tasks[[#This Row],[_Res4Text]]="",0,IFERROR(MATCH(TRIM(LEFT(Tasks[[#This Row],[_Res4Text]],FIND("[",Tasks[[#This Row],[_Res4Text]]&amp;"[")-1)),res_Name,0),IFERROR(MATCH(TRIM(LEFT(Tasks[[#This Row],[_Res4Text]],FIND("[",Tasks[[#This Row],[_Res4Text]]&amp;"[")-1)),res_Initials,0),0)))</f>
        <v/>
      </c>
      <c r="DS10" s="42">
        <f>IF(Tasks[[#This Row],[_Res1Text]]="","",IF(Tasks[[#This Row],[_Res1Row]]&gt;0,INDEX(res_Name,Tasks[[#This Row],[_Res1Row]]),TRIM(LEFT(Tasks[[#This Row],[_Res1Text]],FIND("[",Tasks[[#This Row],[_Res1Text]]&amp;"[")-1))))</f>
        <v/>
      </c>
      <c r="DT1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 s="42">
        <f>IF(NOT(Tasks[[#This Row],[_IsLeaf]]=1),0,(Tasks[[#This Row],[_Resource1]]&lt;&gt;"")+(Tasks[[#This Row],[_Res2]]&lt;&gt;"")+(Tasks[[#This Row],[_Res3]]&lt;&gt;"")+(Tasks[[#This Row],[_Res4]]&lt;&gt;""))</f>
        <v/>
      </c>
      <c r="DV10" s="42">
        <f>IF(Tasks[[#This Row],[_Res2Text]]="","",IF(Tasks[[#This Row],[_Res2Row]]&gt;0,INDEX(res_Name,Tasks[[#This Row],[_Res2Row]]),TRIM(LEFT(Tasks[[#This Row],[_Res2Text]],FIND("[",Tasks[[#This Row],[_Res2Text]]&amp;"[")-1))))</f>
        <v/>
      </c>
      <c r="DW1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 s="42">
        <f>IF(OR(NOT(Tasks[[#This Row],[_IsLeaf]]=1),Tasks[[#This Row],[_Res2Row]]=0),0,N(Tasks[[#This Row],[_Days]])*HoursPerDay*IF(Tasks[[#This Row],[_Res2Units]]="",DefaultUnits,Tasks[[#This Row],[_Res2Units]]))</f>
        <v/>
      </c>
      <c r="DY10" s="42">
        <f>IF(AND(AND(Tasks[[#This Row],[_IsLeaf]]=1,Tasks[[#This Row],[_LeafTotalWork]]&gt;0),Tasks[[#This Row],[_Res2Work]]&gt;0),Tasks[[#This Row],[_Res2Work]]/(Tasks[[#This Row],[_FinishWorkday]]-Tasks[[#This Row],[_StartWorkday]]+1),0)</f>
        <v/>
      </c>
      <c r="DZ10" s="42">
        <f>Tasks[[#This Row],[_Res2WorkPerWD]]*MAX(0,Tasks[[#This Row],[_StartWorkday]]-1)</f>
        <v/>
      </c>
      <c r="EA10" s="42">
        <f>Tasks[[#This Row],[_Res2Work]]*Tasks[[#This Row],[_LeafProgress]]</f>
        <v/>
      </c>
      <c r="EB10" s="42">
        <f>IF(Tasks[[#This Row],[_Res3Text]]="","",IF(Tasks[[#This Row],[_Res3Row]]&gt;0,INDEX(res_Name,Tasks[[#This Row],[_Res3Row]]),TRIM(LEFT(Tasks[[#This Row],[_Res3Text]],FIND("[",Tasks[[#This Row],[_Res3Text]]&amp;"[")-1))))</f>
        <v/>
      </c>
      <c r="EC1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 s="42">
        <f>IF(OR(NOT(Tasks[[#This Row],[_IsLeaf]]=1),Tasks[[#This Row],[_Res3Row]]=0),0,N(Tasks[[#This Row],[_Days]])*HoursPerDay*IF(Tasks[[#This Row],[_Res3Units]]="",DefaultUnits,Tasks[[#This Row],[_Res3Units]]))</f>
        <v/>
      </c>
      <c r="EE10" s="42">
        <f>IF(AND(AND(Tasks[[#This Row],[_IsLeaf]]=1,Tasks[[#This Row],[_LeafTotalWork]]&gt;0),Tasks[[#This Row],[_Res3Work]]&gt;0),Tasks[[#This Row],[_Res3Work]]/(Tasks[[#This Row],[_FinishWorkday]]-Tasks[[#This Row],[_StartWorkday]]+1),0)</f>
        <v/>
      </c>
      <c r="EF10" s="42">
        <f>Tasks[[#This Row],[_Res3WorkPerWD]]*MAX(0,Tasks[[#This Row],[_StartWorkday]]-1)</f>
        <v/>
      </c>
      <c r="EG10" s="42">
        <f>Tasks[[#This Row],[_Res3Work]]*Tasks[[#This Row],[_LeafProgress]]</f>
        <v/>
      </c>
      <c r="EH10" s="42">
        <f>IF(Tasks[[#This Row],[_Res4Text]]="","",IF(Tasks[[#This Row],[_Res4Row]]&gt;0,INDEX(res_Name,Tasks[[#This Row],[_Res4Row]]),TRIM(LEFT(Tasks[[#This Row],[_Res4Text]],FIND("[",Tasks[[#This Row],[_Res4Text]]&amp;"[")-1))))</f>
        <v/>
      </c>
      <c r="EI1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 s="42">
        <f>IF(OR(NOT(Tasks[[#This Row],[_IsLeaf]]=1),Tasks[[#This Row],[_Res4Row]]=0),0,N(Tasks[[#This Row],[_Days]])*HoursPerDay*IF(Tasks[[#This Row],[_Res4Units]]="",DefaultUnits,Tasks[[#This Row],[_Res4Units]]))</f>
        <v/>
      </c>
      <c r="EK10" s="42">
        <f>IF(AND(AND(Tasks[[#This Row],[_IsLeaf]]=1,Tasks[[#This Row],[_LeafTotalWork]]&gt;0),Tasks[[#This Row],[_Res4Work]]&gt;0),Tasks[[#This Row],[_Res4Work]]/(Tasks[[#This Row],[_FinishWorkday]]-Tasks[[#This Row],[_StartWorkday]]+1),0)</f>
        <v/>
      </c>
      <c r="EL10" s="42">
        <f>Tasks[[#This Row],[_Res4WorkPerWD]]*MAX(0,Tasks[[#This Row],[_StartWorkday]]-1)</f>
        <v/>
      </c>
      <c r="EM10" s="42">
        <f>Tasks[[#This Row],[_Res4Work]]*Tasks[[#This Row],[_LeafProgress]]</f>
        <v/>
      </c>
      <c r="EN10" s="42">
        <f>IF(ISNUMBER(Tasks[[#This Row],[% Complete]]),Tasks[[#This Row],[% Complete]],IF(Tasks[[#This Row],[Stage]]="",0,IFERROR(INDEX(stg_Pct,MATCH(Tasks[[#This Row],[Stage]],stg_Name,0)),0)))</f>
        <v/>
      </c>
      <c r="EO10" s="42">
        <f>IF(NOT(Tasks[[#This Row],[_IsLeaf]]=1),0,IF(N(Tasks[[#This Row],[Actual Finish]])&gt;0,1,MIN(1,Tasks[[#This Row],[_Pct]])))</f>
        <v/>
      </c>
      <c r="EP10" s="42">
        <f>IF(OR(NOT(Tasks[[#This Row],[_IsLeaf]]=1),Tasks[[#This Row],[_Res1Row]]=0),0,N(Tasks[[#This Row],[_Days]])*HoursPerDay*IF(Tasks[[#This Row],[_Units1]]="",DefaultUnits,Tasks[[#This Row],[_Units1]]))</f>
        <v/>
      </c>
      <c r="EQ10" s="42">
        <f>Tasks[[#This Row],[_LeafWork]]+Tasks[[#This Row],[_Res2Work]]+Tasks[[#This Row],[_Res3Work]]+Tasks[[#This Row],[_Res4Work]]</f>
        <v/>
      </c>
      <c r="ER1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 s="42">
        <f>IF(NOT(Tasks[[#This Row],[_IsLeaf]]=1),0,MAX(_xlfn.MAXIFS(Tasks[_Row],Tasks[_Pred1UID],Tasks[[#This Row],[UID]]),_xlfn.MAXIFS(Tasks[_Row],Tasks[_Pred2UID],Tasks[[#This Row],[UID]]),_xlfn.MAXIFS(Tasks[_Row],Tasks[_Pred3UID],Tasks[[#This Row],[UID]]),_xlfn.MAXIFS(Tasks[_Row],Tasks[_Pred4UID],Tasks[[#This Row],[UID]])))</f>
        <v/>
      </c>
      <c r="FA1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 s="88">
        <f>IF(NOT(Tasks[[#This Row],[_IsLeaf]]=1),"",IF(N(Tasks[[#This Row],[_Days]])&lt;=0,Tasks[[#This Row],[_LeafLateFinish]],WORKDAY.INTL(Tasks[[#This Row],[_LeafLateFinish]],-(Tasks[[#This Row],[_Days]]-1),WorkWeek,Holidays)))</f>
        <v/>
      </c>
      <c r="FD1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 s="42">
        <f>AND(Tasks[[#This Row],[_IsLeaf]]=1,Tasks[[#This Row],[_LeafProgress]]&lt;1,N(Tasks[[#This Row],[_LeafTotalSlack]])&lt;=CriticalSlackDays)</f>
        <v/>
      </c>
      <c r="FF10" s="42">
        <f>IF(AND(Tasks[[#This Row],[_IsLeaf]]=1,Tasks[[#This Row],[_ConstraintCode]]=1,Tasks[[#This Row],[Mode]]&lt;&gt;"Manual",N(Tasks[[#This Row],[Actual Start]])=0),MAX(0,N(Tasks[[#This Row],[Free Slack]])),0)</f>
        <v/>
      </c>
      <c r="FG10" s="88">
        <f>IF(NOT(Tasks[[#This Row],[_IsLeaf]]=1),"",IF(Tasks[[#This Row],[_AlapShift]]=0,Tasks[[#This Row],[_LeafCalcStart]],WORKDAY.INTL(Tasks[[#This Row],[_LeafCalcStart]],Tasks[[#This Row],[_AlapShift]],WorkWeek,Holidays)))</f>
        <v/>
      </c>
      <c r="FH10" s="88">
        <f>IF(NOT(Tasks[[#This Row],[_IsLeaf]]=1),"",IF(Tasks[[#This Row],[_AlapShift]]=0,Tasks[[#This Row],[_LeafCalcFinish]],WORKDAY.INTL(Tasks[[#This Row],[_LeafCalcFinish]],Tasks[[#This Row],[_AlapShift]],WorkWeek,Holidays)))</f>
        <v/>
      </c>
      <c r="FI10" s="88">
        <f>IF(NOT(Tasks[[#This Row],[_IsLeaf]]=1),"",IF(Tasks[[#This Row],[_AlapShift]]=0,Tasks[[#This Row],[_LeafFcstStart]],WORKDAY.INTL(Tasks[[#This Row],[_LeafFcstStart]],Tasks[[#This Row],[_AlapShift]],WorkWeek,Holidays)))</f>
        <v/>
      </c>
      <c r="FJ10" s="88">
        <f>IF(NOT(Tasks[[#This Row],[_IsLeaf]]=1),"",IF(Tasks[[#This Row],[_AlapShift]]=0,Tasks[[#This Row],[_LeafFcstFinish]],WORKDAY.INTL(Tasks[[#This Row],[_LeafFcstFinish]],Tasks[[#This Row],[_AlapShift]],WorkWeek,Holidays)))</f>
        <v/>
      </c>
      <c r="FK10" s="88">
        <f>IF(Tasks[[#This Row],[Task Name]]="","",IF(Tasks[[#This Row],[_IsSummary]],MIN(INDEX(Tasks[_ShownCalcStart],Tasks[[#This Row],[_Row]]+1):INDEX(Tasks[_ShownCalcStart],Tasks[[#This Row],[_Row]]+Tasks[[#This Row],[_Descendants]])),Tasks[[#This Row],[_ShownCalcStart]]))</f>
        <v/>
      </c>
      <c r="FL10" s="88">
        <f>IF(Tasks[[#This Row],[Task Name]]="","",IF(Tasks[[#This Row],[_IsSummary]],MAX(INDEX(Tasks[_ShownCalcFinish],Tasks[[#This Row],[_Row]]+1):INDEX(Tasks[_ShownCalcFinish],Tasks[[#This Row],[_Row]]+Tasks[[#This Row],[_Descendants]])),Tasks[[#This Row],[_ShownCalcFinish]]))</f>
        <v/>
      </c>
      <c r="FM1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 s="42">
        <f>IF(AND(Tasks[[#This Row],[_IsLeaf]]=1,Tasks[[#This Row],[_LeafTotalWork]]&gt;0),NETWORKDAYS.INTL(ProjectStart,Tasks[[#This Row],[_ShownFcstStart]],WorkWeek,Holidays),0)</f>
        <v/>
      </c>
      <c r="FZ10" s="42">
        <f>IF(AND(Tasks[[#This Row],[_IsLeaf]]=1,Tasks[[#This Row],[_LeafTotalWork]]&gt;0),MAX(Tasks[[#This Row],[_StartWorkday]],NETWORKDAYS.INTL(ProjectStart,Tasks[[#This Row],[_ShownFcstFinish]],WorkWeek,Holidays)),0)</f>
        <v/>
      </c>
      <c r="GA10" s="42">
        <f>IF(AND(Tasks[[#This Row],[_IsLeaf]]=1,Tasks[[#This Row],[_LeafTotalWork]]&gt;0),Tasks[[#This Row],[_LeafWork]]/(Tasks[[#This Row],[_FinishWorkday]]-Tasks[[#This Row],[_StartWorkday]]+1),0)</f>
        <v/>
      </c>
      <c r="GB10" s="42">
        <f>Tasks[[#This Row],[_WorkPerWorkday]]*(Tasks[[#This Row],[_StartWorkday]]-1)</f>
        <v/>
      </c>
      <c r="GC10" s="42">
        <f>IF(Tasks[[#This Row],[_IsLeaf]]=1,MAX(N(Tasks[[#This Row],[_Days]]),0.1),0)</f>
        <v/>
      </c>
      <c r="GD10" s="42">
        <f>Tasks[[#This Row],[_WeightDur]]*Tasks[[#This Row],[_LeafProgress]]</f>
        <v/>
      </c>
      <c r="GE10" s="42">
        <f>Tasks[[#This Row],[_WeightDur]]*Tasks[[#This Row],[_PlannedPct]]</f>
        <v/>
      </c>
      <c r="GF1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 s="42">
        <f>IF(AND(Tasks[[#This Row],[_IsLeaf]]=1,N(Tasks[[#This Row],[_Days]])=0,Tasks[[#This Row],[_LeafProgress]]&lt;1),Tasks[[#This Row],[_ShownFcstFinish]]+Tasks[[#This Row],[_Row]]/100000,"")</f>
        <v/>
      </c>
      <c r="GH1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 s="42">
        <f>IF(Tasks[[#This Row],[Task Name]]="","",LEFT(Tasks[[#This Row],[WBS]],FIND(".",Tasks[[#This Row],[WBS]]&amp;".")-1))</f>
        <v/>
      </c>
      <c r="GJ10" s="42">
        <f>IF(AND(Tasks[[#This Row],[Task Name]]&lt;&gt;"",Tasks[[#This Row],[_Level]]=1),Tasks[[#This Row],[_Row]],"")</f>
        <v/>
      </c>
      <c r="GK10" s="42">
        <f>IF(AND(Tasks[[#This Row],[_IsLeaf]]=1,N(Tasks[[#This Row],[_Days]])=0),Tasks[[#This Row],[Planned Finish]]+Tasks[[#This Row],[_Row]]/100000,"")</f>
        <v/>
      </c>
      <c r="GL10" s="42">
        <f>IF(AND(Tasks[[#This Row],[_IsLeaf]]=1,Tasks[[#This Row],[_LeafProgress]]&lt;1,OR(N(Tasks[[#This Row],[Finish Var]])&gt;0,Tasks[[#This Row],[Status]]="Late Start")),MAX(0,Tasks[[#This Row],[Finish Var]])+1-Tasks[[#This Row],[_Row]]/1000000,"")</f>
        <v/>
      </c>
      <c r="GM10" s="42">
        <f>IF(AND(Tasks[[#This Row],[_IsLeaf]]=1,N(Tasks[[#This Row],[Actual Start]])=0,Tasks[[#This Row],[_ShownFcstStart]]&gt;=StatusDate,Tasks[[#This Row],[_ShownFcstStart]]&lt;=LookaheadEnd),Tasks[[#This Row],[_ShownFcstStart]]+Tasks[[#This Row],[_Row]]/100000,"")</f>
        <v/>
      </c>
      <c r="GN10" s="42">
        <f>IF(AND(Tasks[[#This Row],[_IsLeaf]]=1,Tasks[[#This Row],[_LeafProgress]]&lt;1,Tasks[[#This Row],[_ShownFcstFinish]]&gt;=StatusDate,Tasks[[#This Row],[_ShownFcstFinish]]&lt;=LookaheadEnd),Tasks[[#This Row],[_ShownFcstFinish]]+Tasks[[#This Row],[_Row]]/100000,"")</f>
        <v/>
      </c>
      <c r="GO10" s="42">
        <f>IF(Tasks[[#This Row],[_LeafCritical]],Tasks[[#This Row],[_ShownFcstStart]]+Tasks[[#This Row],[_Row]]/100000,"")</f>
        <v/>
      </c>
      <c r="GP10" s="42">
        <f>Tasks[[#This Row],[_LeafWork]]*Tasks[[#This Row],[_LeafProgress]]</f>
        <v/>
      </c>
      <c r="GQ10" s="88">
        <f>IF(AND(Tasks[[#This Row],[_IsLeaf]]=1,Tasks[[#This Row],[_LeafProgress]]&gt;=1),IF(N(Tasks[[#This Row],[Actual Finish]])&gt;0,Tasks[[#This Row],[Actual Finish]],Tasks[[#This Row],[_ShownFcstFinish]]),"")</f>
        <v/>
      </c>
      <c r="GR10" s="42">
        <f>IF(Tasks[[#This Row],[_IsLeaf]]=1,N(Tasks[[#This Row],[Story Points]]),0)</f>
        <v/>
      </c>
      <c r="GS10" s="42">
        <f>""</f>
        <v/>
      </c>
      <c r="GT10" s="42">
        <f>IF(Tasks[[#This Row],[Task Name]]="",FALSE(),AND(Tasks[[#This Row],[_IsLeaf]]=1,N(Tasks[[#This Row],[_Days]])=0))</f>
        <v/>
      </c>
      <c r="GU10" s="88">
        <f>IF(Tasks[[#This Row],[Task Name]]="",0,IF(AND(Tasks[[#This Row],[_IsLeaf]]=1,NOT(Tasks[[#This Row],[_IsMilestone]]),N(Tasks[[#This Row],[Progress]])&gt;0),Tasks[[#This Row],[Start]],0))</f>
        <v/>
      </c>
      <c r="GV10" s="88">
        <f>IF(Tasks[[#This Row],[_DoneFrom]]=0,0,IF(Tasks[[#This Row],[Progress]]&gt;=1,Tasks[[#This Row],[Finish]],MAX(Tasks[[#This Row],[_DoneFrom]],Tasks[[#This Row],[Start]]+ROUND((Tasks[[#This Row],[Finish]]-Tasks[[#This Row],[Start]]+1)*Tasks[[#This Row],[Progress]],0)-1)))</f>
        <v/>
      </c>
      <c r="GW10" s="88">
        <f>IF(Tasks[[#This Row],[Task Name]]="",0,IF(OR(NOT(Tasks[[#This Row],[_IsLeaf]]=1),Tasks[[#This Row],[_IsMilestone]],N(Tasks[[#This Row],[Progress]])&gt;=1),0,IF(Tasks[[#This Row],[_DoneTo]]&gt;0,Tasks[[#This Row],[_DoneTo]]+1,Tasks[[#This Row],[Start]])))</f>
        <v/>
      </c>
      <c r="GX10" s="88">
        <f>IF(Tasks[[#This Row],[_RemFrom]]=0,0,Tasks[[#This Row],[Finish]])</f>
        <v/>
      </c>
      <c r="GY10" s="42">
        <f>IF(Tasks[[#This Row],[Task Name]]="",FALSE(),OR(NOT(BaselineSet),N(Tasks[[#This Row],[Baseline Start]])&gt;0))</f>
        <v/>
      </c>
      <c r="GZ10" s="42">
        <f>IF(AND(Sandbox="Yes",L_PARSE_DURATION(Tasks[[#This Row],[Sandbox Duration]])&lt;&gt;""),L_PARSE_DURATION(Tasks[[#This Row],[Sandbox Duration]]),L_PARSE_DURATION(Tasks[[#This Row],[Duration]]))</f>
        <v/>
      </c>
      <c r="HA1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 s="42">
        <f>IF(Tasks[[#This Row],[_IsLeaf]]=1,Tasks[[#This Row],[_Row]],"")</f>
        <v/>
      </c>
      <c r="HD10" s="42">
        <f>IFERROR(INDEX(Tasks[UID],SMALL(Tasks[_PickKey],Tasks[[#This Row],[_Row]]))&amp;" "&amp;INDEX(Tasks[Task Name],SMALL(Tasks[_PickKey],Tasks[[#This Row],[_Row]])),"")</f>
        <v/>
      </c>
      <c r="HE10" s="42">
        <f>IF(Tasks[[#This Row],[Task Name]]="","",IF(Tasks[[#This Row],[_IsSummary]],NETWORKDAYS.INTL(Tasks[[#This Row],[Start]],Tasks[[#This Row],[Finish]],WorkWeek,Holidays),N(Tasks[[#This Row],[_Days]])))</f>
        <v/>
      </c>
      <c r="HF10" s="42">
        <f>IF(Tasks[[#This Row],[Expected]]="",0,((Tasks[[#This Row],[Pessimistic]]-Tasks[[#This Row],[Optimistic]])/6)^2)</f>
        <v/>
      </c>
      <c r="HG10" s="42">
        <f>IF(Tasks[[#This Row],[Expected]]="",0,Tasks[[#This Row],[Expected]]-N(Tasks[[#This Row],[_Days]]))</f>
        <v/>
      </c>
    </row>
    <row r="11" outlineLevel="1">
      <c r="A11" s="21">
        <f>IF(Tasks[[#This Row],[Task Name]]="","",COUNTA(Tasks[[#Headers],[Task Name]]:Tasks[[#This Row],[Task Name]])-1)</f>
        <v/>
      </c>
      <c r="B11" s="22" t="n">
        <v>6</v>
      </c>
      <c r="C11" s="22" t="n">
        <v>2</v>
      </c>
      <c r="D11" s="89" t="inlineStr">
        <is>
          <t>Requirements gathering</t>
        </is>
      </c>
      <c r="E11" s="22" t="n">
        <v>8</v>
      </c>
      <c r="F11" s="23" t="n">
        <v>4</v>
      </c>
      <c r="G11" s="22" t="n"/>
      <c r="H11" s="22" t="n"/>
      <c r="I11" s="23" t="n"/>
      <c r="J11" s="22" t="n"/>
      <c r="K11" s="22" t="n"/>
      <c r="L11" s="23" t="n"/>
      <c r="M11" s="22" t="n"/>
      <c r="N11" s="22" t="n"/>
      <c r="O11" s="23" t="n"/>
      <c r="P11" s="22" t="n"/>
      <c r="Q11" s="22" t="n"/>
      <c r="R11" s="23" t="n"/>
      <c r="S11" s="23" t="inlineStr">
        <is>
          <t>Morgan Patel</t>
        </is>
      </c>
      <c r="T11" s="82" t="n"/>
      <c r="U11" s="23" t="n"/>
      <c r="V11" s="82" t="n"/>
      <c r="W11" s="23" t="n"/>
      <c r="X11" s="82" t="n"/>
      <c r="Y11" s="23" t="n"/>
      <c r="Z11" s="82" t="n"/>
      <c r="AA11" s="23" t="n"/>
      <c r="AB11" s="23" t="inlineStr">
        <is>
          <t>Complete</t>
        </is>
      </c>
      <c r="AC11" s="7" t="n">
        <v>46280</v>
      </c>
      <c r="AD11" s="7" t="n">
        <v>46290</v>
      </c>
      <c r="AE11" s="61">
        <f>IF(Tasks[[#This Row],[Task Name]]="","",IF(Tasks[[#This Row],[_IsSummary]],MIN(INDEX(Tasks[_ShownFcstStart],Tasks[[#This Row],[_Row]]+1):INDEX(Tasks[_ShownFcstStart],Tasks[[#This Row],[_Row]]+Tasks[[#This Row],[_Descendants]])),Tasks[[#This Row],[_ShownFcstStart]]))</f>
        <v/>
      </c>
      <c r="AF11" s="61">
        <f>IF(Tasks[[#This Row],[Task Name]]="","",IF(Tasks[[#This Row],[_IsSummary]],MAX(INDEX(Tasks[_ShownFcstFinish],Tasks[[#This Row],[_Row]]+1):INDEX(Tasks[_ShownFcstFinish],Tasks[[#This Row],[_Row]]+Tasks[[#This Row],[_Descendants]])),Tasks[[#This Row],[_ShownFcstFinish]]))</f>
        <v/>
      </c>
      <c r="AG11" s="21">
        <f>""</f>
        <v/>
      </c>
      <c r="AH11" s="23" t="inlineStr"/>
      <c r="AI1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 s="7" t="n"/>
      <c r="AK11" s="22" t="inlineStr">
        <is>
          <t>Auto</t>
        </is>
      </c>
      <c r="AL11" s="23" t="n"/>
      <c r="AM11" s="7" t="n"/>
      <c r="AN11" s="21">
        <f>IF(Tasks[[#This Row],[Task Name]]="","",IF(Tasks[[#This Row],[Finish]]&gt;=Tasks[[#This Row],[Planned Finish]],NETWORKDAYS.INTL(Tasks[[#This Row],[Planned Finish]],Tasks[[#This Row],[Finish]],WorkWeek,Holidays)-1,1-NETWORKDAYS.INTL(Tasks[[#This Row],[Finish]],Tasks[[#This Row],[Planned Finish]],WorkWeek,Holidays)))</f>
        <v/>
      </c>
      <c r="AO11" s="21">
        <f>IF(Tasks[[#This Row],[Task Name]]="","",IF(Tasks[[#This Row],[Progress]]&gt;=1,"Complete",IF(OR(N(Tasks[[#This Row],[Actual Start]])&gt;0,Tasks[[#This Row],[Progress]]&gt;0),IF(Tasks[[#This Row],[Finish Var]]&gt;0,"Behind","In Progress"),IF(Tasks[[#This Row],[Planned Start]]&lt;StatusDate,"Late Start","Not Started"))))</f>
        <v/>
      </c>
      <c r="AP11" s="21">
        <f>IF(Tasks[[#This Row],[Task Name]]="","",IF(IF(Tasks[[#This Row],[_IsSummary]],COUNTIF(INDEX(Tasks[_LeafCritical],Tasks[[#This Row],[_Row]]+1):INDEX(Tasks[_LeafCritical],Tasks[[#This Row],[_Row]]+Tasks[[#This Row],[_Descendants]]),TRUE())&gt;0,Tasks[[#This Row],[_LeafCritical]]),"Yes",""))</f>
        <v/>
      </c>
      <c r="AQ11" s="61">
        <f>IF(Tasks[[#This Row],[Task Name]]="","",IF(N(Tasks[[#This Row],[Baseline Start]])&gt;0,Tasks[[#This Row],[Baseline Start]],Tasks[[#This Row],[_CalcStart]]))</f>
        <v/>
      </c>
      <c r="AR11" s="61">
        <f>IF(Tasks[[#This Row],[Task Name]]="","",IF(N(Tasks[[#This Row],[Baseline Finish]])&gt;0,Tasks[[#This Row],[Baseline Finish]],Tasks[[#This Row],[_CalcFinish]]))</f>
        <v/>
      </c>
      <c r="AS11" s="21">
        <f>IF(Tasks[[#This Row],[Task Name]]="","",IF(Tasks[[#This Row],[Start]]&gt;=Tasks[[#This Row],[Planned Start]],NETWORKDAYS.INTL(Tasks[[#This Row],[Planned Start]],Tasks[[#This Row],[Start]],WorkWeek,Holidays)-1,1-NETWORKDAYS.INTL(Tasks[[#This Row],[Start]],Tasks[[#This Row],[Planned Start]],WorkWeek,Holidays)))</f>
        <v/>
      </c>
      <c r="AT11" s="61">
        <f>IF(Tasks[[#This Row],[Task Name]]="","",IF(Tasks[[#This Row],[_IsSummary]],MIN(INDEX(Tasks[_LeafLateStart],Tasks[[#This Row],[_Row]]+1):INDEX(Tasks[_LeafLateStart],Tasks[[#This Row],[_Row]]+Tasks[[#This Row],[_Descendants]])),Tasks[[#This Row],[_LeafLateStart]]))</f>
        <v/>
      </c>
      <c r="AU11" s="61">
        <f>IF(Tasks[[#This Row],[Task Name]]="","",IF(Tasks[[#This Row],[_IsSummary]],MAX(INDEX(Tasks[_LeafLateFinish],Tasks[[#This Row],[_Row]]+1):INDEX(Tasks[_LeafLateFinish],Tasks[[#This Row],[_Row]]+Tasks[[#This Row],[_Descendants]])),Tasks[[#This Row],[_LeafLateFinish]]))</f>
        <v/>
      </c>
      <c r="AV11" s="21">
        <f>IF(Tasks[[#This Row],[Task Name]]="","",IF(Tasks[[#This Row],[_IsSummary]],MIN(INDEX(Tasks[_LeafTotalSlack],Tasks[[#This Row],[_Row]]+1):INDEX(Tasks[_LeafTotalSlack],Tasks[[#This Row],[_Row]]+Tasks[[#This Row],[_Descendants]])),Tasks[[#This Row],[_LeafTotalSlack]]))</f>
        <v/>
      </c>
      <c r="AW1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3" t="n"/>
      <c r="BA1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 s="21">
        <f>IF(Tasks[[#This Row],[Task Name]]="","",IF(Tasks[[#This Row],[_Level]]&lt;=OutlineShowLevel,"Yes","No"))</f>
        <v/>
      </c>
      <c r="BE11" s="84">
        <f>IF(Tasks[[#This Row],[Task Name]]="","",IF(Tasks[[#This Row],[_IsSummary]],SUM(INDEX(Tasks[_LeafTotalWork],Tasks[[#This Row],[_Row]]+1):INDEX(Tasks[_LeafTotalWork],Tasks[[#This Row],[_Row]]+Tasks[[#This Row],[_Descendants]])),Tasks[[#This Row],[_LeafTotalWork]]))</f>
        <v/>
      </c>
      <c r="BF11" s="23" t="n"/>
      <c r="BG1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 s="21">
        <f>""</f>
        <v/>
      </c>
      <c r="BI11" s="85" t="n"/>
      <c r="BJ11" s="22" t="n"/>
      <c r="BK11" s="21">
        <f>IF(OR(Tasks[[#This Row],[Task Name]]="",Tasks[[#This Row],[Baseline Duration]]=""),"",Tasks[[#This Row],[_SpanDays]]-N(Tasks[[#This Row],[Baseline Duration]]))</f>
        <v/>
      </c>
      <c r="BL11" s="84">
        <f>IF(OR(Tasks[[#This Row],[Task Name]]="",Tasks[[#This Row],[Baseline Work]]=""),"",Tasks[[#This Row],[Work]]-N(Tasks[[#This Row],[Baseline Work]]))</f>
        <v/>
      </c>
      <c r="BM11" s="61">
        <f>IF(Tasks[[#This Row],[Task Name]]="","",IF(OR(TakeBaseline="Yes",N(Tasks[[#This Row],[Baseline Start]])=0),Tasks[[#This Row],[Start]],Tasks[[#This Row],[Baseline Start]]))</f>
        <v/>
      </c>
      <c r="BN11" s="61">
        <f>IF(Tasks[[#This Row],[Task Name]]="","",IF(OR(TakeBaseline="Yes",N(Tasks[[#This Row],[Baseline Finish]])=0),Tasks[[#This Row],[Finish]],Tasks[[#This Row],[Baseline Finish]]))</f>
        <v/>
      </c>
      <c r="BO11" s="21">
        <f>IF(Tasks[[#This Row],[Task Name]]="","",IF(OR(TakeBaseline="Yes",N(Tasks[[#This Row],[Baseline Duration]])=0),Tasks[[#This Row],[_SpanDays]],Tasks[[#This Row],[Baseline Duration]]))</f>
        <v/>
      </c>
      <c r="BP11" s="84">
        <f>IF(Tasks[[#This Row],[Task Name]]="","",IF(OR(TakeBaseline="Yes",N(Tasks[[#This Row],[Baseline Work]])=0),Tasks[[#This Row],[Work]],Tasks[[#This Row],[Baseline Work]]))</f>
        <v/>
      </c>
      <c r="BQ11" s="7" t="n">
        <v>46279</v>
      </c>
      <c r="BR11" s="7" t="n">
        <v>46288</v>
      </c>
      <c r="BS11" s="22" t="n">
        <v>8</v>
      </c>
      <c r="BT11" s="86" t="n">
        <v>64</v>
      </c>
      <c r="BU11" s="23" t="n"/>
      <c r="BV11" s="23" t="n"/>
      <c r="BW11" s="23" t="n"/>
      <c r="BX11" s="87">
        <f>IF(AND(Tasks[[#This Row],[_IsLeaf]]=1,ISNUMBER(Tasks[[#This Row],[Optimistic]]),ISNUMBER(Tasks[[#This Row],[Pessimistic]])),ROUND((Tasks[[#This Row],[Optimistic]]+4*N(Tasks[[#This Row],[_Days]])+Tasks[[#This Row],[Pessimistic]])/6,1),"")</f>
        <v/>
      </c>
      <c r="BY11" s="85" t="n"/>
      <c r="BZ11" s="85" t="n"/>
      <c r="CA11" s="22" t="n"/>
      <c r="CB11" s="42">
        <f>IF(Tasks[[#This Row],[Task Name]]="","",MAX(1,N(Tasks[[#This Row],[Level]])))</f>
        <v/>
      </c>
      <c r="CC11" s="42">
        <f>ROW()-ROW(Tasks[[#Headers],[ID]])</f>
        <v/>
      </c>
      <c r="CD11" s="42">
        <f>IF(OR(Tasks[[#This Row],[Task Name]]="",Tasks[[#This Row],[_Level]]&lt;=1),0,IFERROR(LOOKUP(2,1/(Tasks[[#Headers],[_Level]]:Tasks[[#This Row],[_Level]]=Tasks[[#This Row],[_Level]]-1),ROW(Tasks[[#Headers],[_Level]]:Tasks[[#This Row],[_Level]])),0))</f>
        <v/>
      </c>
      <c r="CE11" s="42">
        <f>IFERROR(N(INDEX(Tasks[_Level],Tasks[[#This Row],[_Row]]+1)),0)</f>
        <v/>
      </c>
      <c r="CF11" s="42">
        <f>AND(Tasks[[#This Row],[Task Name]]&lt;&gt;"",Tasks[[#This Row],[_NextLevel]]&gt;Tasks[[#This Row],[_Level]])</f>
        <v/>
      </c>
      <c r="CG11" s="42">
        <f>IF(Tasks[[#This Row],[_IsSummary]],COUNTIF(Tasks[WBS],Tasks[[#This Row],[WBS]]&amp;".*"),0)</f>
        <v/>
      </c>
      <c r="CH11" s="42">
        <f>IF(AND(Tasks[[#This Row],[Task Name]]&lt;&gt;"",NOT(Tasks[[#This Row],[_IsSummary]])),1,0)</f>
        <v/>
      </c>
      <c r="CI11" s="42">
        <f>IF(N(Tasks[[#This Row],[_Pred1UID]])=0,0,IFERROR(MATCH(Tasks[[#This Row],[_Pred1UID]],Tasks[UID],0),-1))</f>
        <v/>
      </c>
      <c r="CJ11" s="42">
        <f>IF(N(Tasks[[#This Row],[_Pred2UID]])=0,0,IFERROR(MATCH(Tasks[[#This Row],[_Pred2UID]],Tasks[UID],0),-1))</f>
        <v/>
      </c>
      <c r="CK11" s="42">
        <f>IF(N(Tasks[[#This Row],[_Pred3UID]])=0,0,IFERROR(MATCH(Tasks[[#This Row],[_Pred3UID]],Tasks[UID],0),-1))</f>
        <v/>
      </c>
      <c r="CL11" s="42">
        <f>IF(N(Tasks[[#This Row],[_Pred4UID]])=0,0,IFERROR(MATCH(Tasks[[#This Row],[_Pred4UID]],Tasks[UID],0),-1))</f>
        <v/>
      </c>
      <c r="CM1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 s="88">
        <f>IF(N(Tasks[[#This Row],[Constraint Date]])=0,0,IF(AND(OR(Tasks[[#This Row],[_ConstraintCode]]=3,Tasks[[#This Row],[_ConstraintCode]]=6,Tasks[[#This Row],[_ConstraintCode]]=7),N(Tasks[[#This Row],[_Days]])&gt;1),WORKDAY.INTL(N(Tasks[[#This Row],[Constraint Date]]),-(N(Tasks[[#This Row],[_Days]])-1),WorkWeek,Holidays),N(Tasks[[#This Row],[Constraint Date]])))</f>
        <v/>
      </c>
      <c r="CO11" s="88">
        <f>IF(OR(Tasks[[#This Row],[_ConstraintCode]]=2,Tasks[[#This Row],[_ConstraintCode]]=3,Tasks[[#This Row],[_ConstraintCode]]=4,Tasks[[#This Row],[_ConstraintCode]]=6),Tasks[[#This Row],[_ConstraintStart]],0)</f>
        <v/>
      </c>
      <c r="CP11" s="88">
        <f>IF(OR(Tasks[[#This Row],[_ConstraintCode]]=2,Tasks[[#This Row],[_ConstraintCode]]=3,Tasks[[#This Row],[_ConstraintCode]]=5,Tasks[[#This Row],[_ConstraintCode]]=7),Tasks[[#This Row],[_ConstraintStart]],2958465)</f>
        <v/>
      </c>
      <c r="CQ1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 s="88">
        <f>IF(NOT(Tasks[[#This Row],[_IsLeaf]]=1),"",IF(N(Tasks[[#This Row],[_Days]])&lt;=0,Tasks[[#This Row],[_LeafCalcStart]],WORKDAY.INTL(Tasks[[#This Row],[_LeafCalcStart]],Tasks[[#This Row],[_Days]]-1,WorkWeek,Holidays)))</f>
        <v/>
      </c>
      <c r="CS1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 s="42">
        <f>IF(Tasks[[#This Row],[_Predecessors]]="","",TRIM(MID(SUBSTITUTE(SUBSTITUTE(SUBSTITUTE(UPPER(Tasks[[#This Row],[_Predecessors]]),";",",")," ",""),",",REPT(" ",99)),1,99)))</f>
        <v/>
      </c>
      <c r="CV11" s="42">
        <f>IF(Tasks[[#This Row],[_Pred1Text]]="","",IFERROR(VALUE(LEFT(Tasks[[#This Row],[_Pred1Text]],MIN(FIND("F",Tasks[[#This Row],[_Pred1Text]]&amp;"F"),FIND("S",Tasks[[#This Row],[_Pred1Text]]&amp;"S"),FIND("+",Tasks[[#This Row],[_Pred1Text]]&amp;"+"),FIND("-",Tasks[[#This Row],[_Pred1Text]]&amp;"-"))-1)),""))</f>
        <v/>
      </c>
      <c r="CW1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 s="42">
        <f>IF(Tasks[[#This Row],[_Pred1Text]]="","",TRIM(MID(SUBSTITUTE(SUBSTITUTE(SUBSTITUTE(UPPER(Tasks[[#This Row],[_Predecessors]]),";",",")," ",""),",",REPT(" ",99)),100,99)))</f>
        <v/>
      </c>
      <c r="CZ11" s="42">
        <f>IF(Tasks[[#This Row],[_Pred2Text]]="","",IFERROR(VALUE(LEFT(Tasks[[#This Row],[_Pred2Text]],MIN(FIND("F",Tasks[[#This Row],[_Pred2Text]]&amp;"F"),FIND("S",Tasks[[#This Row],[_Pred2Text]]&amp;"S"),FIND("+",Tasks[[#This Row],[_Pred2Text]]&amp;"+"),FIND("-",Tasks[[#This Row],[_Pred2Text]]&amp;"-"))-1)),""))</f>
        <v/>
      </c>
      <c r="DA1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 s="42">
        <f>IF(Tasks[[#This Row],[_Pred2Text]]="","",TRIM(MID(SUBSTITUTE(SUBSTITUTE(SUBSTITUTE(UPPER(Tasks[[#This Row],[_Predecessors]]),";",",")," ",""),",",REPT(" ",99)),199,99)))</f>
        <v/>
      </c>
      <c r="DD11" s="42">
        <f>IF(Tasks[[#This Row],[_Pred3Text]]="","",IFERROR(VALUE(LEFT(Tasks[[#This Row],[_Pred3Text]],MIN(FIND("F",Tasks[[#This Row],[_Pred3Text]]&amp;"F"),FIND("S",Tasks[[#This Row],[_Pred3Text]]&amp;"S"),FIND("+",Tasks[[#This Row],[_Pred3Text]]&amp;"+"),FIND("-",Tasks[[#This Row],[_Pred3Text]]&amp;"-"))-1)),""))</f>
        <v/>
      </c>
      <c r="DE1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 s="42">
        <f>IF(Tasks[[#This Row],[_Pred3Text]]="","",TRIM(MID(SUBSTITUTE(SUBSTITUTE(SUBSTITUTE(UPPER(Tasks[[#This Row],[_Predecessors]]),";",",")," ",""),",",REPT(" ",99)),298,99)))</f>
        <v/>
      </c>
      <c r="DH11" s="42">
        <f>IF(Tasks[[#This Row],[_Pred4Text]]="","",IFERROR(VALUE(LEFT(Tasks[[#This Row],[_Pred4Text]],MIN(FIND("F",Tasks[[#This Row],[_Pred4Text]]&amp;"F"),FIND("S",Tasks[[#This Row],[_Pred4Text]]&amp;"S"),FIND("+",Tasks[[#This Row],[_Pred4Text]]&amp;"+"),FIND("-",Tasks[[#This Row],[_Pred4Text]]&amp;"-"))-1)),""))</f>
        <v/>
      </c>
      <c r="DI1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 s="42">
        <f>IF(OR(Tasks[[#This Row],[Task Name]]="",Tasks[[#This Row],[_Resources]]=""),"",TRIM(MID(SUBSTITUTE(Tasks[[#This Row],[_Resources]],",",REPT(" ",99)),1,99)))</f>
        <v/>
      </c>
      <c r="DL11" s="42">
        <f>IF(Tasks[[#This Row],[_Res1Text]]="","",TRIM(MID(SUBSTITUTE(Tasks[[#This Row],[_Resources]],",",REPT(" ",99)),100,99)))</f>
        <v/>
      </c>
      <c r="DM11" s="42">
        <f>IF(Tasks[[#This Row],[_Res2Text]]="","",TRIM(MID(SUBSTITUTE(Tasks[[#This Row],[_Resources]],",",REPT(" ",99)),199,99)))</f>
        <v/>
      </c>
      <c r="DN11" s="42">
        <f>IF(Tasks[[#This Row],[_Res3Text]]="","",TRIM(MID(SUBSTITUTE(Tasks[[#This Row],[_Resources]],",",REPT(" ",99)),298,99)))</f>
        <v/>
      </c>
      <c r="DO11" s="42">
        <f>IF(Tasks[[#This Row],[_Res1Text]]="",0,IFERROR(MATCH(TRIM(LEFT(Tasks[[#This Row],[_Res1Text]],FIND("[",Tasks[[#This Row],[_Res1Text]]&amp;"[")-1)),res_Name,0),IFERROR(MATCH(TRIM(LEFT(Tasks[[#This Row],[_Res1Text]],FIND("[",Tasks[[#This Row],[_Res1Text]]&amp;"[")-1)),res_Initials,0),0)))</f>
        <v/>
      </c>
      <c r="DP11" s="42">
        <f>IF(Tasks[[#This Row],[_Res2Text]]="",0,IFERROR(MATCH(TRIM(LEFT(Tasks[[#This Row],[_Res2Text]],FIND("[",Tasks[[#This Row],[_Res2Text]]&amp;"[")-1)),res_Name,0),IFERROR(MATCH(TRIM(LEFT(Tasks[[#This Row],[_Res2Text]],FIND("[",Tasks[[#This Row],[_Res2Text]]&amp;"[")-1)),res_Initials,0),0)))</f>
        <v/>
      </c>
      <c r="DQ11" s="42">
        <f>IF(Tasks[[#This Row],[_Res3Text]]="",0,IFERROR(MATCH(TRIM(LEFT(Tasks[[#This Row],[_Res3Text]],FIND("[",Tasks[[#This Row],[_Res3Text]]&amp;"[")-1)),res_Name,0),IFERROR(MATCH(TRIM(LEFT(Tasks[[#This Row],[_Res3Text]],FIND("[",Tasks[[#This Row],[_Res3Text]]&amp;"[")-1)),res_Initials,0),0)))</f>
        <v/>
      </c>
      <c r="DR11" s="42">
        <f>IF(Tasks[[#This Row],[_Res4Text]]="",0,IFERROR(MATCH(TRIM(LEFT(Tasks[[#This Row],[_Res4Text]],FIND("[",Tasks[[#This Row],[_Res4Text]]&amp;"[")-1)),res_Name,0),IFERROR(MATCH(TRIM(LEFT(Tasks[[#This Row],[_Res4Text]],FIND("[",Tasks[[#This Row],[_Res4Text]]&amp;"[")-1)),res_Initials,0),0)))</f>
        <v/>
      </c>
      <c r="DS11" s="42">
        <f>IF(Tasks[[#This Row],[_Res1Text]]="","",IF(Tasks[[#This Row],[_Res1Row]]&gt;0,INDEX(res_Name,Tasks[[#This Row],[_Res1Row]]),TRIM(LEFT(Tasks[[#This Row],[_Res1Text]],FIND("[",Tasks[[#This Row],[_Res1Text]]&amp;"[")-1))))</f>
        <v/>
      </c>
      <c r="DT1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 s="42">
        <f>IF(NOT(Tasks[[#This Row],[_IsLeaf]]=1),0,(Tasks[[#This Row],[_Resource1]]&lt;&gt;"")+(Tasks[[#This Row],[_Res2]]&lt;&gt;"")+(Tasks[[#This Row],[_Res3]]&lt;&gt;"")+(Tasks[[#This Row],[_Res4]]&lt;&gt;""))</f>
        <v/>
      </c>
      <c r="DV11" s="42">
        <f>IF(Tasks[[#This Row],[_Res2Text]]="","",IF(Tasks[[#This Row],[_Res2Row]]&gt;0,INDEX(res_Name,Tasks[[#This Row],[_Res2Row]]),TRIM(LEFT(Tasks[[#This Row],[_Res2Text]],FIND("[",Tasks[[#This Row],[_Res2Text]]&amp;"[")-1))))</f>
        <v/>
      </c>
      <c r="DW1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 s="42">
        <f>IF(OR(NOT(Tasks[[#This Row],[_IsLeaf]]=1),Tasks[[#This Row],[_Res2Row]]=0),0,N(Tasks[[#This Row],[_Days]])*HoursPerDay*IF(Tasks[[#This Row],[_Res2Units]]="",DefaultUnits,Tasks[[#This Row],[_Res2Units]]))</f>
        <v/>
      </c>
      <c r="DY11" s="42">
        <f>IF(AND(AND(Tasks[[#This Row],[_IsLeaf]]=1,Tasks[[#This Row],[_LeafTotalWork]]&gt;0),Tasks[[#This Row],[_Res2Work]]&gt;0),Tasks[[#This Row],[_Res2Work]]/(Tasks[[#This Row],[_FinishWorkday]]-Tasks[[#This Row],[_StartWorkday]]+1),0)</f>
        <v/>
      </c>
      <c r="DZ11" s="42">
        <f>Tasks[[#This Row],[_Res2WorkPerWD]]*MAX(0,Tasks[[#This Row],[_StartWorkday]]-1)</f>
        <v/>
      </c>
      <c r="EA11" s="42">
        <f>Tasks[[#This Row],[_Res2Work]]*Tasks[[#This Row],[_LeafProgress]]</f>
        <v/>
      </c>
      <c r="EB11" s="42">
        <f>IF(Tasks[[#This Row],[_Res3Text]]="","",IF(Tasks[[#This Row],[_Res3Row]]&gt;0,INDEX(res_Name,Tasks[[#This Row],[_Res3Row]]),TRIM(LEFT(Tasks[[#This Row],[_Res3Text]],FIND("[",Tasks[[#This Row],[_Res3Text]]&amp;"[")-1))))</f>
        <v/>
      </c>
      <c r="EC1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 s="42">
        <f>IF(OR(NOT(Tasks[[#This Row],[_IsLeaf]]=1),Tasks[[#This Row],[_Res3Row]]=0),0,N(Tasks[[#This Row],[_Days]])*HoursPerDay*IF(Tasks[[#This Row],[_Res3Units]]="",DefaultUnits,Tasks[[#This Row],[_Res3Units]]))</f>
        <v/>
      </c>
      <c r="EE11" s="42">
        <f>IF(AND(AND(Tasks[[#This Row],[_IsLeaf]]=1,Tasks[[#This Row],[_LeafTotalWork]]&gt;0),Tasks[[#This Row],[_Res3Work]]&gt;0),Tasks[[#This Row],[_Res3Work]]/(Tasks[[#This Row],[_FinishWorkday]]-Tasks[[#This Row],[_StartWorkday]]+1),0)</f>
        <v/>
      </c>
      <c r="EF11" s="42">
        <f>Tasks[[#This Row],[_Res3WorkPerWD]]*MAX(0,Tasks[[#This Row],[_StartWorkday]]-1)</f>
        <v/>
      </c>
      <c r="EG11" s="42">
        <f>Tasks[[#This Row],[_Res3Work]]*Tasks[[#This Row],[_LeafProgress]]</f>
        <v/>
      </c>
      <c r="EH11" s="42">
        <f>IF(Tasks[[#This Row],[_Res4Text]]="","",IF(Tasks[[#This Row],[_Res4Row]]&gt;0,INDEX(res_Name,Tasks[[#This Row],[_Res4Row]]),TRIM(LEFT(Tasks[[#This Row],[_Res4Text]],FIND("[",Tasks[[#This Row],[_Res4Text]]&amp;"[")-1))))</f>
        <v/>
      </c>
      <c r="EI1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 s="42">
        <f>IF(OR(NOT(Tasks[[#This Row],[_IsLeaf]]=1),Tasks[[#This Row],[_Res4Row]]=0),0,N(Tasks[[#This Row],[_Days]])*HoursPerDay*IF(Tasks[[#This Row],[_Res4Units]]="",DefaultUnits,Tasks[[#This Row],[_Res4Units]]))</f>
        <v/>
      </c>
      <c r="EK11" s="42">
        <f>IF(AND(AND(Tasks[[#This Row],[_IsLeaf]]=1,Tasks[[#This Row],[_LeafTotalWork]]&gt;0),Tasks[[#This Row],[_Res4Work]]&gt;0),Tasks[[#This Row],[_Res4Work]]/(Tasks[[#This Row],[_FinishWorkday]]-Tasks[[#This Row],[_StartWorkday]]+1),0)</f>
        <v/>
      </c>
      <c r="EL11" s="42">
        <f>Tasks[[#This Row],[_Res4WorkPerWD]]*MAX(0,Tasks[[#This Row],[_StartWorkday]]-1)</f>
        <v/>
      </c>
      <c r="EM11" s="42">
        <f>Tasks[[#This Row],[_Res4Work]]*Tasks[[#This Row],[_LeafProgress]]</f>
        <v/>
      </c>
      <c r="EN11" s="42">
        <f>IF(ISNUMBER(Tasks[[#This Row],[% Complete]]),Tasks[[#This Row],[% Complete]],IF(Tasks[[#This Row],[Stage]]="",0,IFERROR(INDEX(stg_Pct,MATCH(Tasks[[#This Row],[Stage]],stg_Name,0)),0)))</f>
        <v/>
      </c>
      <c r="EO11" s="42">
        <f>IF(NOT(Tasks[[#This Row],[_IsLeaf]]=1),0,IF(N(Tasks[[#This Row],[Actual Finish]])&gt;0,1,MIN(1,Tasks[[#This Row],[_Pct]])))</f>
        <v/>
      </c>
      <c r="EP11" s="42">
        <f>IF(OR(NOT(Tasks[[#This Row],[_IsLeaf]]=1),Tasks[[#This Row],[_Res1Row]]=0),0,N(Tasks[[#This Row],[_Days]])*HoursPerDay*IF(Tasks[[#This Row],[_Units1]]="",DefaultUnits,Tasks[[#This Row],[_Units1]]))</f>
        <v/>
      </c>
      <c r="EQ11" s="42">
        <f>Tasks[[#This Row],[_LeafWork]]+Tasks[[#This Row],[_Res2Work]]+Tasks[[#This Row],[_Res3Work]]+Tasks[[#This Row],[_Res4Work]]</f>
        <v/>
      </c>
      <c r="ER1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 s="42">
        <f>IF(NOT(Tasks[[#This Row],[_IsLeaf]]=1),0,MAX(_xlfn.MAXIFS(Tasks[_Row],Tasks[_Pred1UID],Tasks[[#This Row],[UID]]),_xlfn.MAXIFS(Tasks[_Row],Tasks[_Pred2UID],Tasks[[#This Row],[UID]]),_xlfn.MAXIFS(Tasks[_Row],Tasks[_Pred3UID],Tasks[[#This Row],[UID]]),_xlfn.MAXIFS(Tasks[_Row],Tasks[_Pred4UID],Tasks[[#This Row],[UID]])))</f>
        <v/>
      </c>
      <c r="FA1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 s="88">
        <f>IF(NOT(Tasks[[#This Row],[_IsLeaf]]=1),"",IF(N(Tasks[[#This Row],[_Days]])&lt;=0,Tasks[[#This Row],[_LeafLateFinish]],WORKDAY.INTL(Tasks[[#This Row],[_LeafLateFinish]],-(Tasks[[#This Row],[_Days]]-1),WorkWeek,Holidays)))</f>
        <v/>
      </c>
      <c r="FD1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 s="42">
        <f>AND(Tasks[[#This Row],[_IsLeaf]]=1,Tasks[[#This Row],[_LeafProgress]]&lt;1,N(Tasks[[#This Row],[_LeafTotalSlack]])&lt;=CriticalSlackDays)</f>
        <v/>
      </c>
      <c r="FF11" s="42">
        <f>IF(AND(Tasks[[#This Row],[_IsLeaf]]=1,Tasks[[#This Row],[_ConstraintCode]]=1,Tasks[[#This Row],[Mode]]&lt;&gt;"Manual",N(Tasks[[#This Row],[Actual Start]])=0),MAX(0,N(Tasks[[#This Row],[Free Slack]])),0)</f>
        <v/>
      </c>
      <c r="FG11" s="88">
        <f>IF(NOT(Tasks[[#This Row],[_IsLeaf]]=1),"",IF(Tasks[[#This Row],[_AlapShift]]=0,Tasks[[#This Row],[_LeafCalcStart]],WORKDAY.INTL(Tasks[[#This Row],[_LeafCalcStart]],Tasks[[#This Row],[_AlapShift]],WorkWeek,Holidays)))</f>
        <v/>
      </c>
      <c r="FH11" s="88">
        <f>IF(NOT(Tasks[[#This Row],[_IsLeaf]]=1),"",IF(Tasks[[#This Row],[_AlapShift]]=0,Tasks[[#This Row],[_LeafCalcFinish]],WORKDAY.INTL(Tasks[[#This Row],[_LeafCalcFinish]],Tasks[[#This Row],[_AlapShift]],WorkWeek,Holidays)))</f>
        <v/>
      </c>
      <c r="FI11" s="88">
        <f>IF(NOT(Tasks[[#This Row],[_IsLeaf]]=1),"",IF(Tasks[[#This Row],[_AlapShift]]=0,Tasks[[#This Row],[_LeafFcstStart]],WORKDAY.INTL(Tasks[[#This Row],[_LeafFcstStart]],Tasks[[#This Row],[_AlapShift]],WorkWeek,Holidays)))</f>
        <v/>
      </c>
      <c r="FJ11" s="88">
        <f>IF(NOT(Tasks[[#This Row],[_IsLeaf]]=1),"",IF(Tasks[[#This Row],[_AlapShift]]=0,Tasks[[#This Row],[_LeafFcstFinish]],WORKDAY.INTL(Tasks[[#This Row],[_LeafFcstFinish]],Tasks[[#This Row],[_AlapShift]],WorkWeek,Holidays)))</f>
        <v/>
      </c>
      <c r="FK11" s="88">
        <f>IF(Tasks[[#This Row],[Task Name]]="","",IF(Tasks[[#This Row],[_IsSummary]],MIN(INDEX(Tasks[_ShownCalcStart],Tasks[[#This Row],[_Row]]+1):INDEX(Tasks[_ShownCalcStart],Tasks[[#This Row],[_Row]]+Tasks[[#This Row],[_Descendants]])),Tasks[[#This Row],[_ShownCalcStart]]))</f>
        <v/>
      </c>
      <c r="FL11" s="88">
        <f>IF(Tasks[[#This Row],[Task Name]]="","",IF(Tasks[[#This Row],[_IsSummary]],MAX(INDEX(Tasks[_ShownCalcFinish],Tasks[[#This Row],[_Row]]+1):INDEX(Tasks[_ShownCalcFinish],Tasks[[#This Row],[_Row]]+Tasks[[#This Row],[_Descendants]])),Tasks[[#This Row],[_ShownCalcFinish]]))</f>
        <v/>
      </c>
      <c r="FM1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 s="42">
        <f>IF(AND(Tasks[[#This Row],[_IsLeaf]]=1,Tasks[[#This Row],[_LeafTotalWork]]&gt;0),NETWORKDAYS.INTL(ProjectStart,Tasks[[#This Row],[_ShownFcstStart]],WorkWeek,Holidays),0)</f>
        <v/>
      </c>
      <c r="FZ11" s="42">
        <f>IF(AND(Tasks[[#This Row],[_IsLeaf]]=1,Tasks[[#This Row],[_LeafTotalWork]]&gt;0),MAX(Tasks[[#This Row],[_StartWorkday]],NETWORKDAYS.INTL(ProjectStart,Tasks[[#This Row],[_ShownFcstFinish]],WorkWeek,Holidays)),0)</f>
        <v/>
      </c>
      <c r="GA11" s="42">
        <f>IF(AND(Tasks[[#This Row],[_IsLeaf]]=1,Tasks[[#This Row],[_LeafTotalWork]]&gt;0),Tasks[[#This Row],[_LeafWork]]/(Tasks[[#This Row],[_FinishWorkday]]-Tasks[[#This Row],[_StartWorkday]]+1),0)</f>
        <v/>
      </c>
      <c r="GB11" s="42">
        <f>Tasks[[#This Row],[_WorkPerWorkday]]*(Tasks[[#This Row],[_StartWorkday]]-1)</f>
        <v/>
      </c>
      <c r="GC11" s="42">
        <f>IF(Tasks[[#This Row],[_IsLeaf]]=1,MAX(N(Tasks[[#This Row],[_Days]]),0.1),0)</f>
        <v/>
      </c>
      <c r="GD11" s="42">
        <f>Tasks[[#This Row],[_WeightDur]]*Tasks[[#This Row],[_LeafProgress]]</f>
        <v/>
      </c>
      <c r="GE11" s="42">
        <f>Tasks[[#This Row],[_WeightDur]]*Tasks[[#This Row],[_PlannedPct]]</f>
        <v/>
      </c>
      <c r="GF1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 s="42">
        <f>IF(AND(Tasks[[#This Row],[_IsLeaf]]=1,N(Tasks[[#This Row],[_Days]])=0,Tasks[[#This Row],[_LeafProgress]]&lt;1),Tasks[[#This Row],[_ShownFcstFinish]]+Tasks[[#This Row],[_Row]]/100000,"")</f>
        <v/>
      </c>
      <c r="GH1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 s="42">
        <f>IF(Tasks[[#This Row],[Task Name]]="","",LEFT(Tasks[[#This Row],[WBS]],FIND(".",Tasks[[#This Row],[WBS]]&amp;".")-1))</f>
        <v/>
      </c>
      <c r="GJ11" s="42">
        <f>IF(AND(Tasks[[#This Row],[Task Name]]&lt;&gt;"",Tasks[[#This Row],[_Level]]=1),Tasks[[#This Row],[_Row]],"")</f>
        <v/>
      </c>
      <c r="GK11" s="42">
        <f>IF(AND(Tasks[[#This Row],[_IsLeaf]]=1,N(Tasks[[#This Row],[_Days]])=0),Tasks[[#This Row],[Planned Finish]]+Tasks[[#This Row],[_Row]]/100000,"")</f>
        <v/>
      </c>
      <c r="GL11" s="42">
        <f>IF(AND(Tasks[[#This Row],[_IsLeaf]]=1,Tasks[[#This Row],[_LeafProgress]]&lt;1,OR(N(Tasks[[#This Row],[Finish Var]])&gt;0,Tasks[[#This Row],[Status]]="Late Start")),MAX(0,Tasks[[#This Row],[Finish Var]])+1-Tasks[[#This Row],[_Row]]/1000000,"")</f>
        <v/>
      </c>
      <c r="GM11" s="42">
        <f>IF(AND(Tasks[[#This Row],[_IsLeaf]]=1,N(Tasks[[#This Row],[Actual Start]])=0,Tasks[[#This Row],[_ShownFcstStart]]&gt;=StatusDate,Tasks[[#This Row],[_ShownFcstStart]]&lt;=LookaheadEnd),Tasks[[#This Row],[_ShownFcstStart]]+Tasks[[#This Row],[_Row]]/100000,"")</f>
        <v/>
      </c>
      <c r="GN11" s="42">
        <f>IF(AND(Tasks[[#This Row],[_IsLeaf]]=1,Tasks[[#This Row],[_LeafProgress]]&lt;1,Tasks[[#This Row],[_ShownFcstFinish]]&gt;=StatusDate,Tasks[[#This Row],[_ShownFcstFinish]]&lt;=LookaheadEnd),Tasks[[#This Row],[_ShownFcstFinish]]+Tasks[[#This Row],[_Row]]/100000,"")</f>
        <v/>
      </c>
      <c r="GO11" s="42">
        <f>IF(Tasks[[#This Row],[_LeafCritical]],Tasks[[#This Row],[_ShownFcstStart]]+Tasks[[#This Row],[_Row]]/100000,"")</f>
        <v/>
      </c>
      <c r="GP11" s="42">
        <f>Tasks[[#This Row],[_LeafWork]]*Tasks[[#This Row],[_LeafProgress]]</f>
        <v/>
      </c>
      <c r="GQ11" s="88">
        <f>IF(AND(Tasks[[#This Row],[_IsLeaf]]=1,Tasks[[#This Row],[_LeafProgress]]&gt;=1),IF(N(Tasks[[#This Row],[Actual Finish]])&gt;0,Tasks[[#This Row],[Actual Finish]],Tasks[[#This Row],[_ShownFcstFinish]]),"")</f>
        <v/>
      </c>
      <c r="GR11" s="42">
        <f>IF(Tasks[[#This Row],[_IsLeaf]]=1,N(Tasks[[#This Row],[Story Points]]),0)</f>
        <v/>
      </c>
      <c r="GS11" s="42">
        <f>""</f>
        <v/>
      </c>
      <c r="GT11" s="42">
        <f>IF(Tasks[[#This Row],[Task Name]]="",FALSE(),AND(Tasks[[#This Row],[_IsLeaf]]=1,N(Tasks[[#This Row],[_Days]])=0))</f>
        <v/>
      </c>
      <c r="GU11" s="88">
        <f>IF(Tasks[[#This Row],[Task Name]]="",0,IF(AND(Tasks[[#This Row],[_IsLeaf]]=1,NOT(Tasks[[#This Row],[_IsMilestone]]),N(Tasks[[#This Row],[Progress]])&gt;0),Tasks[[#This Row],[Start]],0))</f>
        <v/>
      </c>
      <c r="GV11" s="88">
        <f>IF(Tasks[[#This Row],[_DoneFrom]]=0,0,IF(Tasks[[#This Row],[Progress]]&gt;=1,Tasks[[#This Row],[Finish]],MAX(Tasks[[#This Row],[_DoneFrom]],Tasks[[#This Row],[Start]]+ROUND((Tasks[[#This Row],[Finish]]-Tasks[[#This Row],[Start]]+1)*Tasks[[#This Row],[Progress]],0)-1)))</f>
        <v/>
      </c>
      <c r="GW11" s="88">
        <f>IF(Tasks[[#This Row],[Task Name]]="",0,IF(OR(NOT(Tasks[[#This Row],[_IsLeaf]]=1),Tasks[[#This Row],[_IsMilestone]],N(Tasks[[#This Row],[Progress]])&gt;=1),0,IF(Tasks[[#This Row],[_DoneTo]]&gt;0,Tasks[[#This Row],[_DoneTo]]+1,Tasks[[#This Row],[Start]])))</f>
        <v/>
      </c>
      <c r="GX11" s="88">
        <f>IF(Tasks[[#This Row],[_RemFrom]]=0,0,Tasks[[#This Row],[Finish]])</f>
        <v/>
      </c>
      <c r="GY11" s="42">
        <f>IF(Tasks[[#This Row],[Task Name]]="",FALSE(),OR(NOT(BaselineSet),N(Tasks[[#This Row],[Baseline Start]])&gt;0))</f>
        <v/>
      </c>
      <c r="GZ11" s="42">
        <f>IF(AND(Sandbox="Yes",L_PARSE_DURATION(Tasks[[#This Row],[Sandbox Duration]])&lt;&gt;""),L_PARSE_DURATION(Tasks[[#This Row],[Sandbox Duration]]),L_PARSE_DURATION(Tasks[[#This Row],[Duration]]))</f>
        <v/>
      </c>
      <c r="HA1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 s="42">
        <f>IF(Tasks[[#This Row],[_IsLeaf]]=1,Tasks[[#This Row],[_Row]],"")</f>
        <v/>
      </c>
      <c r="HD11" s="42">
        <f>IFERROR(INDEX(Tasks[UID],SMALL(Tasks[_PickKey],Tasks[[#This Row],[_Row]]))&amp;" "&amp;INDEX(Tasks[Task Name],SMALL(Tasks[_PickKey],Tasks[[#This Row],[_Row]])),"")</f>
        <v/>
      </c>
      <c r="HE11" s="42">
        <f>IF(Tasks[[#This Row],[Task Name]]="","",IF(Tasks[[#This Row],[_IsSummary]],NETWORKDAYS.INTL(Tasks[[#This Row],[Start]],Tasks[[#This Row],[Finish]],WorkWeek,Holidays),N(Tasks[[#This Row],[_Days]])))</f>
        <v/>
      </c>
      <c r="HF11" s="42">
        <f>IF(Tasks[[#This Row],[Expected]]="",0,((Tasks[[#This Row],[Pessimistic]]-Tasks[[#This Row],[Optimistic]])/6)^2)</f>
        <v/>
      </c>
      <c r="HG11" s="42">
        <f>IF(Tasks[[#This Row],[Expected]]="",0,Tasks[[#This Row],[Expected]]-N(Tasks[[#This Row],[_Days]]))</f>
        <v/>
      </c>
    </row>
    <row r="12" outlineLevel="1">
      <c r="A12" s="21">
        <f>IF(Tasks[[#This Row],[Task Name]]="","",COUNTA(Tasks[[#Headers],[Task Name]]:Tasks[[#This Row],[Task Name]])-1)</f>
        <v/>
      </c>
      <c r="B12" s="22" t="n">
        <v>8</v>
      </c>
      <c r="C12" s="22" t="n">
        <v>2</v>
      </c>
      <c r="D12" s="89" t="inlineStr">
        <is>
          <t>UX wireframes &amp; prototype</t>
        </is>
      </c>
      <c r="E12" s="22" t="n">
        <v>6</v>
      </c>
      <c r="F12" s="23" t="n">
        <v>6</v>
      </c>
      <c r="G12" s="22" t="n"/>
      <c r="H12" s="22" t="n"/>
      <c r="I12" s="23" t="n"/>
      <c r="J12" s="22" t="n"/>
      <c r="K12" s="22" t="n"/>
      <c r="L12" s="23" t="n"/>
      <c r="M12" s="22" t="n"/>
      <c r="N12" s="22" t="n"/>
      <c r="O12" s="23" t="n"/>
      <c r="P12" s="22" t="n"/>
      <c r="Q12" s="22" t="n"/>
      <c r="R12" s="23" t="n"/>
      <c r="S12" s="23" t="inlineStr">
        <is>
          <t>Casey Kim</t>
        </is>
      </c>
      <c r="T12" s="82" t="n"/>
      <c r="U12" s="23" t="n"/>
      <c r="V12" s="82" t="n"/>
      <c r="W12" s="23" t="n"/>
      <c r="X12" s="82" t="n"/>
      <c r="Y12" s="23" t="n"/>
      <c r="Z12" s="82" t="n"/>
      <c r="AA12" s="23" t="n"/>
      <c r="AB12" s="23" t="inlineStr">
        <is>
          <t>Complete</t>
        </is>
      </c>
      <c r="AC12" s="7" t="n">
        <v>46293</v>
      </c>
      <c r="AD12" s="7" t="n">
        <v>46301</v>
      </c>
      <c r="AE12" s="61">
        <f>IF(Tasks[[#This Row],[Task Name]]="","",IF(Tasks[[#This Row],[_IsSummary]],MIN(INDEX(Tasks[_ShownFcstStart],Tasks[[#This Row],[_Row]]+1):INDEX(Tasks[_ShownFcstStart],Tasks[[#This Row],[_Row]]+Tasks[[#This Row],[_Descendants]])),Tasks[[#This Row],[_ShownFcstStart]]))</f>
        <v/>
      </c>
      <c r="AF12" s="61">
        <f>IF(Tasks[[#This Row],[Task Name]]="","",IF(Tasks[[#This Row],[_IsSummary]],MAX(INDEX(Tasks[_ShownFcstFinish],Tasks[[#This Row],[_Row]]+1):INDEX(Tasks[_ShownFcstFinish],Tasks[[#This Row],[_Row]]+Tasks[[#This Row],[_Descendants]])),Tasks[[#This Row],[_ShownFcstFinish]]))</f>
        <v/>
      </c>
      <c r="AG12" s="21">
        <f>""</f>
        <v/>
      </c>
      <c r="AH12" s="23" t="inlineStr"/>
      <c r="AI1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 s="7" t="n"/>
      <c r="AK12" s="22" t="inlineStr">
        <is>
          <t>Auto</t>
        </is>
      </c>
      <c r="AL12" s="23" t="n"/>
      <c r="AM12" s="7" t="n"/>
      <c r="AN12" s="21">
        <f>IF(Tasks[[#This Row],[Task Name]]="","",IF(Tasks[[#This Row],[Finish]]&gt;=Tasks[[#This Row],[Planned Finish]],NETWORKDAYS.INTL(Tasks[[#This Row],[Planned Finish]],Tasks[[#This Row],[Finish]],WorkWeek,Holidays)-1,1-NETWORKDAYS.INTL(Tasks[[#This Row],[Finish]],Tasks[[#This Row],[Planned Finish]],WorkWeek,Holidays)))</f>
        <v/>
      </c>
      <c r="AO12" s="21">
        <f>IF(Tasks[[#This Row],[Task Name]]="","",IF(Tasks[[#This Row],[Progress]]&gt;=1,"Complete",IF(OR(N(Tasks[[#This Row],[Actual Start]])&gt;0,Tasks[[#This Row],[Progress]]&gt;0),IF(Tasks[[#This Row],[Finish Var]]&gt;0,"Behind","In Progress"),IF(Tasks[[#This Row],[Planned Start]]&lt;StatusDate,"Late Start","Not Started"))))</f>
        <v/>
      </c>
      <c r="AP12" s="21">
        <f>IF(Tasks[[#This Row],[Task Name]]="","",IF(IF(Tasks[[#This Row],[_IsSummary]],COUNTIF(INDEX(Tasks[_LeafCritical],Tasks[[#This Row],[_Row]]+1):INDEX(Tasks[_LeafCritical],Tasks[[#This Row],[_Row]]+Tasks[[#This Row],[_Descendants]]),TRUE())&gt;0,Tasks[[#This Row],[_LeafCritical]]),"Yes",""))</f>
        <v/>
      </c>
      <c r="AQ12" s="61">
        <f>IF(Tasks[[#This Row],[Task Name]]="","",IF(N(Tasks[[#This Row],[Baseline Start]])&gt;0,Tasks[[#This Row],[Baseline Start]],Tasks[[#This Row],[_CalcStart]]))</f>
        <v/>
      </c>
      <c r="AR12" s="61">
        <f>IF(Tasks[[#This Row],[Task Name]]="","",IF(N(Tasks[[#This Row],[Baseline Finish]])&gt;0,Tasks[[#This Row],[Baseline Finish]],Tasks[[#This Row],[_CalcFinish]]))</f>
        <v/>
      </c>
      <c r="AS12" s="21">
        <f>IF(Tasks[[#This Row],[Task Name]]="","",IF(Tasks[[#This Row],[Start]]&gt;=Tasks[[#This Row],[Planned Start]],NETWORKDAYS.INTL(Tasks[[#This Row],[Planned Start]],Tasks[[#This Row],[Start]],WorkWeek,Holidays)-1,1-NETWORKDAYS.INTL(Tasks[[#This Row],[Start]],Tasks[[#This Row],[Planned Start]],WorkWeek,Holidays)))</f>
        <v/>
      </c>
      <c r="AT12" s="61">
        <f>IF(Tasks[[#This Row],[Task Name]]="","",IF(Tasks[[#This Row],[_IsSummary]],MIN(INDEX(Tasks[_LeafLateStart],Tasks[[#This Row],[_Row]]+1):INDEX(Tasks[_LeafLateStart],Tasks[[#This Row],[_Row]]+Tasks[[#This Row],[_Descendants]])),Tasks[[#This Row],[_LeafLateStart]]))</f>
        <v/>
      </c>
      <c r="AU12" s="61">
        <f>IF(Tasks[[#This Row],[Task Name]]="","",IF(Tasks[[#This Row],[_IsSummary]],MAX(INDEX(Tasks[_LeafLateFinish],Tasks[[#This Row],[_Row]]+1):INDEX(Tasks[_LeafLateFinish],Tasks[[#This Row],[_Row]]+Tasks[[#This Row],[_Descendants]])),Tasks[[#This Row],[_LeafLateFinish]]))</f>
        <v/>
      </c>
      <c r="AV12" s="21">
        <f>IF(Tasks[[#This Row],[Task Name]]="","",IF(Tasks[[#This Row],[_IsSummary]],MIN(INDEX(Tasks[_LeafTotalSlack],Tasks[[#This Row],[_Row]]+1):INDEX(Tasks[_LeafTotalSlack],Tasks[[#This Row],[_Row]]+Tasks[[#This Row],[_Descendants]])),Tasks[[#This Row],[_LeafTotalSlack]]))</f>
        <v/>
      </c>
      <c r="AW1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3" t="n"/>
      <c r="BA1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 s="21">
        <f>IF(Tasks[[#This Row],[Task Name]]="","",IF(Tasks[[#This Row],[_Level]]&lt;=OutlineShowLevel,"Yes","No"))</f>
        <v/>
      </c>
      <c r="BE12" s="84">
        <f>IF(Tasks[[#This Row],[Task Name]]="","",IF(Tasks[[#This Row],[_IsSummary]],SUM(INDEX(Tasks[_LeafTotalWork],Tasks[[#This Row],[_Row]]+1):INDEX(Tasks[_LeafTotalWork],Tasks[[#This Row],[_Row]]+Tasks[[#This Row],[_Descendants]])),Tasks[[#This Row],[_LeafTotalWork]]))</f>
        <v/>
      </c>
      <c r="BF12" s="23" t="n"/>
      <c r="BG1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 s="21">
        <f>""</f>
        <v/>
      </c>
      <c r="BI12" s="85" t="n"/>
      <c r="BJ12" s="22" t="n"/>
      <c r="BK12" s="21">
        <f>IF(OR(Tasks[[#This Row],[Task Name]]="",Tasks[[#This Row],[Baseline Duration]]=""),"",Tasks[[#This Row],[_SpanDays]]-N(Tasks[[#This Row],[Baseline Duration]]))</f>
        <v/>
      </c>
      <c r="BL12" s="84">
        <f>IF(OR(Tasks[[#This Row],[Task Name]]="",Tasks[[#This Row],[Baseline Work]]=""),"",Tasks[[#This Row],[Work]]-N(Tasks[[#This Row],[Baseline Work]]))</f>
        <v/>
      </c>
      <c r="BM12" s="61">
        <f>IF(Tasks[[#This Row],[Task Name]]="","",IF(OR(TakeBaseline="Yes",N(Tasks[[#This Row],[Baseline Start]])=0),Tasks[[#This Row],[Start]],Tasks[[#This Row],[Baseline Start]]))</f>
        <v/>
      </c>
      <c r="BN12" s="61">
        <f>IF(Tasks[[#This Row],[Task Name]]="","",IF(OR(TakeBaseline="Yes",N(Tasks[[#This Row],[Baseline Finish]])=0),Tasks[[#This Row],[Finish]],Tasks[[#This Row],[Baseline Finish]]))</f>
        <v/>
      </c>
      <c r="BO12" s="21">
        <f>IF(Tasks[[#This Row],[Task Name]]="","",IF(OR(TakeBaseline="Yes",N(Tasks[[#This Row],[Baseline Duration]])=0),Tasks[[#This Row],[_SpanDays]],Tasks[[#This Row],[Baseline Duration]]))</f>
        <v/>
      </c>
      <c r="BP12" s="84">
        <f>IF(Tasks[[#This Row],[Task Name]]="","",IF(OR(TakeBaseline="Yes",N(Tasks[[#This Row],[Baseline Work]])=0),Tasks[[#This Row],[Work]],Tasks[[#This Row],[Baseline Work]]))</f>
        <v/>
      </c>
      <c r="BQ12" s="7" t="n">
        <v>46289</v>
      </c>
      <c r="BR12" s="7" t="n">
        <v>46296</v>
      </c>
      <c r="BS12" s="22" t="n">
        <v>6</v>
      </c>
      <c r="BT12" s="86" t="n">
        <v>48</v>
      </c>
      <c r="BU12" s="23" t="n"/>
      <c r="BV12" s="23" t="n"/>
      <c r="BW12" s="23" t="n"/>
      <c r="BX12" s="87">
        <f>IF(AND(Tasks[[#This Row],[_IsLeaf]]=1,ISNUMBER(Tasks[[#This Row],[Optimistic]]),ISNUMBER(Tasks[[#This Row],[Pessimistic]])),ROUND((Tasks[[#This Row],[Optimistic]]+4*N(Tasks[[#This Row],[_Days]])+Tasks[[#This Row],[Pessimistic]])/6,1),"")</f>
        <v/>
      </c>
      <c r="BY12" s="85" t="n"/>
      <c r="BZ12" s="85" t="n"/>
      <c r="CA12" s="22" t="n"/>
      <c r="CB12" s="42">
        <f>IF(Tasks[[#This Row],[Task Name]]="","",MAX(1,N(Tasks[[#This Row],[Level]])))</f>
        <v/>
      </c>
      <c r="CC12" s="42">
        <f>ROW()-ROW(Tasks[[#Headers],[ID]])</f>
        <v/>
      </c>
      <c r="CD12" s="42">
        <f>IF(OR(Tasks[[#This Row],[Task Name]]="",Tasks[[#This Row],[_Level]]&lt;=1),0,IFERROR(LOOKUP(2,1/(Tasks[[#Headers],[_Level]]:Tasks[[#This Row],[_Level]]=Tasks[[#This Row],[_Level]]-1),ROW(Tasks[[#Headers],[_Level]]:Tasks[[#This Row],[_Level]])),0))</f>
        <v/>
      </c>
      <c r="CE12" s="42">
        <f>IFERROR(N(INDEX(Tasks[_Level],Tasks[[#This Row],[_Row]]+1)),0)</f>
        <v/>
      </c>
      <c r="CF12" s="42">
        <f>AND(Tasks[[#This Row],[Task Name]]&lt;&gt;"",Tasks[[#This Row],[_NextLevel]]&gt;Tasks[[#This Row],[_Level]])</f>
        <v/>
      </c>
      <c r="CG12" s="42">
        <f>IF(Tasks[[#This Row],[_IsSummary]],COUNTIF(Tasks[WBS],Tasks[[#This Row],[WBS]]&amp;".*"),0)</f>
        <v/>
      </c>
      <c r="CH12" s="42">
        <f>IF(AND(Tasks[[#This Row],[Task Name]]&lt;&gt;"",NOT(Tasks[[#This Row],[_IsSummary]])),1,0)</f>
        <v/>
      </c>
      <c r="CI12" s="42">
        <f>IF(N(Tasks[[#This Row],[_Pred1UID]])=0,0,IFERROR(MATCH(Tasks[[#This Row],[_Pred1UID]],Tasks[UID],0),-1))</f>
        <v/>
      </c>
      <c r="CJ12" s="42">
        <f>IF(N(Tasks[[#This Row],[_Pred2UID]])=0,0,IFERROR(MATCH(Tasks[[#This Row],[_Pred2UID]],Tasks[UID],0),-1))</f>
        <v/>
      </c>
      <c r="CK12" s="42">
        <f>IF(N(Tasks[[#This Row],[_Pred3UID]])=0,0,IFERROR(MATCH(Tasks[[#This Row],[_Pred3UID]],Tasks[UID],0),-1))</f>
        <v/>
      </c>
      <c r="CL12" s="42">
        <f>IF(N(Tasks[[#This Row],[_Pred4UID]])=0,0,IFERROR(MATCH(Tasks[[#This Row],[_Pred4UID]],Tasks[UID],0),-1))</f>
        <v/>
      </c>
      <c r="CM1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 s="88">
        <f>IF(N(Tasks[[#This Row],[Constraint Date]])=0,0,IF(AND(OR(Tasks[[#This Row],[_ConstraintCode]]=3,Tasks[[#This Row],[_ConstraintCode]]=6,Tasks[[#This Row],[_ConstraintCode]]=7),N(Tasks[[#This Row],[_Days]])&gt;1),WORKDAY.INTL(N(Tasks[[#This Row],[Constraint Date]]),-(N(Tasks[[#This Row],[_Days]])-1),WorkWeek,Holidays),N(Tasks[[#This Row],[Constraint Date]])))</f>
        <v/>
      </c>
      <c r="CO12" s="88">
        <f>IF(OR(Tasks[[#This Row],[_ConstraintCode]]=2,Tasks[[#This Row],[_ConstraintCode]]=3,Tasks[[#This Row],[_ConstraintCode]]=4,Tasks[[#This Row],[_ConstraintCode]]=6),Tasks[[#This Row],[_ConstraintStart]],0)</f>
        <v/>
      </c>
      <c r="CP12" s="88">
        <f>IF(OR(Tasks[[#This Row],[_ConstraintCode]]=2,Tasks[[#This Row],[_ConstraintCode]]=3,Tasks[[#This Row],[_ConstraintCode]]=5,Tasks[[#This Row],[_ConstraintCode]]=7),Tasks[[#This Row],[_ConstraintStart]],2958465)</f>
        <v/>
      </c>
      <c r="CQ1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 s="88">
        <f>IF(NOT(Tasks[[#This Row],[_IsLeaf]]=1),"",IF(N(Tasks[[#This Row],[_Days]])&lt;=0,Tasks[[#This Row],[_LeafCalcStart]],WORKDAY.INTL(Tasks[[#This Row],[_LeafCalcStart]],Tasks[[#This Row],[_Days]]-1,WorkWeek,Holidays)))</f>
        <v/>
      </c>
      <c r="CS1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 s="42">
        <f>IF(Tasks[[#This Row],[_Predecessors]]="","",TRIM(MID(SUBSTITUTE(SUBSTITUTE(SUBSTITUTE(UPPER(Tasks[[#This Row],[_Predecessors]]),";",",")," ",""),",",REPT(" ",99)),1,99)))</f>
        <v/>
      </c>
      <c r="CV12" s="42">
        <f>IF(Tasks[[#This Row],[_Pred1Text]]="","",IFERROR(VALUE(LEFT(Tasks[[#This Row],[_Pred1Text]],MIN(FIND("F",Tasks[[#This Row],[_Pred1Text]]&amp;"F"),FIND("S",Tasks[[#This Row],[_Pred1Text]]&amp;"S"),FIND("+",Tasks[[#This Row],[_Pred1Text]]&amp;"+"),FIND("-",Tasks[[#This Row],[_Pred1Text]]&amp;"-"))-1)),""))</f>
        <v/>
      </c>
      <c r="CW1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 s="42">
        <f>IF(Tasks[[#This Row],[_Pred1Text]]="","",TRIM(MID(SUBSTITUTE(SUBSTITUTE(SUBSTITUTE(UPPER(Tasks[[#This Row],[_Predecessors]]),";",",")," ",""),",",REPT(" ",99)),100,99)))</f>
        <v/>
      </c>
      <c r="CZ12" s="42">
        <f>IF(Tasks[[#This Row],[_Pred2Text]]="","",IFERROR(VALUE(LEFT(Tasks[[#This Row],[_Pred2Text]],MIN(FIND("F",Tasks[[#This Row],[_Pred2Text]]&amp;"F"),FIND("S",Tasks[[#This Row],[_Pred2Text]]&amp;"S"),FIND("+",Tasks[[#This Row],[_Pred2Text]]&amp;"+"),FIND("-",Tasks[[#This Row],[_Pred2Text]]&amp;"-"))-1)),""))</f>
        <v/>
      </c>
      <c r="DA1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 s="42">
        <f>IF(Tasks[[#This Row],[_Pred2Text]]="","",TRIM(MID(SUBSTITUTE(SUBSTITUTE(SUBSTITUTE(UPPER(Tasks[[#This Row],[_Predecessors]]),";",",")," ",""),",",REPT(" ",99)),199,99)))</f>
        <v/>
      </c>
      <c r="DD12" s="42">
        <f>IF(Tasks[[#This Row],[_Pred3Text]]="","",IFERROR(VALUE(LEFT(Tasks[[#This Row],[_Pred3Text]],MIN(FIND("F",Tasks[[#This Row],[_Pred3Text]]&amp;"F"),FIND("S",Tasks[[#This Row],[_Pred3Text]]&amp;"S"),FIND("+",Tasks[[#This Row],[_Pred3Text]]&amp;"+"),FIND("-",Tasks[[#This Row],[_Pred3Text]]&amp;"-"))-1)),""))</f>
        <v/>
      </c>
      <c r="DE1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 s="42">
        <f>IF(Tasks[[#This Row],[_Pred3Text]]="","",TRIM(MID(SUBSTITUTE(SUBSTITUTE(SUBSTITUTE(UPPER(Tasks[[#This Row],[_Predecessors]]),";",",")," ",""),",",REPT(" ",99)),298,99)))</f>
        <v/>
      </c>
      <c r="DH12" s="42">
        <f>IF(Tasks[[#This Row],[_Pred4Text]]="","",IFERROR(VALUE(LEFT(Tasks[[#This Row],[_Pred4Text]],MIN(FIND("F",Tasks[[#This Row],[_Pred4Text]]&amp;"F"),FIND("S",Tasks[[#This Row],[_Pred4Text]]&amp;"S"),FIND("+",Tasks[[#This Row],[_Pred4Text]]&amp;"+"),FIND("-",Tasks[[#This Row],[_Pred4Text]]&amp;"-"))-1)),""))</f>
        <v/>
      </c>
      <c r="DI1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 s="42">
        <f>IF(OR(Tasks[[#This Row],[Task Name]]="",Tasks[[#This Row],[_Resources]]=""),"",TRIM(MID(SUBSTITUTE(Tasks[[#This Row],[_Resources]],",",REPT(" ",99)),1,99)))</f>
        <v/>
      </c>
      <c r="DL12" s="42">
        <f>IF(Tasks[[#This Row],[_Res1Text]]="","",TRIM(MID(SUBSTITUTE(Tasks[[#This Row],[_Resources]],",",REPT(" ",99)),100,99)))</f>
        <v/>
      </c>
      <c r="DM12" s="42">
        <f>IF(Tasks[[#This Row],[_Res2Text]]="","",TRIM(MID(SUBSTITUTE(Tasks[[#This Row],[_Resources]],",",REPT(" ",99)),199,99)))</f>
        <v/>
      </c>
      <c r="DN12" s="42">
        <f>IF(Tasks[[#This Row],[_Res3Text]]="","",TRIM(MID(SUBSTITUTE(Tasks[[#This Row],[_Resources]],",",REPT(" ",99)),298,99)))</f>
        <v/>
      </c>
      <c r="DO12" s="42">
        <f>IF(Tasks[[#This Row],[_Res1Text]]="",0,IFERROR(MATCH(TRIM(LEFT(Tasks[[#This Row],[_Res1Text]],FIND("[",Tasks[[#This Row],[_Res1Text]]&amp;"[")-1)),res_Name,0),IFERROR(MATCH(TRIM(LEFT(Tasks[[#This Row],[_Res1Text]],FIND("[",Tasks[[#This Row],[_Res1Text]]&amp;"[")-1)),res_Initials,0),0)))</f>
        <v/>
      </c>
      <c r="DP12" s="42">
        <f>IF(Tasks[[#This Row],[_Res2Text]]="",0,IFERROR(MATCH(TRIM(LEFT(Tasks[[#This Row],[_Res2Text]],FIND("[",Tasks[[#This Row],[_Res2Text]]&amp;"[")-1)),res_Name,0),IFERROR(MATCH(TRIM(LEFT(Tasks[[#This Row],[_Res2Text]],FIND("[",Tasks[[#This Row],[_Res2Text]]&amp;"[")-1)),res_Initials,0),0)))</f>
        <v/>
      </c>
      <c r="DQ12" s="42">
        <f>IF(Tasks[[#This Row],[_Res3Text]]="",0,IFERROR(MATCH(TRIM(LEFT(Tasks[[#This Row],[_Res3Text]],FIND("[",Tasks[[#This Row],[_Res3Text]]&amp;"[")-1)),res_Name,0),IFERROR(MATCH(TRIM(LEFT(Tasks[[#This Row],[_Res3Text]],FIND("[",Tasks[[#This Row],[_Res3Text]]&amp;"[")-1)),res_Initials,0),0)))</f>
        <v/>
      </c>
      <c r="DR12" s="42">
        <f>IF(Tasks[[#This Row],[_Res4Text]]="",0,IFERROR(MATCH(TRIM(LEFT(Tasks[[#This Row],[_Res4Text]],FIND("[",Tasks[[#This Row],[_Res4Text]]&amp;"[")-1)),res_Name,0),IFERROR(MATCH(TRIM(LEFT(Tasks[[#This Row],[_Res4Text]],FIND("[",Tasks[[#This Row],[_Res4Text]]&amp;"[")-1)),res_Initials,0),0)))</f>
        <v/>
      </c>
      <c r="DS12" s="42">
        <f>IF(Tasks[[#This Row],[_Res1Text]]="","",IF(Tasks[[#This Row],[_Res1Row]]&gt;0,INDEX(res_Name,Tasks[[#This Row],[_Res1Row]]),TRIM(LEFT(Tasks[[#This Row],[_Res1Text]],FIND("[",Tasks[[#This Row],[_Res1Text]]&amp;"[")-1))))</f>
        <v/>
      </c>
      <c r="DT1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 s="42">
        <f>IF(NOT(Tasks[[#This Row],[_IsLeaf]]=1),0,(Tasks[[#This Row],[_Resource1]]&lt;&gt;"")+(Tasks[[#This Row],[_Res2]]&lt;&gt;"")+(Tasks[[#This Row],[_Res3]]&lt;&gt;"")+(Tasks[[#This Row],[_Res4]]&lt;&gt;""))</f>
        <v/>
      </c>
      <c r="DV12" s="42">
        <f>IF(Tasks[[#This Row],[_Res2Text]]="","",IF(Tasks[[#This Row],[_Res2Row]]&gt;0,INDEX(res_Name,Tasks[[#This Row],[_Res2Row]]),TRIM(LEFT(Tasks[[#This Row],[_Res2Text]],FIND("[",Tasks[[#This Row],[_Res2Text]]&amp;"[")-1))))</f>
        <v/>
      </c>
      <c r="DW1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 s="42">
        <f>IF(OR(NOT(Tasks[[#This Row],[_IsLeaf]]=1),Tasks[[#This Row],[_Res2Row]]=0),0,N(Tasks[[#This Row],[_Days]])*HoursPerDay*IF(Tasks[[#This Row],[_Res2Units]]="",DefaultUnits,Tasks[[#This Row],[_Res2Units]]))</f>
        <v/>
      </c>
      <c r="DY12" s="42">
        <f>IF(AND(AND(Tasks[[#This Row],[_IsLeaf]]=1,Tasks[[#This Row],[_LeafTotalWork]]&gt;0),Tasks[[#This Row],[_Res2Work]]&gt;0),Tasks[[#This Row],[_Res2Work]]/(Tasks[[#This Row],[_FinishWorkday]]-Tasks[[#This Row],[_StartWorkday]]+1),0)</f>
        <v/>
      </c>
      <c r="DZ12" s="42">
        <f>Tasks[[#This Row],[_Res2WorkPerWD]]*MAX(0,Tasks[[#This Row],[_StartWorkday]]-1)</f>
        <v/>
      </c>
      <c r="EA12" s="42">
        <f>Tasks[[#This Row],[_Res2Work]]*Tasks[[#This Row],[_LeafProgress]]</f>
        <v/>
      </c>
      <c r="EB12" s="42">
        <f>IF(Tasks[[#This Row],[_Res3Text]]="","",IF(Tasks[[#This Row],[_Res3Row]]&gt;0,INDEX(res_Name,Tasks[[#This Row],[_Res3Row]]),TRIM(LEFT(Tasks[[#This Row],[_Res3Text]],FIND("[",Tasks[[#This Row],[_Res3Text]]&amp;"[")-1))))</f>
        <v/>
      </c>
      <c r="EC1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 s="42">
        <f>IF(OR(NOT(Tasks[[#This Row],[_IsLeaf]]=1),Tasks[[#This Row],[_Res3Row]]=0),0,N(Tasks[[#This Row],[_Days]])*HoursPerDay*IF(Tasks[[#This Row],[_Res3Units]]="",DefaultUnits,Tasks[[#This Row],[_Res3Units]]))</f>
        <v/>
      </c>
      <c r="EE12" s="42">
        <f>IF(AND(AND(Tasks[[#This Row],[_IsLeaf]]=1,Tasks[[#This Row],[_LeafTotalWork]]&gt;0),Tasks[[#This Row],[_Res3Work]]&gt;0),Tasks[[#This Row],[_Res3Work]]/(Tasks[[#This Row],[_FinishWorkday]]-Tasks[[#This Row],[_StartWorkday]]+1),0)</f>
        <v/>
      </c>
      <c r="EF12" s="42">
        <f>Tasks[[#This Row],[_Res3WorkPerWD]]*MAX(0,Tasks[[#This Row],[_StartWorkday]]-1)</f>
        <v/>
      </c>
      <c r="EG12" s="42">
        <f>Tasks[[#This Row],[_Res3Work]]*Tasks[[#This Row],[_LeafProgress]]</f>
        <v/>
      </c>
      <c r="EH12" s="42">
        <f>IF(Tasks[[#This Row],[_Res4Text]]="","",IF(Tasks[[#This Row],[_Res4Row]]&gt;0,INDEX(res_Name,Tasks[[#This Row],[_Res4Row]]),TRIM(LEFT(Tasks[[#This Row],[_Res4Text]],FIND("[",Tasks[[#This Row],[_Res4Text]]&amp;"[")-1))))</f>
        <v/>
      </c>
      <c r="EI1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 s="42">
        <f>IF(OR(NOT(Tasks[[#This Row],[_IsLeaf]]=1),Tasks[[#This Row],[_Res4Row]]=0),0,N(Tasks[[#This Row],[_Days]])*HoursPerDay*IF(Tasks[[#This Row],[_Res4Units]]="",DefaultUnits,Tasks[[#This Row],[_Res4Units]]))</f>
        <v/>
      </c>
      <c r="EK12" s="42">
        <f>IF(AND(AND(Tasks[[#This Row],[_IsLeaf]]=1,Tasks[[#This Row],[_LeafTotalWork]]&gt;0),Tasks[[#This Row],[_Res4Work]]&gt;0),Tasks[[#This Row],[_Res4Work]]/(Tasks[[#This Row],[_FinishWorkday]]-Tasks[[#This Row],[_StartWorkday]]+1),0)</f>
        <v/>
      </c>
      <c r="EL12" s="42">
        <f>Tasks[[#This Row],[_Res4WorkPerWD]]*MAX(0,Tasks[[#This Row],[_StartWorkday]]-1)</f>
        <v/>
      </c>
      <c r="EM12" s="42">
        <f>Tasks[[#This Row],[_Res4Work]]*Tasks[[#This Row],[_LeafProgress]]</f>
        <v/>
      </c>
      <c r="EN12" s="42">
        <f>IF(ISNUMBER(Tasks[[#This Row],[% Complete]]),Tasks[[#This Row],[% Complete]],IF(Tasks[[#This Row],[Stage]]="",0,IFERROR(INDEX(stg_Pct,MATCH(Tasks[[#This Row],[Stage]],stg_Name,0)),0)))</f>
        <v/>
      </c>
      <c r="EO12" s="42">
        <f>IF(NOT(Tasks[[#This Row],[_IsLeaf]]=1),0,IF(N(Tasks[[#This Row],[Actual Finish]])&gt;0,1,MIN(1,Tasks[[#This Row],[_Pct]])))</f>
        <v/>
      </c>
      <c r="EP12" s="42">
        <f>IF(OR(NOT(Tasks[[#This Row],[_IsLeaf]]=1),Tasks[[#This Row],[_Res1Row]]=0),0,N(Tasks[[#This Row],[_Days]])*HoursPerDay*IF(Tasks[[#This Row],[_Units1]]="",DefaultUnits,Tasks[[#This Row],[_Units1]]))</f>
        <v/>
      </c>
      <c r="EQ12" s="42">
        <f>Tasks[[#This Row],[_LeafWork]]+Tasks[[#This Row],[_Res2Work]]+Tasks[[#This Row],[_Res3Work]]+Tasks[[#This Row],[_Res4Work]]</f>
        <v/>
      </c>
      <c r="ER1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 s="42">
        <f>IF(NOT(Tasks[[#This Row],[_IsLeaf]]=1),0,MAX(_xlfn.MAXIFS(Tasks[_Row],Tasks[_Pred1UID],Tasks[[#This Row],[UID]]),_xlfn.MAXIFS(Tasks[_Row],Tasks[_Pred2UID],Tasks[[#This Row],[UID]]),_xlfn.MAXIFS(Tasks[_Row],Tasks[_Pred3UID],Tasks[[#This Row],[UID]]),_xlfn.MAXIFS(Tasks[_Row],Tasks[_Pred4UID],Tasks[[#This Row],[UID]])))</f>
        <v/>
      </c>
      <c r="FA1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 s="88">
        <f>IF(NOT(Tasks[[#This Row],[_IsLeaf]]=1),"",IF(N(Tasks[[#This Row],[_Days]])&lt;=0,Tasks[[#This Row],[_LeafLateFinish]],WORKDAY.INTL(Tasks[[#This Row],[_LeafLateFinish]],-(Tasks[[#This Row],[_Days]]-1),WorkWeek,Holidays)))</f>
        <v/>
      </c>
      <c r="FD1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 s="42">
        <f>AND(Tasks[[#This Row],[_IsLeaf]]=1,Tasks[[#This Row],[_LeafProgress]]&lt;1,N(Tasks[[#This Row],[_LeafTotalSlack]])&lt;=CriticalSlackDays)</f>
        <v/>
      </c>
      <c r="FF12" s="42">
        <f>IF(AND(Tasks[[#This Row],[_IsLeaf]]=1,Tasks[[#This Row],[_ConstraintCode]]=1,Tasks[[#This Row],[Mode]]&lt;&gt;"Manual",N(Tasks[[#This Row],[Actual Start]])=0),MAX(0,N(Tasks[[#This Row],[Free Slack]])),0)</f>
        <v/>
      </c>
      <c r="FG12" s="88">
        <f>IF(NOT(Tasks[[#This Row],[_IsLeaf]]=1),"",IF(Tasks[[#This Row],[_AlapShift]]=0,Tasks[[#This Row],[_LeafCalcStart]],WORKDAY.INTL(Tasks[[#This Row],[_LeafCalcStart]],Tasks[[#This Row],[_AlapShift]],WorkWeek,Holidays)))</f>
        <v/>
      </c>
      <c r="FH12" s="88">
        <f>IF(NOT(Tasks[[#This Row],[_IsLeaf]]=1),"",IF(Tasks[[#This Row],[_AlapShift]]=0,Tasks[[#This Row],[_LeafCalcFinish]],WORKDAY.INTL(Tasks[[#This Row],[_LeafCalcFinish]],Tasks[[#This Row],[_AlapShift]],WorkWeek,Holidays)))</f>
        <v/>
      </c>
      <c r="FI12" s="88">
        <f>IF(NOT(Tasks[[#This Row],[_IsLeaf]]=1),"",IF(Tasks[[#This Row],[_AlapShift]]=0,Tasks[[#This Row],[_LeafFcstStart]],WORKDAY.INTL(Tasks[[#This Row],[_LeafFcstStart]],Tasks[[#This Row],[_AlapShift]],WorkWeek,Holidays)))</f>
        <v/>
      </c>
      <c r="FJ12" s="88">
        <f>IF(NOT(Tasks[[#This Row],[_IsLeaf]]=1),"",IF(Tasks[[#This Row],[_AlapShift]]=0,Tasks[[#This Row],[_LeafFcstFinish]],WORKDAY.INTL(Tasks[[#This Row],[_LeafFcstFinish]],Tasks[[#This Row],[_AlapShift]],WorkWeek,Holidays)))</f>
        <v/>
      </c>
      <c r="FK12" s="88">
        <f>IF(Tasks[[#This Row],[Task Name]]="","",IF(Tasks[[#This Row],[_IsSummary]],MIN(INDEX(Tasks[_ShownCalcStart],Tasks[[#This Row],[_Row]]+1):INDEX(Tasks[_ShownCalcStart],Tasks[[#This Row],[_Row]]+Tasks[[#This Row],[_Descendants]])),Tasks[[#This Row],[_ShownCalcStart]]))</f>
        <v/>
      </c>
      <c r="FL12" s="88">
        <f>IF(Tasks[[#This Row],[Task Name]]="","",IF(Tasks[[#This Row],[_IsSummary]],MAX(INDEX(Tasks[_ShownCalcFinish],Tasks[[#This Row],[_Row]]+1):INDEX(Tasks[_ShownCalcFinish],Tasks[[#This Row],[_Row]]+Tasks[[#This Row],[_Descendants]])),Tasks[[#This Row],[_ShownCalcFinish]]))</f>
        <v/>
      </c>
      <c r="FM1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 s="42">
        <f>IF(AND(Tasks[[#This Row],[_IsLeaf]]=1,Tasks[[#This Row],[_LeafTotalWork]]&gt;0),NETWORKDAYS.INTL(ProjectStart,Tasks[[#This Row],[_ShownFcstStart]],WorkWeek,Holidays),0)</f>
        <v/>
      </c>
      <c r="FZ12" s="42">
        <f>IF(AND(Tasks[[#This Row],[_IsLeaf]]=1,Tasks[[#This Row],[_LeafTotalWork]]&gt;0),MAX(Tasks[[#This Row],[_StartWorkday]],NETWORKDAYS.INTL(ProjectStart,Tasks[[#This Row],[_ShownFcstFinish]],WorkWeek,Holidays)),0)</f>
        <v/>
      </c>
      <c r="GA12" s="42">
        <f>IF(AND(Tasks[[#This Row],[_IsLeaf]]=1,Tasks[[#This Row],[_LeafTotalWork]]&gt;0),Tasks[[#This Row],[_LeafWork]]/(Tasks[[#This Row],[_FinishWorkday]]-Tasks[[#This Row],[_StartWorkday]]+1),0)</f>
        <v/>
      </c>
      <c r="GB12" s="42">
        <f>Tasks[[#This Row],[_WorkPerWorkday]]*(Tasks[[#This Row],[_StartWorkday]]-1)</f>
        <v/>
      </c>
      <c r="GC12" s="42">
        <f>IF(Tasks[[#This Row],[_IsLeaf]]=1,MAX(N(Tasks[[#This Row],[_Days]]),0.1),0)</f>
        <v/>
      </c>
      <c r="GD12" s="42">
        <f>Tasks[[#This Row],[_WeightDur]]*Tasks[[#This Row],[_LeafProgress]]</f>
        <v/>
      </c>
      <c r="GE12" s="42">
        <f>Tasks[[#This Row],[_WeightDur]]*Tasks[[#This Row],[_PlannedPct]]</f>
        <v/>
      </c>
      <c r="GF1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 s="42">
        <f>IF(AND(Tasks[[#This Row],[_IsLeaf]]=1,N(Tasks[[#This Row],[_Days]])=0,Tasks[[#This Row],[_LeafProgress]]&lt;1),Tasks[[#This Row],[_ShownFcstFinish]]+Tasks[[#This Row],[_Row]]/100000,"")</f>
        <v/>
      </c>
      <c r="GH1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 s="42">
        <f>IF(Tasks[[#This Row],[Task Name]]="","",LEFT(Tasks[[#This Row],[WBS]],FIND(".",Tasks[[#This Row],[WBS]]&amp;".")-1))</f>
        <v/>
      </c>
      <c r="GJ12" s="42">
        <f>IF(AND(Tasks[[#This Row],[Task Name]]&lt;&gt;"",Tasks[[#This Row],[_Level]]=1),Tasks[[#This Row],[_Row]],"")</f>
        <v/>
      </c>
      <c r="GK12" s="42">
        <f>IF(AND(Tasks[[#This Row],[_IsLeaf]]=1,N(Tasks[[#This Row],[_Days]])=0),Tasks[[#This Row],[Planned Finish]]+Tasks[[#This Row],[_Row]]/100000,"")</f>
        <v/>
      </c>
      <c r="GL12" s="42">
        <f>IF(AND(Tasks[[#This Row],[_IsLeaf]]=1,Tasks[[#This Row],[_LeafProgress]]&lt;1,OR(N(Tasks[[#This Row],[Finish Var]])&gt;0,Tasks[[#This Row],[Status]]="Late Start")),MAX(0,Tasks[[#This Row],[Finish Var]])+1-Tasks[[#This Row],[_Row]]/1000000,"")</f>
        <v/>
      </c>
      <c r="GM12" s="42">
        <f>IF(AND(Tasks[[#This Row],[_IsLeaf]]=1,N(Tasks[[#This Row],[Actual Start]])=0,Tasks[[#This Row],[_ShownFcstStart]]&gt;=StatusDate,Tasks[[#This Row],[_ShownFcstStart]]&lt;=LookaheadEnd),Tasks[[#This Row],[_ShownFcstStart]]+Tasks[[#This Row],[_Row]]/100000,"")</f>
        <v/>
      </c>
      <c r="GN12" s="42">
        <f>IF(AND(Tasks[[#This Row],[_IsLeaf]]=1,Tasks[[#This Row],[_LeafProgress]]&lt;1,Tasks[[#This Row],[_ShownFcstFinish]]&gt;=StatusDate,Tasks[[#This Row],[_ShownFcstFinish]]&lt;=LookaheadEnd),Tasks[[#This Row],[_ShownFcstFinish]]+Tasks[[#This Row],[_Row]]/100000,"")</f>
        <v/>
      </c>
      <c r="GO12" s="42">
        <f>IF(Tasks[[#This Row],[_LeafCritical]],Tasks[[#This Row],[_ShownFcstStart]]+Tasks[[#This Row],[_Row]]/100000,"")</f>
        <v/>
      </c>
      <c r="GP12" s="42">
        <f>Tasks[[#This Row],[_LeafWork]]*Tasks[[#This Row],[_LeafProgress]]</f>
        <v/>
      </c>
      <c r="GQ12" s="88">
        <f>IF(AND(Tasks[[#This Row],[_IsLeaf]]=1,Tasks[[#This Row],[_LeafProgress]]&gt;=1),IF(N(Tasks[[#This Row],[Actual Finish]])&gt;0,Tasks[[#This Row],[Actual Finish]],Tasks[[#This Row],[_ShownFcstFinish]]),"")</f>
        <v/>
      </c>
      <c r="GR12" s="42">
        <f>IF(Tasks[[#This Row],[_IsLeaf]]=1,N(Tasks[[#This Row],[Story Points]]),0)</f>
        <v/>
      </c>
      <c r="GS12" s="42">
        <f>""</f>
        <v/>
      </c>
      <c r="GT12" s="42">
        <f>IF(Tasks[[#This Row],[Task Name]]="",FALSE(),AND(Tasks[[#This Row],[_IsLeaf]]=1,N(Tasks[[#This Row],[_Days]])=0))</f>
        <v/>
      </c>
      <c r="GU12" s="88">
        <f>IF(Tasks[[#This Row],[Task Name]]="",0,IF(AND(Tasks[[#This Row],[_IsLeaf]]=1,NOT(Tasks[[#This Row],[_IsMilestone]]),N(Tasks[[#This Row],[Progress]])&gt;0),Tasks[[#This Row],[Start]],0))</f>
        <v/>
      </c>
      <c r="GV12" s="88">
        <f>IF(Tasks[[#This Row],[_DoneFrom]]=0,0,IF(Tasks[[#This Row],[Progress]]&gt;=1,Tasks[[#This Row],[Finish]],MAX(Tasks[[#This Row],[_DoneFrom]],Tasks[[#This Row],[Start]]+ROUND((Tasks[[#This Row],[Finish]]-Tasks[[#This Row],[Start]]+1)*Tasks[[#This Row],[Progress]],0)-1)))</f>
        <v/>
      </c>
      <c r="GW12" s="88">
        <f>IF(Tasks[[#This Row],[Task Name]]="",0,IF(OR(NOT(Tasks[[#This Row],[_IsLeaf]]=1),Tasks[[#This Row],[_IsMilestone]],N(Tasks[[#This Row],[Progress]])&gt;=1),0,IF(Tasks[[#This Row],[_DoneTo]]&gt;0,Tasks[[#This Row],[_DoneTo]]+1,Tasks[[#This Row],[Start]])))</f>
        <v/>
      </c>
      <c r="GX12" s="88">
        <f>IF(Tasks[[#This Row],[_RemFrom]]=0,0,Tasks[[#This Row],[Finish]])</f>
        <v/>
      </c>
      <c r="GY12" s="42">
        <f>IF(Tasks[[#This Row],[Task Name]]="",FALSE(),OR(NOT(BaselineSet),N(Tasks[[#This Row],[Baseline Start]])&gt;0))</f>
        <v/>
      </c>
      <c r="GZ12" s="42">
        <f>IF(AND(Sandbox="Yes",L_PARSE_DURATION(Tasks[[#This Row],[Sandbox Duration]])&lt;&gt;""),L_PARSE_DURATION(Tasks[[#This Row],[Sandbox Duration]]),L_PARSE_DURATION(Tasks[[#This Row],[Duration]]))</f>
        <v/>
      </c>
      <c r="HA1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 s="42">
        <f>IF(Tasks[[#This Row],[_IsLeaf]]=1,Tasks[[#This Row],[_Row]],"")</f>
        <v/>
      </c>
      <c r="HD12" s="42">
        <f>IFERROR(INDEX(Tasks[UID],SMALL(Tasks[_PickKey],Tasks[[#This Row],[_Row]]))&amp;" "&amp;INDEX(Tasks[Task Name],SMALL(Tasks[_PickKey],Tasks[[#This Row],[_Row]])),"")</f>
        <v/>
      </c>
      <c r="HE12" s="42">
        <f>IF(Tasks[[#This Row],[Task Name]]="","",IF(Tasks[[#This Row],[_IsSummary]],NETWORKDAYS.INTL(Tasks[[#This Row],[Start]],Tasks[[#This Row],[Finish]],WorkWeek,Holidays),N(Tasks[[#This Row],[_Days]])))</f>
        <v/>
      </c>
      <c r="HF12" s="42">
        <f>IF(Tasks[[#This Row],[Expected]]="",0,((Tasks[[#This Row],[Pessimistic]]-Tasks[[#This Row],[Optimistic]])/6)^2)</f>
        <v/>
      </c>
      <c r="HG12" s="42">
        <f>IF(Tasks[[#This Row],[Expected]]="",0,Tasks[[#This Row],[Expected]]-N(Tasks[[#This Row],[_Days]]))</f>
        <v/>
      </c>
    </row>
    <row r="13" outlineLevel="1">
      <c r="A13" s="21">
        <f>IF(Tasks[[#This Row],[Task Name]]="","",COUNTA(Tasks[[#Headers],[Task Name]]:Tasks[[#This Row],[Task Name]])-1)</f>
        <v/>
      </c>
      <c r="B13" s="22" t="n">
        <v>9</v>
      </c>
      <c r="C13" s="22" t="n">
        <v>2</v>
      </c>
      <c r="D13" s="89" t="inlineStr">
        <is>
          <t>Design sign-off</t>
        </is>
      </c>
      <c r="E13" s="22" t="n">
        <v>0</v>
      </c>
      <c r="F13" s="23" t="n">
        <v>8</v>
      </c>
      <c r="G13" s="22" t="n"/>
      <c r="H13" s="22" t="n"/>
      <c r="I13" s="23" t="n"/>
      <c r="J13" s="22" t="n"/>
      <c r="K13" s="22" t="n"/>
      <c r="L13" s="23" t="n"/>
      <c r="M13" s="22" t="n"/>
      <c r="N13" s="22" t="n"/>
      <c r="O13" s="23" t="n"/>
      <c r="P13" s="22" t="n"/>
      <c r="Q13" s="22" t="n"/>
      <c r="R13" s="23" t="n"/>
      <c r="S13" s="23" t="n"/>
      <c r="T13" s="82" t="n"/>
      <c r="U13" s="23" t="n"/>
      <c r="V13" s="82" t="n"/>
      <c r="W13" s="23" t="n"/>
      <c r="X13" s="82" t="n"/>
      <c r="Y13" s="23" t="n"/>
      <c r="Z13" s="82" t="n"/>
      <c r="AA13" s="23" t="n"/>
      <c r="AB13" s="23" t="inlineStr">
        <is>
          <t>Complete</t>
        </is>
      </c>
      <c r="AC13" s="7" t="n">
        <v>46301</v>
      </c>
      <c r="AD13" s="7" t="n">
        <v>46301</v>
      </c>
      <c r="AE13" s="61">
        <f>IF(Tasks[[#This Row],[Task Name]]="","",IF(Tasks[[#This Row],[_IsSummary]],MIN(INDEX(Tasks[_ShownFcstStart],Tasks[[#This Row],[_Row]]+1):INDEX(Tasks[_ShownFcstStart],Tasks[[#This Row],[_Row]]+Tasks[[#This Row],[_Descendants]])),Tasks[[#This Row],[_ShownFcstStart]]))</f>
        <v/>
      </c>
      <c r="AF13" s="61">
        <f>IF(Tasks[[#This Row],[Task Name]]="","",IF(Tasks[[#This Row],[_IsSummary]],MAX(INDEX(Tasks[_ShownFcstFinish],Tasks[[#This Row],[_Row]]+1):INDEX(Tasks[_ShownFcstFinish],Tasks[[#This Row],[_Row]]+Tasks[[#This Row],[_Descendants]])),Tasks[[#This Row],[_ShownFcstFinish]]))</f>
        <v/>
      </c>
      <c r="AG13" s="21">
        <f>""</f>
        <v/>
      </c>
      <c r="AH13" s="23" t="inlineStr">
        <is>
          <t>Two predecessors - waits for the later one.</t>
        </is>
      </c>
      <c r="AI1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 s="7" t="n"/>
      <c r="AK13" s="22" t="inlineStr">
        <is>
          <t>Auto</t>
        </is>
      </c>
      <c r="AL13" s="23" t="n"/>
      <c r="AM13" s="7" t="n"/>
      <c r="AN13" s="21">
        <f>IF(Tasks[[#This Row],[Task Name]]="","",IF(Tasks[[#This Row],[Finish]]&gt;=Tasks[[#This Row],[Planned Finish]],NETWORKDAYS.INTL(Tasks[[#This Row],[Planned Finish]],Tasks[[#This Row],[Finish]],WorkWeek,Holidays)-1,1-NETWORKDAYS.INTL(Tasks[[#This Row],[Finish]],Tasks[[#This Row],[Planned Finish]],WorkWeek,Holidays)))</f>
        <v/>
      </c>
      <c r="AO13" s="21">
        <f>IF(Tasks[[#This Row],[Task Name]]="","",IF(Tasks[[#This Row],[Progress]]&gt;=1,"Complete",IF(OR(N(Tasks[[#This Row],[Actual Start]])&gt;0,Tasks[[#This Row],[Progress]]&gt;0),IF(Tasks[[#This Row],[Finish Var]]&gt;0,"Behind","In Progress"),IF(Tasks[[#This Row],[Planned Start]]&lt;StatusDate,"Late Start","Not Started"))))</f>
        <v/>
      </c>
      <c r="AP13" s="21">
        <f>IF(Tasks[[#This Row],[Task Name]]="","",IF(IF(Tasks[[#This Row],[_IsSummary]],COUNTIF(INDEX(Tasks[_LeafCritical],Tasks[[#This Row],[_Row]]+1):INDEX(Tasks[_LeafCritical],Tasks[[#This Row],[_Row]]+Tasks[[#This Row],[_Descendants]]),TRUE())&gt;0,Tasks[[#This Row],[_LeafCritical]]),"Yes",""))</f>
        <v/>
      </c>
      <c r="AQ13" s="61">
        <f>IF(Tasks[[#This Row],[Task Name]]="","",IF(N(Tasks[[#This Row],[Baseline Start]])&gt;0,Tasks[[#This Row],[Baseline Start]],Tasks[[#This Row],[_CalcStart]]))</f>
        <v/>
      </c>
      <c r="AR13" s="61">
        <f>IF(Tasks[[#This Row],[Task Name]]="","",IF(N(Tasks[[#This Row],[Baseline Finish]])&gt;0,Tasks[[#This Row],[Baseline Finish]],Tasks[[#This Row],[_CalcFinish]]))</f>
        <v/>
      </c>
      <c r="AS13" s="21">
        <f>IF(Tasks[[#This Row],[Task Name]]="","",IF(Tasks[[#This Row],[Start]]&gt;=Tasks[[#This Row],[Planned Start]],NETWORKDAYS.INTL(Tasks[[#This Row],[Planned Start]],Tasks[[#This Row],[Start]],WorkWeek,Holidays)-1,1-NETWORKDAYS.INTL(Tasks[[#This Row],[Start]],Tasks[[#This Row],[Planned Start]],WorkWeek,Holidays)))</f>
        <v/>
      </c>
      <c r="AT13" s="61">
        <f>IF(Tasks[[#This Row],[Task Name]]="","",IF(Tasks[[#This Row],[_IsSummary]],MIN(INDEX(Tasks[_LeafLateStart],Tasks[[#This Row],[_Row]]+1):INDEX(Tasks[_LeafLateStart],Tasks[[#This Row],[_Row]]+Tasks[[#This Row],[_Descendants]])),Tasks[[#This Row],[_LeafLateStart]]))</f>
        <v/>
      </c>
      <c r="AU13" s="61">
        <f>IF(Tasks[[#This Row],[Task Name]]="","",IF(Tasks[[#This Row],[_IsSummary]],MAX(INDEX(Tasks[_LeafLateFinish],Tasks[[#This Row],[_Row]]+1):INDEX(Tasks[_LeafLateFinish],Tasks[[#This Row],[_Row]]+Tasks[[#This Row],[_Descendants]])),Tasks[[#This Row],[_LeafLateFinish]]))</f>
        <v/>
      </c>
      <c r="AV13" s="21">
        <f>IF(Tasks[[#This Row],[Task Name]]="","",IF(Tasks[[#This Row],[_IsSummary]],MIN(INDEX(Tasks[_LeafTotalSlack],Tasks[[#This Row],[_Row]]+1):INDEX(Tasks[_LeafTotalSlack],Tasks[[#This Row],[_Row]]+Tasks[[#This Row],[_Descendants]])),Tasks[[#This Row],[_LeafTotalSlack]]))</f>
        <v/>
      </c>
      <c r="AW1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3" t="n"/>
      <c r="BA1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 s="21">
        <f>IF(Tasks[[#This Row],[Task Name]]="","",IF(Tasks[[#This Row],[_Level]]&lt;=OutlineShowLevel,"Yes","No"))</f>
        <v/>
      </c>
      <c r="BE13" s="84">
        <f>IF(Tasks[[#This Row],[Task Name]]="","",IF(Tasks[[#This Row],[_IsSummary]],SUM(INDEX(Tasks[_LeafTotalWork],Tasks[[#This Row],[_Row]]+1):INDEX(Tasks[_LeafTotalWork],Tasks[[#This Row],[_Row]]+Tasks[[#This Row],[_Descendants]])),Tasks[[#This Row],[_LeafTotalWork]]))</f>
        <v/>
      </c>
      <c r="BF13" s="23" t="n"/>
      <c r="BG1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f>""</f>
        <v/>
      </c>
      <c r="BI13" s="85" t="n"/>
      <c r="BJ13" s="22" t="n"/>
      <c r="BK13" s="21">
        <f>IF(OR(Tasks[[#This Row],[Task Name]]="",Tasks[[#This Row],[Baseline Duration]]=""),"",Tasks[[#This Row],[_SpanDays]]-N(Tasks[[#This Row],[Baseline Duration]]))</f>
        <v/>
      </c>
      <c r="BL13" s="84">
        <f>IF(OR(Tasks[[#This Row],[Task Name]]="",Tasks[[#This Row],[Baseline Work]]=""),"",Tasks[[#This Row],[Work]]-N(Tasks[[#This Row],[Baseline Work]]))</f>
        <v/>
      </c>
      <c r="BM13" s="61">
        <f>IF(Tasks[[#This Row],[Task Name]]="","",IF(OR(TakeBaseline="Yes",N(Tasks[[#This Row],[Baseline Start]])=0),Tasks[[#This Row],[Start]],Tasks[[#This Row],[Baseline Start]]))</f>
        <v/>
      </c>
      <c r="BN13" s="61">
        <f>IF(Tasks[[#This Row],[Task Name]]="","",IF(OR(TakeBaseline="Yes",N(Tasks[[#This Row],[Baseline Finish]])=0),Tasks[[#This Row],[Finish]],Tasks[[#This Row],[Baseline Finish]]))</f>
        <v/>
      </c>
      <c r="BO13" s="21">
        <f>IF(Tasks[[#This Row],[Task Name]]="","",IF(OR(TakeBaseline="Yes",N(Tasks[[#This Row],[Baseline Duration]])=0),Tasks[[#This Row],[_SpanDays]],Tasks[[#This Row],[Baseline Duration]]))</f>
        <v/>
      </c>
      <c r="BP13" s="84">
        <f>IF(Tasks[[#This Row],[Task Name]]="","",IF(OR(TakeBaseline="Yes",N(Tasks[[#This Row],[Baseline Work]])=0),Tasks[[#This Row],[Work]],Tasks[[#This Row],[Baseline Work]]))</f>
        <v/>
      </c>
      <c r="BQ13" s="7" t="n">
        <v>46296</v>
      </c>
      <c r="BR13" s="7" t="n">
        <v>46296</v>
      </c>
      <c r="BS13" s="22" t="n">
        <v>0</v>
      </c>
      <c r="BT13" s="86" t="n">
        <v>0</v>
      </c>
      <c r="BU13" s="23" t="n"/>
      <c r="BV13" s="23" t="n"/>
      <c r="BW13" s="23" t="n"/>
      <c r="BX13" s="87">
        <f>IF(AND(Tasks[[#This Row],[_IsLeaf]]=1,ISNUMBER(Tasks[[#This Row],[Optimistic]]),ISNUMBER(Tasks[[#This Row],[Pessimistic]])),ROUND((Tasks[[#This Row],[Optimistic]]+4*N(Tasks[[#This Row],[_Days]])+Tasks[[#This Row],[Pessimistic]])/6,1),"")</f>
        <v/>
      </c>
      <c r="BY13" s="85" t="n"/>
      <c r="BZ13" s="85" t="n"/>
      <c r="CA13" s="22" t="n"/>
      <c r="CB13" s="42">
        <f>IF(Tasks[[#This Row],[Task Name]]="","",MAX(1,N(Tasks[[#This Row],[Level]])))</f>
        <v/>
      </c>
      <c r="CC13" s="42">
        <f>ROW()-ROW(Tasks[[#Headers],[ID]])</f>
        <v/>
      </c>
      <c r="CD13" s="42">
        <f>IF(OR(Tasks[[#This Row],[Task Name]]="",Tasks[[#This Row],[_Level]]&lt;=1),0,IFERROR(LOOKUP(2,1/(Tasks[[#Headers],[_Level]]:Tasks[[#This Row],[_Level]]=Tasks[[#This Row],[_Level]]-1),ROW(Tasks[[#Headers],[_Level]]:Tasks[[#This Row],[_Level]])),0))</f>
        <v/>
      </c>
      <c r="CE13" s="42">
        <f>IFERROR(N(INDEX(Tasks[_Level],Tasks[[#This Row],[_Row]]+1)),0)</f>
        <v/>
      </c>
      <c r="CF13" s="42">
        <f>AND(Tasks[[#This Row],[Task Name]]&lt;&gt;"",Tasks[[#This Row],[_NextLevel]]&gt;Tasks[[#This Row],[_Level]])</f>
        <v/>
      </c>
      <c r="CG13" s="42">
        <f>IF(Tasks[[#This Row],[_IsSummary]],COUNTIF(Tasks[WBS],Tasks[[#This Row],[WBS]]&amp;".*"),0)</f>
        <v/>
      </c>
      <c r="CH13" s="42">
        <f>IF(AND(Tasks[[#This Row],[Task Name]]&lt;&gt;"",NOT(Tasks[[#This Row],[_IsSummary]])),1,0)</f>
        <v/>
      </c>
      <c r="CI13" s="42">
        <f>IF(N(Tasks[[#This Row],[_Pred1UID]])=0,0,IFERROR(MATCH(Tasks[[#This Row],[_Pred1UID]],Tasks[UID],0),-1))</f>
        <v/>
      </c>
      <c r="CJ13" s="42">
        <f>IF(N(Tasks[[#This Row],[_Pred2UID]])=0,0,IFERROR(MATCH(Tasks[[#This Row],[_Pred2UID]],Tasks[UID],0),-1))</f>
        <v/>
      </c>
      <c r="CK13" s="42">
        <f>IF(N(Tasks[[#This Row],[_Pred3UID]])=0,0,IFERROR(MATCH(Tasks[[#This Row],[_Pred3UID]],Tasks[UID],0),-1))</f>
        <v/>
      </c>
      <c r="CL13" s="42">
        <f>IF(N(Tasks[[#This Row],[_Pred4UID]])=0,0,IFERROR(MATCH(Tasks[[#This Row],[_Pred4UID]],Tasks[UID],0),-1))</f>
        <v/>
      </c>
      <c r="CM1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 s="88">
        <f>IF(N(Tasks[[#This Row],[Constraint Date]])=0,0,IF(AND(OR(Tasks[[#This Row],[_ConstraintCode]]=3,Tasks[[#This Row],[_ConstraintCode]]=6,Tasks[[#This Row],[_ConstraintCode]]=7),N(Tasks[[#This Row],[_Days]])&gt;1),WORKDAY.INTL(N(Tasks[[#This Row],[Constraint Date]]),-(N(Tasks[[#This Row],[_Days]])-1),WorkWeek,Holidays),N(Tasks[[#This Row],[Constraint Date]])))</f>
        <v/>
      </c>
      <c r="CO13" s="88">
        <f>IF(OR(Tasks[[#This Row],[_ConstraintCode]]=2,Tasks[[#This Row],[_ConstraintCode]]=3,Tasks[[#This Row],[_ConstraintCode]]=4,Tasks[[#This Row],[_ConstraintCode]]=6),Tasks[[#This Row],[_ConstraintStart]],0)</f>
        <v/>
      </c>
      <c r="CP13" s="88">
        <f>IF(OR(Tasks[[#This Row],[_ConstraintCode]]=2,Tasks[[#This Row],[_ConstraintCode]]=3,Tasks[[#This Row],[_ConstraintCode]]=5,Tasks[[#This Row],[_ConstraintCode]]=7),Tasks[[#This Row],[_ConstraintStart]],2958465)</f>
        <v/>
      </c>
      <c r="CQ1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 s="88">
        <f>IF(NOT(Tasks[[#This Row],[_IsLeaf]]=1),"",IF(N(Tasks[[#This Row],[_Days]])&lt;=0,Tasks[[#This Row],[_LeafCalcStart]],WORKDAY.INTL(Tasks[[#This Row],[_LeafCalcStart]],Tasks[[#This Row],[_Days]]-1,WorkWeek,Holidays)))</f>
        <v/>
      </c>
      <c r="CS1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 s="42">
        <f>IF(Tasks[[#This Row],[_Predecessors]]="","",TRIM(MID(SUBSTITUTE(SUBSTITUTE(SUBSTITUTE(UPPER(Tasks[[#This Row],[_Predecessors]]),";",",")," ",""),",",REPT(" ",99)),1,99)))</f>
        <v/>
      </c>
      <c r="CV13" s="42">
        <f>IF(Tasks[[#This Row],[_Pred1Text]]="","",IFERROR(VALUE(LEFT(Tasks[[#This Row],[_Pred1Text]],MIN(FIND("F",Tasks[[#This Row],[_Pred1Text]]&amp;"F"),FIND("S",Tasks[[#This Row],[_Pred1Text]]&amp;"S"),FIND("+",Tasks[[#This Row],[_Pred1Text]]&amp;"+"),FIND("-",Tasks[[#This Row],[_Pred1Text]]&amp;"-"))-1)),""))</f>
        <v/>
      </c>
      <c r="CW1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 s="42">
        <f>IF(Tasks[[#This Row],[_Pred1Text]]="","",TRIM(MID(SUBSTITUTE(SUBSTITUTE(SUBSTITUTE(UPPER(Tasks[[#This Row],[_Predecessors]]),";",",")," ",""),",",REPT(" ",99)),100,99)))</f>
        <v/>
      </c>
      <c r="CZ13" s="42">
        <f>IF(Tasks[[#This Row],[_Pred2Text]]="","",IFERROR(VALUE(LEFT(Tasks[[#This Row],[_Pred2Text]],MIN(FIND("F",Tasks[[#This Row],[_Pred2Text]]&amp;"F"),FIND("S",Tasks[[#This Row],[_Pred2Text]]&amp;"S"),FIND("+",Tasks[[#This Row],[_Pred2Text]]&amp;"+"),FIND("-",Tasks[[#This Row],[_Pred2Text]]&amp;"-"))-1)),""))</f>
        <v/>
      </c>
      <c r="DA1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 s="42">
        <f>IF(Tasks[[#This Row],[_Pred2Text]]="","",TRIM(MID(SUBSTITUTE(SUBSTITUTE(SUBSTITUTE(UPPER(Tasks[[#This Row],[_Predecessors]]),";",",")," ",""),",",REPT(" ",99)),199,99)))</f>
        <v/>
      </c>
      <c r="DD13" s="42">
        <f>IF(Tasks[[#This Row],[_Pred3Text]]="","",IFERROR(VALUE(LEFT(Tasks[[#This Row],[_Pred3Text]],MIN(FIND("F",Tasks[[#This Row],[_Pred3Text]]&amp;"F"),FIND("S",Tasks[[#This Row],[_Pred3Text]]&amp;"S"),FIND("+",Tasks[[#This Row],[_Pred3Text]]&amp;"+"),FIND("-",Tasks[[#This Row],[_Pred3Text]]&amp;"-"))-1)),""))</f>
        <v/>
      </c>
      <c r="DE1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 s="42">
        <f>IF(Tasks[[#This Row],[_Pred3Text]]="","",TRIM(MID(SUBSTITUTE(SUBSTITUTE(SUBSTITUTE(UPPER(Tasks[[#This Row],[_Predecessors]]),";",",")," ",""),",",REPT(" ",99)),298,99)))</f>
        <v/>
      </c>
      <c r="DH13" s="42">
        <f>IF(Tasks[[#This Row],[_Pred4Text]]="","",IFERROR(VALUE(LEFT(Tasks[[#This Row],[_Pred4Text]],MIN(FIND("F",Tasks[[#This Row],[_Pred4Text]]&amp;"F"),FIND("S",Tasks[[#This Row],[_Pred4Text]]&amp;"S"),FIND("+",Tasks[[#This Row],[_Pred4Text]]&amp;"+"),FIND("-",Tasks[[#This Row],[_Pred4Text]]&amp;"-"))-1)),""))</f>
        <v/>
      </c>
      <c r="DI1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 s="42">
        <f>IF(OR(Tasks[[#This Row],[Task Name]]="",Tasks[[#This Row],[_Resources]]=""),"",TRIM(MID(SUBSTITUTE(Tasks[[#This Row],[_Resources]],",",REPT(" ",99)),1,99)))</f>
        <v/>
      </c>
      <c r="DL13" s="42">
        <f>IF(Tasks[[#This Row],[_Res1Text]]="","",TRIM(MID(SUBSTITUTE(Tasks[[#This Row],[_Resources]],",",REPT(" ",99)),100,99)))</f>
        <v/>
      </c>
      <c r="DM13" s="42">
        <f>IF(Tasks[[#This Row],[_Res2Text]]="","",TRIM(MID(SUBSTITUTE(Tasks[[#This Row],[_Resources]],",",REPT(" ",99)),199,99)))</f>
        <v/>
      </c>
      <c r="DN13" s="42">
        <f>IF(Tasks[[#This Row],[_Res3Text]]="","",TRIM(MID(SUBSTITUTE(Tasks[[#This Row],[_Resources]],",",REPT(" ",99)),298,99)))</f>
        <v/>
      </c>
      <c r="DO13" s="42">
        <f>IF(Tasks[[#This Row],[_Res1Text]]="",0,IFERROR(MATCH(TRIM(LEFT(Tasks[[#This Row],[_Res1Text]],FIND("[",Tasks[[#This Row],[_Res1Text]]&amp;"[")-1)),res_Name,0),IFERROR(MATCH(TRIM(LEFT(Tasks[[#This Row],[_Res1Text]],FIND("[",Tasks[[#This Row],[_Res1Text]]&amp;"[")-1)),res_Initials,0),0)))</f>
        <v/>
      </c>
      <c r="DP13" s="42">
        <f>IF(Tasks[[#This Row],[_Res2Text]]="",0,IFERROR(MATCH(TRIM(LEFT(Tasks[[#This Row],[_Res2Text]],FIND("[",Tasks[[#This Row],[_Res2Text]]&amp;"[")-1)),res_Name,0),IFERROR(MATCH(TRIM(LEFT(Tasks[[#This Row],[_Res2Text]],FIND("[",Tasks[[#This Row],[_Res2Text]]&amp;"[")-1)),res_Initials,0),0)))</f>
        <v/>
      </c>
      <c r="DQ13" s="42">
        <f>IF(Tasks[[#This Row],[_Res3Text]]="",0,IFERROR(MATCH(TRIM(LEFT(Tasks[[#This Row],[_Res3Text]],FIND("[",Tasks[[#This Row],[_Res3Text]]&amp;"[")-1)),res_Name,0),IFERROR(MATCH(TRIM(LEFT(Tasks[[#This Row],[_Res3Text]],FIND("[",Tasks[[#This Row],[_Res3Text]]&amp;"[")-1)),res_Initials,0),0)))</f>
        <v/>
      </c>
      <c r="DR13" s="42">
        <f>IF(Tasks[[#This Row],[_Res4Text]]="",0,IFERROR(MATCH(TRIM(LEFT(Tasks[[#This Row],[_Res4Text]],FIND("[",Tasks[[#This Row],[_Res4Text]]&amp;"[")-1)),res_Name,0),IFERROR(MATCH(TRIM(LEFT(Tasks[[#This Row],[_Res4Text]],FIND("[",Tasks[[#This Row],[_Res4Text]]&amp;"[")-1)),res_Initials,0),0)))</f>
        <v/>
      </c>
      <c r="DS13" s="42">
        <f>IF(Tasks[[#This Row],[_Res1Text]]="","",IF(Tasks[[#This Row],[_Res1Row]]&gt;0,INDEX(res_Name,Tasks[[#This Row],[_Res1Row]]),TRIM(LEFT(Tasks[[#This Row],[_Res1Text]],FIND("[",Tasks[[#This Row],[_Res1Text]]&amp;"[")-1))))</f>
        <v/>
      </c>
      <c r="DT1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 s="42">
        <f>IF(NOT(Tasks[[#This Row],[_IsLeaf]]=1),0,(Tasks[[#This Row],[_Resource1]]&lt;&gt;"")+(Tasks[[#This Row],[_Res2]]&lt;&gt;"")+(Tasks[[#This Row],[_Res3]]&lt;&gt;"")+(Tasks[[#This Row],[_Res4]]&lt;&gt;""))</f>
        <v/>
      </c>
      <c r="DV13" s="42">
        <f>IF(Tasks[[#This Row],[_Res2Text]]="","",IF(Tasks[[#This Row],[_Res2Row]]&gt;0,INDEX(res_Name,Tasks[[#This Row],[_Res2Row]]),TRIM(LEFT(Tasks[[#This Row],[_Res2Text]],FIND("[",Tasks[[#This Row],[_Res2Text]]&amp;"[")-1))))</f>
        <v/>
      </c>
      <c r="DW1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 s="42">
        <f>IF(OR(NOT(Tasks[[#This Row],[_IsLeaf]]=1),Tasks[[#This Row],[_Res2Row]]=0),0,N(Tasks[[#This Row],[_Days]])*HoursPerDay*IF(Tasks[[#This Row],[_Res2Units]]="",DefaultUnits,Tasks[[#This Row],[_Res2Units]]))</f>
        <v/>
      </c>
      <c r="DY13" s="42">
        <f>IF(AND(AND(Tasks[[#This Row],[_IsLeaf]]=1,Tasks[[#This Row],[_LeafTotalWork]]&gt;0),Tasks[[#This Row],[_Res2Work]]&gt;0),Tasks[[#This Row],[_Res2Work]]/(Tasks[[#This Row],[_FinishWorkday]]-Tasks[[#This Row],[_StartWorkday]]+1),0)</f>
        <v/>
      </c>
      <c r="DZ13" s="42">
        <f>Tasks[[#This Row],[_Res2WorkPerWD]]*MAX(0,Tasks[[#This Row],[_StartWorkday]]-1)</f>
        <v/>
      </c>
      <c r="EA13" s="42">
        <f>Tasks[[#This Row],[_Res2Work]]*Tasks[[#This Row],[_LeafProgress]]</f>
        <v/>
      </c>
      <c r="EB13" s="42">
        <f>IF(Tasks[[#This Row],[_Res3Text]]="","",IF(Tasks[[#This Row],[_Res3Row]]&gt;0,INDEX(res_Name,Tasks[[#This Row],[_Res3Row]]),TRIM(LEFT(Tasks[[#This Row],[_Res3Text]],FIND("[",Tasks[[#This Row],[_Res3Text]]&amp;"[")-1))))</f>
        <v/>
      </c>
      <c r="EC1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 s="42">
        <f>IF(OR(NOT(Tasks[[#This Row],[_IsLeaf]]=1),Tasks[[#This Row],[_Res3Row]]=0),0,N(Tasks[[#This Row],[_Days]])*HoursPerDay*IF(Tasks[[#This Row],[_Res3Units]]="",DefaultUnits,Tasks[[#This Row],[_Res3Units]]))</f>
        <v/>
      </c>
      <c r="EE13" s="42">
        <f>IF(AND(AND(Tasks[[#This Row],[_IsLeaf]]=1,Tasks[[#This Row],[_LeafTotalWork]]&gt;0),Tasks[[#This Row],[_Res3Work]]&gt;0),Tasks[[#This Row],[_Res3Work]]/(Tasks[[#This Row],[_FinishWorkday]]-Tasks[[#This Row],[_StartWorkday]]+1),0)</f>
        <v/>
      </c>
      <c r="EF13" s="42">
        <f>Tasks[[#This Row],[_Res3WorkPerWD]]*MAX(0,Tasks[[#This Row],[_StartWorkday]]-1)</f>
        <v/>
      </c>
      <c r="EG13" s="42">
        <f>Tasks[[#This Row],[_Res3Work]]*Tasks[[#This Row],[_LeafProgress]]</f>
        <v/>
      </c>
      <c r="EH13" s="42">
        <f>IF(Tasks[[#This Row],[_Res4Text]]="","",IF(Tasks[[#This Row],[_Res4Row]]&gt;0,INDEX(res_Name,Tasks[[#This Row],[_Res4Row]]),TRIM(LEFT(Tasks[[#This Row],[_Res4Text]],FIND("[",Tasks[[#This Row],[_Res4Text]]&amp;"[")-1))))</f>
        <v/>
      </c>
      <c r="EI1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 s="42">
        <f>IF(OR(NOT(Tasks[[#This Row],[_IsLeaf]]=1),Tasks[[#This Row],[_Res4Row]]=0),0,N(Tasks[[#This Row],[_Days]])*HoursPerDay*IF(Tasks[[#This Row],[_Res4Units]]="",DefaultUnits,Tasks[[#This Row],[_Res4Units]]))</f>
        <v/>
      </c>
      <c r="EK13" s="42">
        <f>IF(AND(AND(Tasks[[#This Row],[_IsLeaf]]=1,Tasks[[#This Row],[_LeafTotalWork]]&gt;0),Tasks[[#This Row],[_Res4Work]]&gt;0),Tasks[[#This Row],[_Res4Work]]/(Tasks[[#This Row],[_FinishWorkday]]-Tasks[[#This Row],[_StartWorkday]]+1),0)</f>
        <v/>
      </c>
      <c r="EL13" s="42">
        <f>Tasks[[#This Row],[_Res4WorkPerWD]]*MAX(0,Tasks[[#This Row],[_StartWorkday]]-1)</f>
        <v/>
      </c>
      <c r="EM13" s="42">
        <f>Tasks[[#This Row],[_Res4Work]]*Tasks[[#This Row],[_LeafProgress]]</f>
        <v/>
      </c>
      <c r="EN13" s="42">
        <f>IF(ISNUMBER(Tasks[[#This Row],[% Complete]]),Tasks[[#This Row],[% Complete]],IF(Tasks[[#This Row],[Stage]]="",0,IFERROR(INDEX(stg_Pct,MATCH(Tasks[[#This Row],[Stage]],stg_Name,0)),0)))</f>
        <v/>
      </c>
      <c r="EO13" s="42">
        <f>IF(NOT(Tasks[[#This Row],[_IsLeaf]]=1),0,IF(N(Tasks[[#This Row],[Actual Finish]])&gt;0,1,MIN(1,Tasks[[#This Row],[_Pct]])))</f>
        <v/>
      </c>
      <c r="EP13" s="42">
        <f>IF(OR(NOT(Tasks[[#This Row],[_IsLeaf]]=1),Tasks[[#This Row],[_Res1Row]]=0),0,N(Tasks[[#This Row],[_Days]])*HoursPerDay*IF(Tasks[[#This Row],[_Units1]]="",DefaultUnits,Tasks[[#This Row],[_Units1]]))</f>
        <v/>
      </c>
      <c r="EQ13" s="42">
        <f>Tasks[[#This Row],[_LeafWork]]+Tasks[[#This Row],[_Res2Work]]+Tasks[[#This Row],[_Res3Work]]+Tasks[[#This Row],[_Res4Work]]</f>
        <v/>
      </c>
      <c r="ER1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 s="42">
        <f>IF(NOT(Tasks[[#This Row],[_IsLeaf]]=1),0,MAX(_xlfn.MAXIFS(Tasks[_Row],Tasks[_Pred1UID],Tasks[[#This Row],[UID]]),_xlfn.MAXIFS(Tasks[_Row],Tasks[_Pred2UID],Tasks[[#This Row],[UID]]),_xlfn.MAXIFS(Tasks[_Row],Tasks[_Pred3UID],Tasks[[#This Row],[UID]]),_xlfn.MAXIFS(Tasks[_Row],Tasks[_Pred4UID],Tasks[[#This Row],[UID]])))</f>
        <v/>
      </c>
      <c r="FA1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 s="88">
        <f>IF(NOT(Tasks[[#This Row],[_IsLeaf]]=1),"",IF(N(Tasks[[#This Row],[_Days]])&lt;=0,Tasks[[#This Row],[_LeafLateFinish]],WORKDAY.INTL(Tasks[[#This Row],[_LeafLateFinish]],-(Tasks[[#This Row],[_Days]]-1),WorkWeek,Holidays)))</f>
        <v/>
      </c>
      <c r="FD1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 s="42">
        <f>AND(Tasks[[#This Row],[_IsLeaf]]=1,Tasks[[#This Row],[_LeafProgress]]&lt;1,N(Tasks[[#This Row],[_LeafTotalSlack]])&lt;=CriticalSlackDays)</f>
        <v/>
      </c>
      <c r="FF13" s="42">
        <f>IF(AND(Tasks[[#This Row],[_IsLeaf]]=1,Tasks[[#This Row],[_ConstraintCode]]=1,Tasks[[#This Row],[Mode]]&lt;&gt;"Manual",N(Tasks[[#This Row],[Actual Start]])=0),MAX(0,N(Tasks[[#This Row],[Free Slack]])),0)</f>
        <v/>
      </c>
      <c r="FG13" s="88">
        <f>IF(NOT(Tasks[[#This Row],[_IsLeaf]]=1),"",IF(Tasks[[#This Row],[_AlapShift]]=0,Tasks[[#This Row],[_LeafCalcStart]],WORKDAY.INTL(Tasks[[#This Row],[_LeafCalcStart]],Tasks[[#This Row],[_AlapShift]],WorkWeek,Holidays)))</f>
        <v/>
      </c>
      <c r="FH13" s="88">
        <f>IF(NOT(Tasks[[#This Row],[_IsLeaf]]=1),"",IF(Tasks[[#This Row],[_AlapShift]]=0,Tasks[[#This Row],[_LeafCalcFinish]],WORKDAY.INTL(Tasks[[#This Row],[_LeafCalcFinish]],Tasks[[#This Row],[_AlapShift]],WorkWeek,Holidays)))</f>
        <v/>
      </c>
      <c r="FI13" s="88">
        <f>IF(NOT(Tasks[[#This Row],[_IsLeaf]]=1),"",IF(Tasks[[#This Row],[_AlapShift]]=0,Tasks[[#This Row],[_LeafFcstStart]],WORKDAY.INTL(Tasks[[#This Row],[_LeafFcstStart]],Tasks[[#This Row],[_AlapShift]],WorkWeek,Holidays)))</f>
        <v/>
      </c>
      <c r="FJ13" s="88">
        <f>IF(NOT(Tasks[[#This Row],[_IsLeaf]]=1),"",IF(Tasks[[#This Row],[_AlapShift]]=0,Tasks[[#This Row],[_LeafFcstFinish]],WORKDAY.INTL(Tasks[[#This Row],[_LeafFcstFinish]],Tasks[[#This Row],[_AlapShift]],WorkWeek,Holidays)))</f>
        <v/>
      </c>
      <c r="FK13" s="88">
        <f>IF(Tasks[[#This Row],[Task Name]]="","",IF(Tasks[[#This Row],[_IsSummary]],MIN(INDEX(Tasks[_ShownCalcStart],Tasks[[#This Row],[_Row]]+1):INDEX(Tasks[_ShownCalcStart],Tasks[[#This Row],[_Row]]+Tasks[[#This Row],[_Descendants]])),Tasks[[#This Row],[_ShownCalcStart]]))</f>
        <v/>
      </c>
      <c r="FL13" s="88">
        <f>IF(Tasks[[#This Row],[Task Name]]="","",IF(Tasks[[#This Row],[_IsSummary]],MAX(INDEX(Tasks[_ShownCalcFinish],Tasks[[#This Row],[_Row]]+1):INDEX(Tasks[_ShownCalcFinish],Tasks[[#This Row],[_Row]]+Tasks[[#This Row],[_Descendants]])),Tasks[[#This Row],[_ShownCalcFinish]]))</f>
        <v/>
      </c>
      <c r="FM1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 s="42">
        <f>IF(AND(Tasks[[#This Row],[_IsLeaf]]=1,Tasks[[#This Row],[_LeafTotalWork]]&gt;0),NETWORKDAYS.INTL(ProjectStart,Tasks[[#This Row],[_ShownFcstStart]],WorkWeek,Holidays),0)</f>
        <v/>
      </c>
      <c r="FZ13" s="42">
        <f>IF(AND(Tasks[[#This Row],[_IsLeaf]]=1,Tasks[[#This Row],[_LeafTotalWork]]&gt;0),MAX(Tasks[[#This Row],[_StartWorkday]],NETWORKDAYS.INTL(ProjectStart,Tasks[[#This Row],[_ShownFcstFinish]],WorkWeek,Holidays)),0)</f>
        <v/>
      </c>
      <c r="GA13" s="42">
        <f>IF(AND(Tasks[[#This Row],[_IsLeaf]]=1,Tasks[[#This Row],[_LeafTotalWork]]&gt;0),Tasks[[#This Row],[_LeafWork]]/(Tasks[[#This Row],[_FinishWorkday]]-Tasks[[#This Row],[_StartWorkday]]+1),0)</f>
        <v/>
      </c>
      <c r="GB13" s="42">
        <f>Tasks[[#This Row],[_WorkPerWorkday]]*(Tasks[[#This Row],[_StartWorkday]]-1)</f>
        <v/>
      </c>
      <c r="GC13" s="42">
        <f>IF(Tasks[[#This Row],[_IsLeaf]]=1,MAX(N(Tasks[[#This Row],[_Days]]),0.1),0)</f>
        <v/>
      </c>
      <c r="GD13" s="42">
        <f>Tasks[[#This Row],[_WeightDur]]*Tasks[[#This Row],[_LeafProgress]]</f>
        <v/>
      </c>
      <c r="GE13" s="42">
        <f>Tasks[[#This Row],[_WeightDur]]*Tasks[[#This Row],[_PlannedPct]]</f>
        <v/>
      </c>
      <c r="GF1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 s="42">
        <f>IF(AND(Tasks[[#This Row],[_IsLeaf]]=1,N(Tasks[[#This Row],[_Days]])=0,Tasks[[#This Row],[_LeafProgress]]&lt;1),Tasks[[#This Row],[_ShownFcstFinish]]+Tasks[[#This Row],[_Row]]/100000,"")</f>
        <v/>
      </c>
      <c r="GH1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 s="42">
        <f>IF(Tasks[[#This Row],[Task Name]]="","",LEFT(Tasks[[#This Row],[WBS]],FIND(".",Tasks[[#This Row],[WBS]]&amp;".")-1))</f>
        <v/>
      </c>
      <c r="GJ13" s="42">
        <f>IF(AND(Tasks[[#This Row],[Task Name]]&lt;&gt;"",Tasks[[#This Row],[_Level]]=1),Tasks[[#This Row],[_Row]],"")</f>
        <v/>
      </c>
      <c r="GK13" s="42">
        <f>IF(AND(Tasks[[#This Row],[_IsLeaf]]=1,N(Tasks[[#This Row],[_Days]])=0),Tasks[[#This Row],[Planned Finish]]+Tasks[[#This Row],[_Row]]/100000,"")</f>
        <v/>
      </c>
      <c r="GL13" s="42">
        <f>IF(AND(Tasks[[#This Row],[_IsLeaf]]=1,Tasks[[#This Row],[_LeafProgress]]&lt;1,OR(N(Tasks[[#This Row],[Finish Var]])&gt;0,Tasks[[#This Row],[Status]]="Late Start")),MAX(0,Tasks[[#This Row],[Finish Var]])+1-Tasks[[#This Row],[_Row]]/1000000,"")</f>
        <v/>
      </c>
      <c r="GM13" s="42">
        <f>IF(AND(Tasks[[#This Row],[_IsLeaf]]=1,N(Tasks[[#This Row],[Actual Start]])=0,Tasks[[#This Row],[_ShownFcstStart]]&gt;=StatusDate,Tasks[[#This Row],[_ShownFcstStart]]&lt;=LookaheadEnd),Tasks[[#This Row],[_ShownFcstStart]]+Tasks[[#This Row],[_Row]]/100000,"")</f>
        <v/>
      </c>
      <c r="GN13" s="42">
        <f>IF(AND(Tasks[[#This Row],[_IsLeaf]]=1,Tasks[[#This Row],[_LeafProgress]]&lt;1,Tasks[[#This Row],[_ShownFcstFinish]]&gt;=StatusDate,Tasks[[#This Row],[_ShownFcstFinish]]&lt;=LookaheadEnd),Tasks[[#This Row],[_ShownFcstFinish]]+Tasks[[#This Row],[_Row]]/100000,"")</f>
        <v/>
      </c>
      <c r="GO13" s="42">
        <f>IF(Tasks[[#This Row],[_LeafCritical]],Tasks[[#This Row],[_ShownFcstStart]]+Tasks[[#This Row],[_Row]]/100000,"")</f>
        <v/>
      </c>
      <c r="GP13" s="42">
        <f>Tasks[[#This Row],[_LeafWork]]*Tasks[[#This Row],[_LeafProgress]]</f>
        <v/>
      </c>
      <c r="GQ13" s="88">
        <f>IF(AND(Tasks[[#This Row],[_IsLeaf]]=1,Tasks[[#This Row],[_LeafProgress]]&gt;=1),IF(N(Tasks[[#This Row],[Actual Finish]])&gt;0,Tasks[[#This Row],[Actual Finish]],Tasks[[#This Row],[_ShownFcstFinish]]),"")</f>
        <v/>
      </c>
      <c r="GR13" s="42">
        <f>IF(Tasks[[#This Row],[_IsLeaf]]=1,N(Tasks[[#This Row],[Story Points]]),0)</f>
        <v/>
      </c>
      <c r="GS13" s="42">
        <f>""</f>
        <v/>
      </c>
      <c r="GT13" s="42">
        <f>IF(Tasks[[#This Row],[Task Name]]="",FALSE(),AND(Tasks[[#This Row],[_IsLeaf]]=1,N(Tasks[[#This Row],[_Days]])=0))</f>
        <v/>
      </c>
      <c r="GU13" s="88">
        <f>IF(Tasks[[#This Row],[Task Name]]="",0,IF(AND(Tasks[[#This Row],[_IsLeaf]]=1,NOT(Tasks[[#This Row],[_IsMilestone]]),N(Tasks[[#This Row],[Progress]])&gt;0),Tasks[[#This Row],[Start]],0))</f>
        <v/>
      </c>
      <c r="GV13" s="88">
        <f>IF(Tasks[[#This Row],[_DoneFrom]]=0,0,IF(Tasks[[#This Row],[Progress]]&gt;=1,Tasks[[#This Row],[Finish]],MAX(Tasks[[#This Row],[_DoneFrom]],Tasks[[#This Row],[Start]]+ROUND((Tasks[[#This Row],[Finish]]-Tasks[[#This Row],[Start]]+1)*Tasks[[#This Row],[Progress]],0)-1)))</f>
        <v/>
      </c>
      <c r="GW13" s="88">
        <f>IF(Tasks[[#This Row],[Task Name]]="",0,IF(OR(NOT(Tasks[[#This Row],[_IsLeaf]]=1),Tasks[[#This Row],[_IsMilestone]],N(Tasks[[#This Row],[Progress]])&gt;=1),0,IF(Tasks[[#This Row],[_DoneTo]]&gt;0,Tasks[[#This Row],[_DoneTo]]+1,Tasks[[#This Row],[Start]])))</f>
        <v/>
      </c>
      <c r="GX13" s="88">
        <f>IF(Tasks[[#This Row],[_RemFrom]]=0,0,Tasks[[#This Row],[Finish]])</f>
        <v/>
      </c>
      <c r="GY13" s="42">
        <f>IF(Tasks[[#This Row],[Task Name]]="",FALSE(),OR(NOT(BaselineSet),N(Tasks[[#This Row],[Baseline Start]])&gt;0))</f>
        <v/>
      </c>
      <c r="GZ13" s="42">
        <f>IF(AND(Sandbox="Yes",L_PARSE_DURATION(Tasks[[#This Row],[Sandbox Duration]])&lt;&gt;""),L_PARSE_DURATION(Tasks[[#This Row],[Sandbox Duration]]),L_PARSE_DURATION(Tasks[[#This Row],[Duration]]))</f>
        <v/>
      </c>
      <c r="HA1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 s="42">
        <f>IF(Tasks[[#This Row],[_IsLeaf]]=1,Tasks[[#This Row],[_Row]],"")</f>
        <v/>
      </c>
      <c r="HD13" s="42">
        <f>IFERROR(INDEX(Tasks[UID],SMALL(Tasks[_PickKey],Tasks[[#This Row],[_Row]]))&amp;" "&amp;INDEX(Tasks[Task Name],SMALL(Tasks[_PickKey],Tasks[[#This Row],[_Row]])),"")</f>
        <v/>
      </c>
      <c r="HE13" s="42">
        <f>IF(Tasks[[#This Row],[Task Name]]="","",IF(Tasks[[#This Row],[_IsSummary]],NETWORKDAYS.INTL(Tasks[[#This Row],[Start]],Tasks[[#This Row],[Finish]],WorkWeek,Holidays),N(Tasks[[#This Row],[_Days]])))</f>
        <v/>
      </c>
      <c r="HF13" s="42">
        <f>IF(Tasks[[#This Row],[Expected]]="",0,((Tasks[[#This Row],[Pessimistic]]-Tasks[[#This Row],[Optimistic]])/6)^2)</f>
        <v/>
      </c>
      <c r="HG13" s="42">
        <f>IF(Tasks[[#This Row],[Expected]]="",0,Tasks[[#This Row],[Expected]]-N(Tasks[[#This Row],[_Days]]))</f>
        <v/>
      </c>
    </row>
    <row r="14">
      <c r="A14" s="21">
        <f>IF(Tasks[[#This Row],[Task Name]]="","",COUNTA(Tasks[[#Headers],[Task Name]]:Tasks[[#This Row],[Task Name]])-1)</f>
        <v/>
      </c>
      <c r="B14" s="22" t="n">
        <v>20</v>
      </c>
      <c r="C14" s="22" t="n">
        <v>1</v>
      </c>
      <c r="D14" s="23" t="inlineStr">
        <is>
          <t>Test &amp; Release</t>
        </is>
      </c>
      <c r="E14" s="22" t="n"/>
      <c r="F14" s="23" t="n"/>
      <c r="G14" s="22" t="n"/>
      <c r="H14" s="22" t="n"/>
      <c r="I14" s="23" t="n"/>
      <c r="J14" s="22" t="n"/>
      <c r="K14" s="22" t="n"/>
      <c r="L14" s="23" t="n"/>
      <c r="M14" s="22" t="n"/>
      <c r="N14" s="22" t="n"/>
      <c r="O14" s="23" t="n"/>
      <c r="P14" s="22" t="n"/>
      <c r="Q14" s="22" t="n"/>
      <c r="R14" s="23" t="n"/>
      <c r="S14" s="23" t="n"/>
      <c r="T14" s="82" t="n"/>
      <c r="U14" s="23" t="n"/>
      <c r="V14" s="82" t="n"/>
      <c r="W14" s="23" t="n"/>
      <c r="X14" s="82" t="n"/>
      <c r="Y14" s="23" t="n"/>
      <c r="Z14" s="82" t="n"/>
      <c r="AA14" s="23" t="n"/>
      <c r="AB14" s="23" t="n"/>
      <c r="AC14" s="7" t="n"/>
      <c r="AD14" s="7" t="n"/>
      <c r="AE14" s="61">
        <f>IF(Tasks[[#This Row],[Task Name]]="","",IF(Tasks[[#This Row],[_IsSummary]],MIN(INDEX(Tasks[_ShownFcstStart],Tasks[[#This Row],[_Row]]+1):INDEX(Tasks[_ShownFcstStart],Tasks[[#This Row],[_Row]]+Tasks[[#This Row],[_Descendants]])),Tasks[[#This Row],[_ShownFcstStart]]))</f>
        <v/>
      </c>
      <c r="AF14" s="61">
        <f>IF(Tasks[[#This Row],[Task Name]]="","",IF(Tasks[[#This Row],[_IsSummary]],MAX(INDEX(Tasks[_ShownFcstFinish],Tasks[[#This Row],[_Row]]+1):INDEX(Tasks[_ShownFcstFinish],Tasks[[#This Row],[_Row]]+Tasks[[#This Row],[_Descendants]])),Tasks[[#This Row],[_ShownFcstFinish]]))</f>
        <v/>
      </c>
      <c r="AG14" s="21">
        <f>""</f>
        <v/>
      </c>
      <c r="AH14" s="23" t="inlineStr"/>
      <c r="AI1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 s="7" t="n"/>
      <c r="AK14" s="22" t="inlineStr">
        <is>
          <t>Auto</t>
        </is>
      </c>
      <c r="AL14" s="23" t="n"/>
      <c r="AM14" s="7" t="n"/>
      <c r="AN14" s="21">
        <f>IF(Tasks[[#This Row],[Task Name]]="","",IF(Tasks[[#This Row],[Finish]]&gt;=Tasks[[#This Row],[Planned Finish]],NETWORKDAYS.INTL(Tasks[[#This Row],[Planned Finish]],Tasks[[#This Row],[Finish]],WorkWeek,Holidays)-1,1-NETWORKDAYS.INTL(Tasks[[#This Row],[Finish]],Tasks[[#This Row],[Planned Finish]],WorkWeek,Holidays)))</f>
        <v/>
      </c>
      <c r="AO14" s="21">
        <f>IF(Tasks[[#This Row],[Task Name]]="","",IF(Tasks[[#This Row],[Progress]]&gt;=1,"Complete",IF(OR(N(Tasks[[#This Row],[Actual Start]])&gt;0,Tasks[[#This Row],[Progress]]&gt;0),IF(Tasks[[#This Row],[Finish Var]]&gt;0,"Behind","In Progress"),IF(Tasks[[#This Row],[Planned Start]]&lt;StatusDate,"Late Start","Not Started"))))</f>
        <v/>
      </c>
      <c r="AP14" s="21">
        <f>IF(Tasks[[#This Row],[Task Name]]="","",IF(IF(Tasks[[#This Row],[_IsSummary]],COUNTIF(INDEX(Tasks[_LeafCritical],Tasks[[#This Row],[_Row]]+1):INDEX(Tasks[_LeafCritical],Tasks[[#This Row],[_Row]]+Tasks[[#This Row],[_Descendants]]),TRUE())&gt;0,Tasks[[#This Row],[_LeafCritical]]),"Yes",""))</f>
        <v/>
      </c>
      <c r="AQ14" s="61">
        <f>IF(Tasks[[#This Row],[Task Name]]="","",IF(N(Tasks[[#This Row],[Baseline Start]])&gt;0,Tasks[[#This Row],[Baseline Start]],Tasks[[#This Row],[_CalcStart]]))</f>
        <v/>
      </c>
      <c r="AR14" s="61">
        <f>IF(Tasks[[#This Row],[Task Name]]="","",IF(N(Tasks[[#This Row],[Baseline Finish]])&gt;0,Tasks[[#This Row],[Baseline Finish]],Tasks[[#This Row],[_CalcFinish]]))</f>
        <v/>
      </c>
      <c r="AS14" s="21">
        <f>IF(Tasks[[#This Row],[Task Name]]="","",IF(Tasks[[#This Row],[Start]]&gt;=Tasks[[#This Row],[Planned Start]],NETWORKDAYS.INTL(Tasks[[#This Row],[Planned Start]],Tasks[[#This Row],[Start]],WorkWeek,Holidays)-1,1-NETWORKDAYS.INTL(Tasks[[#This Row],[Start]],Tasks[[#This Row],[Planned Start]],WorkWeek,Holidays)))</f>
        <v/>
      </c>
      <c r="AT14" s="61">
        <f>IF(Tasks[[#This Row],[Task Name]]="","",IF(Tasks[[#This Row],[_IsSummary]],MIN(INDEX(Tasks[_LeafLateStart],Tasks[[#This Row],[_Row]]+1):INDEX(Tasks[_LeafLateStart],Tasks[[#This Row],[_Row]]+Tasks[[#This Row],[_Descendants]])),Tasks[[#This Row],[_LeafLateStart]]))</f>
        <v/>
      </c>
      <c r="AU14" s="61">
        <f>IF(Tasks[[#This Row],[Task Name]]="","",IF(Tasks[[#This Row],[_IsSummary]],MAX(INDEX(Tasks[_LeafLateFinish],Tasks[[#This Row],[_Row]]+1):INDEX(Tasks[_LeafLateFinish],Tasks[[#This Row],[_Row]]+Tasks[[#This Row],[_Descendants]])),Tasks[[#This Row],[_LeafLateFinish]]))</f>
        <v/>
      </c>
      <c r="AV14" s="21">
        <f>IF(Tasks[[#This Row],[Task Name]]="","",IF(Tasks[[#This Row],[_IsSummary]],MIN(INDEX(Tasks[_LeafTotalSlack],Tasks[[#This Row],[_Row]]+1):INDEX(Tasks[_LeafTotalSlack],Tasks[[#This Row],[_Row]]+Tasks[[#This Row],[_Descendants]])),Tasks[[#This Row],[_LeafTotalSlack]]))</f>
        <v/>
      </c>
      <c r="AW1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3" t="n"/>
      <c r="BA1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 s="21">
        <f>IF(Tasks[[#This Row],[Task Name]]="","",IF(Tasks[[#This Row],[_Level]]&lt;=OutlineShowLevel,"Yes","No"))</f>
        <v/>
      </c>
      <c r="BE14" s="84">
        <f>IF(Tasks[[#This Row],[Task Name]]="","",IF(Tasks[[#This Row],[_IsSummary]],SUM(INDEX(Tasks[_LeafTotalWork],Tasks[[#This Row],[_Row]]+1):INDEX(Tasks[_LeafTotalWork],Tasks[[#This Row],[_Row]]+Tasks[[#This Row],[_Descendants]])),Tasks[[#This Row],[_LeafTotalWork]]))</f>
        <v/>
      </c>
      <c r="BF14" s="23" t="inlineStr">
        <is>
          <t>Taylor Morgan</t>
        </is>
      </c>
      <c r="BG1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f>""</f>
        <v/>
      </c>
      <c r="BI14" s="85" t="n"/>
      <c r="BJ14" s="22" t="n"/>
      <c r="BK14" s="21">
        <f>IF(OR(Tasks[[#This Row],[Task Name]]="",Tasks[[#This Row],[Baseline Duration]]=""),"",Tasks[[#This Row],[_SpanDays]]-N(Tasks[[#This Row],[Baseline Duration]]))</f>
        <v/>
      </c>
      <c r="BL14" s="84">
        <f>IF(OR(Tasks[[#This Row],[Task Name]]="",Tasks[[#This Row],[Baseline Work]]=""),"",Tasks[[#This Row],[Work]]-N(Tasks[[#This Row],[Baseline Work]]))</f>
        <v/>
      </c>
      <c r="BM14" s="61">
        <f>IF(Tasks[[#This Row],[Task Name]]="","",IF(OR(TakeBaseline="Yes",N(Tasks[[#This Row],[Baseline Start]])=0),Tasks[[#This Row],[Start]],Tasks[[#This Row],[Baseline Start]]))</f>
        <v/>
      </c>
      <c r="BN14" s="61">
        <f>IF(Tasks[[#This Row],[Task Name]]="","",IF(OR(TakeBaseline="Yes",N(Tasks[[#This Row],[Baseline Finish]])=0),Tasks[[#This Row],[Finish]],Tasks[[#This Row],[Baseline Finish]]))</f>
        <v/>
      </c>
      <c r="BO14" s="21">
        <f>IF(Tasks[[#This Row],[Task Name]]="","",IF(OR(TakeBaseline="Yes",N(Tasks[[#This Row],[Baseline Duration]])=0),Tasks[[#This Row],[_SpanDays]],Tasks[[#This Row],[Baseline Duration]]))</f>
        <v/>
      </c>
      <c r="BP14" s="84">
        <f>IF(Tasks[[#This Row],[Task Name]]="","",IF(OR(TakeBaseline="Yes",N(Tasks[[#This Row],[Baseline Work]])=0),Tasks[[#This Row],[Work]],Tasks[[#This Row],[Baseline Work]]))</f>
        <v/>
      </c>
      <c r="BQ14" s="7" t="n">
        <v>46297</v>
      </c>
      <c r="BR14" s="7" t="n">
        <v>46318</v>
      </c>
      <c r="BS14" s="22" t="n">
        <v>16</v>
      </c>
      <c r="BT14" s="86" t="n">
        <v>128</v>
      </c>
      <c r="BU14" s="23" t="n"/>
      <c r="BV14" s="23" t="n"/>
      <c r="BW14" s="23" t="n"/>
      <c r="BX14" s="87">
        <f>IF(AND(Tasks[[#This Row],[_IsLeaf]]=1,ISNUMBER(Tasks[[#This Row],[Optimistic]]),ISNUMBER(Tasks[[#This Row],[Pessimistic]])),ROUND((Tasks[[#This Row],[Optimistic]]+4*N(Tasks[[#This Row],[_Days]])+Tasks[[#This Row],[Pessimistic]])/6,1),"")</f>
        <v/>
      </c>
      <c r="BY14" s="85" t="n"/>
      <c r="BZ14" s="85" t="n"/>
      <c r="CA14" s="22" t="n"/>
      <c r="CB14" s="42">
        <f>IF(Tasks[[#This Row],[Task Name]]="","",MAX(1,N(Tasks[[#This Row],[Level]])))</f>
        <v/>
      </c>
      <c r="CC14" s="42">
        <f>ROW()-ROW(Tasks[[#Headers],[ID]])</f>
        <v/>
      </c>
      <c r="CD14" s="42">
        <f>IF(OR(Tasks[[#This Row],[Task Name]]="",Tasks[[#This Row],[_Level]]&lt;=1),0,IFERROR(LOOKUP(2,1/(Tasks[[#Headers],[_Level]]:Tasks[[#This Row],[_Level]]=Tasks[[#This Row],[_Level]]-1),ROW(Tasks[[#Headers],[_Level]]:Tasks[[#This Row],[_Level]])),0))</f>
        <v/>
      </c>
      <c r="CE14" s="42">
        <f>IFERROR(N(INDEX(Tasks[_Level],Tasks[[#This Row],[_Row]]+1)),0)</f>
        <v/>
      </c>
      <c r="CF14" s="42">
        <f>AND(Tasks[[#This Row],[Task Name]]&lt;&gt;"",Tasks[[#This Row],[_NextLevel]]&gt;Tasks[[#This Row],[_Level]])</f>
        <v/>
      </c>
      <c r="CG14" s="42">
        <f>IF(Tasks[[#This Row],[_IsSummary]],COUNTIF(Tasks[WBS],Tasks[[#This Row],[WBS]]&amp;".*"),0)</f>
        <v/>
      </c>
      <c r="CH14" s="42">
        <f>IF(AND(Tasks[[#This Row],[Task Name]]&lt;&gt;"",NOT(Tasks[[#This Row],[_IsSummary]])),1,0)</f>
        <v/>
      </c>
      <c r="CI14" s="42">
        <f>IF(N(Tasks[[#This Row],[_Pred1UID]])=0,0,IFERROR(MATCH(Tasks[[#This Row],[_Pred1UID]],Tasks[UID],0),-1))</f>
        <v/>
      </c>
      <c r="CJ14" s="42">
        <f>IF(N(Tasks[[#This Row],[_Pred2UID]])=0,0,IFERROR(MATCH(Tasks[[#This Row],[_Pred2UID]],Tasks[UID],0),-1))</f>
        <v/>
      </c>
      <c r="CK14" s="42">
        <f>IF(N(Tasks[[#This Row],[_Pred3UID]])=0,0,IFERROR(MATCH(Tasks[[#This Row],[_Pred3UID]],Tasks[UID],0),-1))</f>
        <v/>
      </c>
      <c r="CL14" s="42">
        <f>IF(N(Tasks[[#This Row],[_Pred4UID]])=0,0,IFERROR(MATCH(Tasks[[#This Row],[_Pred4UID]],Tasks[UID],0),-1))</f>
        <v/>
      </c>
      <c r="CM1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 s="88">
        <f>IF(N(Tasks[[#This Row],[Constraint Date]])=0,0,IF(AND(OR(Tasks[[#This Row],[_ConstraintCode]]=3,Tasks[[#This Row],[_ConstraintCode]]=6,Tasks[[#This Row],[_ConstraintCode]]=7),N(Tasks[[#This Row],[_Days]])&gt;1),WORKDAY.INTL(N(Tasks[[#This Row],[Constraint Date]]),-(N(Tasks[[#This Row],[_Days]])-1),WorkWeek,Holidays),N(Tasks[[#This Row],[Constraint Date]])))</f>
        <v/>
      </c>
      <c r="CO14" s="88">
        <f>IF(OR(Tasks[[#This Row],[_ConstraintCode]]=2,Tasks[[#This Row],[_ConstraintCode]]=3,Tasks[[#This Row],[_ConstraintCode]]=4,Tasks[[#This Row],[_ConstraintCode]]=6),Tasks[[#This Row],[_ConstraintStart]],0)</f>
        <v/>
      </c>
      <c r="CP14" s="88">
        <f>IF(OR(Tasks[[#This Row],[_ConstraintCode]]=2,Tasks[[#This Row],[_ConstraintCode]]=3,Tasks[[#This Row],[_ConstraintCode]]=5,Tasks[[#This Row],[_ConstraintCode]]=7),Tasks[[#This Row],[_ConstraintStart]],2958465)</f>
        <v/>
      </c>
      <c r="CQ1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 s="88">
        <f>IF(NOT(Tasks[[#This Row],[_IsLeaf]]=1),"",IF(N(Tasks[[#This Row],[_Days]])&lt;=0,Tasks[[#This Row],[_LeafCalcStart]],WORKDAY.INTL(Tasks[[#This Row],[_LeafCalcStart]],Tasks[[#This Row],[_Days]]-1,WorkWeek,Holidays)))</f>
        <v/>
      </c>
      <c r="CS1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 s="42">
        <f>IF(Tasks[[#This Row],[_Predecessors]]="","",TRIM(MID(SUBSTITUTE(SUBSTITUTE(SUBSTITUTE(UPPER(Tasks[[#This Row],[_Predecessors]]),";",",")," ",""),",",REPT(" ",99)),1,99)))</f>
        <v/>
      </c>
      <c r="CV14" s="42">
        <f>IF(Tasks[[#This Row],[_Pred1Text]]="","",IFERROR(VALUE(LEFT(Tasks[[#This Row],[_Pred1Text]],MIN(FIND("F",Tasks[[#This Row],[_Pred1Text]]&amp;"F"),FIND("S",Tasks[[#This Row],[_Pred1Text]]&amp;"S"),FIND("+",Tasks[[#This Row],[_Pred1Text]]&amp;"+"),FIND("-",Tasks[[#This Row],[_Pred1Text]]&amp;"-"))-1)),""))</f>
        <v/>
      </c>
      <c r="CW1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 s="42">
        <f>IF(Tasks[[#This Row],[_Pred1Text]]="","",TRIM(MID(SUBSTITUTE(SUBSTITUTE(SUBSTITUTE(UPPER(Tasks[[#This Row],[_Predecessors]]),";",",")," ",""),",",REPT(" ",99)),100,99)))</f>
        <v/>
      </c>
      <c r="CZ14" s="42">
        <f>IF(Tasks[[#This Row],[_Pred2Text]]="","",IFERROR(VALUE(LEFT(Tasks[[#This Row],[_Pred2Text]],MIN(FIND("F",Tasks[[#This Row],[_Pred2Text]]&amp;"F"),FIND("S",Tasks[[#This Row],[_Pred2Text]]&amp;"S"),FIND("+",Tasks[[#This Row],[_Pred2Text]]&amp;"+"),FIND("-",Tasks[[#This Row],[_Pred2Text]]&amp;"-"))-1)),""))</f>
        <v/>
      </c>
      <c r="DA1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 s="42">
        <f>IF(Tasks[[#This Row],[_Pred2Text]]="","",TRIM(MID(SUBSTITUTE(SUBSTITUTE(SUBSTITUTE(UPPER(Tasks[[#This Row],[_Predecessors]]),";",",")," ",""),",",REPT(" ",99)),199,99)))</f>
        <v/>
      </c>
      <c r="DD14" s="42">
        <f>IF(Tasks[[#This Row],[_Pred3Text]]="","",IFERROR(VALUE(LEFT(Tasks[[#This Row],[_Pred3Text]],MIN(FIND("F",Tasks[[#This Row],[_Pred3Text]]&amp;"F"),FIND("S",Tasks[[#This Row],[_Pred3Text]]&amp;"S"),FIND("+",Tasks[[#This Row],[_Pred3Text]]&amp;"+"),FIND("-",Tasks[[#This Row],[_Pred3Text]]&amp;"-"))-1)),""))</f>
        <v/>
      </c>
      <c r="DE1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 s="42">
        <f>IF(Tasks[[#This Row],[_Pred3Text]]="","",TRIM(MID(SUBSTITUTE(SUBSTITUTE(SUBSTITUTE(UPPER(Tasks[[#This Row],[_Predecessors]]),";",",")," ",""),",",REPT(" ",99)),298,99)))</f>
        <v/>
      </c>
      <c r="DH14" s="42">
        <f>IF(Tasks[[#This Row],[_Pred4Text]]="","",IFERROR(VALUE(LEFT(Tasks[[#This Row],[_Pred4Text]],MIN(FIND("F",Tasks[[#This Row],[_Pred4Text]]&amp;"F"),FIND("S",Tasks[[#This Row],[_Pred4Text]]&amp;"S"),FIND("+",Tasks[[#This Row],[_Pred4Text]]&amp;"+"),FIND("-",Tasks[[#This Row],[_Pred4Text]]&amp;"-"))-1)),""))</f>
        <v/>
      </c>
      <c r="DI1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 s="42">
        <f>IF(OR(Tasks[[#This Row],[Task Name]]="",Tasks[[#This Row],[_Resources]]=""),"",TRIM(MID(SUBSTITUTE(Tasks[[#This Row],[_Resources]],",",REPT(" ",99)),1,99)))</f>
        <v/>
      </c>
      <c r="DL14" s="42">
        <f>IF(Tasks[[#This Row],[_Res1Text]]="","",TRIM(MID(SUBSTITUTE(Tasks[[#This Row],[_Resources]],",",REPT(" ",99)),100,99)))</f>
        <v/>
      </c>
      <c r="DM14" s="42">
        <f>IF(Tasks[[#This Row],[_Res2Text]]="","",TRIM(MID(SUBSTITUTE(Tasks[[#This Row],[_Resources]],",",REPT(" ",99)),199,99)))</f>
        <v/>
      </c>
      <c r="DN14" s="42">
        <f>IF(Tasks[[#This Row],[_Res3Text]]="","",TRIM(MID(SUBSTITUTE(Tasks[[#This Row],[_Resources]],",",REPT(" ",99)),298,99)))</f>
        <v/>
      </c>
      <c r="DO14" s="42">
        <f>IF(Tasks[[#This Row],[_Res1Text]]="",0,IFERROR(MATCH(TRIM(LEFT(Tasks[[#This Row],[_Res1Text]],FIND("[",Tasks[[#This Row],[_Res1Text]]&amp;"[")-1)),res_Name,0),IFERROR(MATCH(TRIM(LEFT(Tasks[[#This Row],[_Res1Text]],FIND("[",Tasks[[#This Row],[_Res1Text]]&amp;"[")-1)),res_Initials,0),0)))</f>
        <v/>
      </c>
      <c r="DP14" s="42">
        <f>IF(Tasks[[#This Row],[_Res2Text]]="",0,IFERROR(MATCH(TRIM(LEFT(Tasks[[#This Row],[_Res2Text]],FIND("[",Tasks[[#This Row],[_Res2Text]]&amp;"[")-1)),res_Name,0),IFERROR(MATCH(TRIM(LEFT(Tasks[[#This Row],[_Res2Text]],FIND("[",Tasks[[#This Row],[_Res2Text]]&amp;"[")-1)),res_Initials,0),0)))</f>
        <v/>
      </c>
      <c r="DQ14" s="42">
        <f>IF(Tasks[[#This Row],[_Res3Text]]="",0,IFERROR(MATCH(TRIM(LEFT(Tasks[[#This Row],[_Res3Text]],FIND("[",Tasks[[#This Row],[_Res3Text]]&amp;"[")-1)),res_Name,0),IFERROR(MATCH(TRIM(LEFT(Tasks[[#This Row],[_Res3Text]],FIND("[",Tasks[[#This Row],[_Res3Text]]&amp;"[")-1)),res_Initials,0),0)))</f>
        <v/>
      </c>
      <c r="DR14" s="42">
        <f>IF(Tasks[[#This Row],[_Res4Text]]="",0,IFERROR(MATCH(TRIM(LEFT(Tasks[[#This Row],[_Res4Text]],FIND("[",Tasks[[#This Row],[_Res4Text]]&amp;"[")-1)),res_Name,0),IFERROR(MATCH(TRIM(LEFT(Tasks[[#This Row],[_Res4Text]],FIND("[",Tasks[[#This Row],[_Res4Text]]&amp;"[")-1)),res_Initials,0),0)))</f>
        <v/>
      </c>
      <c r="DS14" s="42">
        <f>IF(Tasks[[#This Row],[_Res1Text]]="","",IF(Tasks[[#This Row],[_Res1Row]]&gt;0,INDEX(res_Name,Tasks[[#This Row],[_Res1Row]]),TRIM(LEFT(Tasks[[#This Row],[_Res1Text]],FIND("[",Tasks[[#This Row],[_Res1Text]]&amp;"[")-1))))</f>
        <v/>
      </c>
      <c r="DT1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 s="42">
        <f>IF(NOT(Tasks[[#This Row],[_IsLeaf]]=1),0,(Tasks[[#This Row],[_Resource1]]&lt;&gt;"")+(Tasks[[#This Row],[_Res2]]&lt;&gt;"")+(Tasks[[#This Row],[_Res3]]&lt;&gt;"")+(Tasks[[#This Row],[_Res4]]&lt;&gt;""))</f>
        <v/>
      </c>
      <c r="DV14" s="42">
        <f>IF(Tasks[[#This Row],[_Res2Text]]="","",IF(Tasks[[#This Row],[_Res2Row]]&gt;0,INDEX(res_Name,Tasks[[#This Row],[_Res2Row]]),TRIM(LEFT(Tasks[[#This Row],[_Res2Text]],FIND("[",Tasks[[#This Row],[_Res2Text]]&amp;"[")-1))))</f>
        <v/>
      </c>
      <c r="DW1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 s="42">
        <f>IF(OR(NOT(Tasks[[#This Row],[_IsLeaf]]=1),Tasks[[#This Row],[_Res2Row]]=0),0,N(Tasks[[#This Row],[_Days]])*HoursPerDay*IF(Tasks[[#This Row],[_Res2Units]]="",DefaultUnits,Tasks[[#This Row],[_Res2Units]]))</f>
        <v/>
      </c>
      <c r="DY14" s="42">
        <f>IF(AND(AND(Tasks[[#This Row],[_IsLeaf]]=1,Tasks[[#This Row],[_LeafTotalWork]]&gt;0),Tasks[[#This Row],[_Res2Work]]&gt;0),Tasks[[#This Row],[_Res2Work]]/(Tasks[[#This Row],[_FinishWorkday]]-Tasks[[#This Row],[_StartWorkday]]+1),0)</f>
        <v/>
      </c>
      <c r="DZ14" s="42">
        <f>Tasks[[#This Row],[_Res2WorkPerWD]]*MAX(0,Tasks[[#This Row],[_StartWorkday]]-1)</f>
        <v/>
      </c>
      <c r="EA14" s="42">
        <f>Tasks[[#This Row],[_Res2Work]]*Tasks[[#This Row],[_LeafProgress]]</f>
        <v/>
      </c>
      <c r="EB14" s="42">
        <f>IF(Tasks[[#This Row],[_Res3Text]]="","",IF(Tasks[[#This Row],[_Res3Row]]&gt;0,INDEX(res_Name,Tasks[[#This Row],[_Res3Row]]),TRIM(LEFT(Tasks[[#This Row],[_Res3Text]],FIND("[",Tasks[[#This Row],[_Res3Text]]&amp;"[")-1))))</f>
        <v/>
      </c>
      <c r="EC1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 s="42">
        <f>IF(OR(NOT(Tasks[[#This Row],[_IsLeaf]]=1),Tasks[[#This Row],[_Res3Row]]=0),0,N(Tasks[[#This Row],[_Days]])*HoursPerDay*IF(Tasks[[#This Row],[_Res3Units]]="",DefaultUnits,Tasks[[#This Row],[_Res3Units]]))</f>
        <v/>
      </c>
      <c r="EE14" s="42">
        <f>IF(AND(AND(Tasks[[#This Row],[_IsLeaf]]=1,Tasks[[#This Row],[_LeafTotalWork]]&gt;0),Tasks[[#This Row],[_Res3Work]]&gt;0),Tasks[[#This Row],[_Res3Work]]/(Tasks[[#This Row],[_FinishWorkday]]-Tasks[[#This Row],[_StartWorkday]]+1),0)</f>
        <v/>
      </c>
      <c r="EF14" s="42">
        <f>Tasks[[#This Row],[_Res3WorkPerWD]]*MAX(0,Tasks[[#This Row],[_StartWorkday]]-1)</f>
        <v/>
      </c>
      <c r="EG14" s="42">
        <f>Tasks[[#This Row],[_Res3Work]]*Tasks[[#This Row],[_LeafProgress]]</f>
        <v/>
      </c>
      <c r="EH14" s="42">
        <f>IF(Tasks[[#This Row],[_Res4Text]]="","",IF(Tasks[[#This Row],[_Res4Row]]&gt;0,INDEX(res_Name,Tasks[[#This Row],[_Res4Row]]),TRIM(LEFT(Tasks[[#This Row],[_Res4Text]],FIND("[",Tasks[[#This Row],[_Res4Text]]&amp;"[")-1))))</f>
        <v/>
      </c>
      <c r="EI1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 s="42">
        <f>IF(OR(NOT(Tasks[[#This Row],[_IsLeaf]]=1),Tasks[[#This Row],[_Res4Row]]=0),0,N(Tasks[[#This Row],[_Days]])*HoursPerDay*IF(Tasks[[#This Row],[_Res4Units]]="",DefaultUnits,Tasks[[#This Row],[_Res4Units]]))</f>
        <v/>
      </c>
      <c r="EK14" s="42">
        <f>IF(AND(AND(Tasks[[#This Row],[_IsLeaf]]=1,Tasks[[#This Row],[_LeafTotalWork]]&gt;0),Tasks[[#This Row],[_Res4Work]]&gt;0),Tasks[[#This Row],[_Res4Work]]/(Tasks[[#This Row],[_FinishWorkday]]-Tasks[[#This Row],[_StartWorkday]]+1),0)</f>
        <v/>
      </c>
      <c r="EL14" s="42">
        <f>Tasks[[#This Row],[_Res4WorkPerWD]]*MAX(0,Tasks[[#This Row],[_StartWorkday]]-1)</f>
        <v/>
      </c>
      <c r="EM14" s="42">
        <f>Tasks[[#This Row],[_Res4Work]]*Tasks[[#This Row],[_LeafProgress]]</f>
        <v/>
      </c>
      <c r="EN14" s="42">
        <f>IF(ISNUMBER(Tasks[[#This Row],[% Complete]]),Tasks[[#This Row],[% Complete]],IF(Tasks[[#This Row],[Stage]]="",0,IFERROR(INDEX(stg_Pct,MATCH(Tasks[[#This Row],[Stage]],stg_Name,0)),0)))</f>
        <v/>
      </c>
      <c r="EO14" s="42">
        <f>IF(NOT(Tasks[[#This Row],[_IsLeaf]]=1),0,IF(N(Tasks[[#This Row],[Actual Finish]])&gt;0,1,MIN(1,Tasks[[#This Row],[_Pct]])))</f>
        <v/>
      </c>
      <c r="EP14" s="42">
        <f>IF(OR(NOT(Tasks[[#This Row],[_IsLeaf]]=1),Tasks[[#This Row],[_Res1Row]]=0),0,N(Tasks[[#This Row],[_Days]])*HoursPerDay*IF(Tasks[[#This Row],[_Units1]]="",DefaultUnits,Tasks[[#This Row],[_Units1]]))</f>
        <v/>
      </c>
      <c r="EQ14" s="42">
        <f>Tasks[[#This Row],[_LeafWork]]+Tasks[[#This Row],[_Res2Work]]+Tasks[[#This Row],[_Res3Work]]+Tasks[[#This Row],[_Res4Work]]</f>
        <v/>
      </c>
      <c r="ER1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 s="42">
        <f>IF(NOT(Tasks[[#This Row],[_IsLeaf]]=1),0,MAX(_xlfn.MAXIFS(Tasks[_Row],Tasks[_Pred1UID],Tasks[[#This Row],[UID]]),_xlfn.MAXIFS(Tasks[_Row],Tasks[_Pred2UID],Tasks[[#This Row],[UID]]),_xlfn.MAXIFS(Tasks[_Row],Tasks[_Pred3UID],Tasks[[#This Row],[UID]]),_xlfn.MAXIFS(Tasks[_Row],Tasks[_Pred4UID],Tasks[[#This Row],[UID]])))</f>
        <v/>
      </c>
      <c r="FA1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 s="88">
        <f>IF(NOT(Tasks[[#This Row],[_IsLeaf]]=1),"",IF(N(Tasks[[#This Row],[_Days]])&lt;=0,Tasks[[#This Row],[_LeafLateFinish]],WORKDAY.INTL(Tasks[[#This Row],[_LeafLateFinish]],-(Tasks[[#This Row],[_Days]]-1),WorkWeek,Holidays)))</f>
        <v/>
      </c>
      <c r="FD1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 s="42">
        <f>AND(Tasks[[#This Row],[_IsLeaf]]=1,Tasks[[#This Row],[_LeafProgress]]&lt;1,N(Tasks[[#This Row],[_LeafTotalSlack]])&lt;=CriticalSlackDays)</f>
        <v/>
      </c>
      <c r="FF14" s="42">
        <f>IF(AND(Tasks[[#This Row],[_IsLeaf]]=1,Tasks[[#This Row],[_ConstraintCode]]=1,Tasks[[#This Row],[Mode]]&lt;&gt;"Manual",N(Tasks[[#This Row],[Actual Start]])=0),MAX(0,N(Tasks[[#This Row],[Free Slack]])),0)</f>
        <v/>
      </c>
      <c r="FG14" s="88">
        <f>IF(NOT(Tasks[[#This Row],[_IsLeaf]]=1),"",IF(Tasks[[#This Row],[_AlapShift]]=0,Tasks[[#This Row],[_LeafCalcStart]],WORKDAY.INTL(Tasks[[#This Row],[_LeafCalcStart]],Tasks[[#This Row],[_AlapShift]],WorkWeek,Holidays)))</f>
        <v/>
      </c>
      <c r="FH14" s="88">
        <f>IF(NOT(Tasks[[#This Row],[_IsLeaf]]=1),"",IF(Tasks[[#This Row],[_AlapShift]]=0,Tasks[[#This Row],[_LeafCalcFinish]],WORKDAY.INTL(Tasks[[#This Row],[_LeafCalcFinish]],Tasks[[#This Row],[_AlapShift]],WorkWeek,Holidays)))</f>
        <v/>
      </c>
      <c r="FI14" s="88">
        <f>IF(NOT(Tasks[[#This Row],[_IsLeaf]]=1),"",IF(Tasks[[#This Row],[_AlapShift]]=0,Tasks[[#This Row],[_LeafFcstStart]],WORKDAY.INTL(Tasks[[#This Row],[_LeafFcstStart]],Tasks[[#This Row],[_AlapShift]],WorkWeek,Holidays)))</f>
        <v/>
      </c>
      <c r="FJ14" s="88">
        <f>IF(NOT(Tasks[[#This Row],[_IsLeaf]]=1),"",IF(Tasks[[#This Row],[_AlapShift]]=0,Tasks[[#This Row],[_LeafFcstFinish]],WORKDAY.INTL(Tasks[[#This Row],[_LeafFcstFinish]],Tasks[[#This Row],[_AlapShift]],WorkWeek,Holidays)))</f>
        <v/>
      </c>
      <c r="FK14" s="88">
        <f>IF(Tasks[[#This Row],[Task Name]]="","",IF(Tasks[[#This Row],[_IsSummary]],MIN(INDEX(Tasks[_ShownCalcStart],Tasks[[#This Row],[_Row]]+1):INDEX(Tasks[_ShownCalcStart],Tasks[[#This Row],[_Row]]+Tasks[[#This Row],[_Descendants]])),Tasks[[#This Row],[_ShownCalcStart]]))</f>
        <v/>
      </c>
      <c r="FL14" s="88">
        <f>IF(Tasks[[#This Row],[Task Name]]="","",IF(Tasks[[#This Row],[_IsSummary]],MAX(INDEX(Tasks[_ShownCalcFinish],Tasks[[#This Row],[_Row]]+1):INDEX(Tasks[_ShownCalcFinish],Tasks[[#This Row],[_Row]]+Tasks[[#This Row],[_Descendants]])),Tasks[[#This Row],[_ShownCalcFinish]]))</f>
        <v/>
      </c>
      <c r="FM1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 s="42">
        <f>IF(AND(Tasks[[#This Row],[_IsLeaf]]=1,Tasks[[#This Row],[_LeafTotalWork]]&gt;0),NETWORKDAYS.INTL(ProjectStart,Tasks[[#This Row],[_ShownFcstStart]],WorkWeek,Holidays),0)</f>
        <v/>
      </c>
      <c r="FZ14" s="42">
        <f>IF(AND(Tasks[[#This Row],[_IsLeaf]]=1,Tasks[[#This Row],[_LeafTotalWork]]&gt;0),MAX(Tasks[[#This Row],[_StartWorkday]],NETWORKDAYS.INTL(ProjectStart,Tasks[[#This Row],[_ShownFcstFinish]],WorkWeek,Holidays)),0)</f>
        <v/>
      </c>
      <c r="GA14" s="42">
        <f>IF(AND(Tasks[[#This Row],[_IsLeaf]]=1,Tasks[[#This Row],[_LeafTotalWork]]&gt;0),Tasks[[#This Row],[_LeafWork]]/(Tasks[[#This Row],[_FinishWorkday]]-Tasks[[#This Row],[_StartWorkday]]+1),0)</f>
        <v/>
      </c>
      <c r="GB14" s="42">
        <f>Tasks[[#This Row],[_WorkPerWorkday]]*(Tasks[[#This Row],[_StartWorkday]]-1)</f>
        <v/>
      </c>
      <c r="GC14" s="42">
        <f>IF(Tasks[[#This Row],[_IsLeaf]]=1,MAX(N(Tasks[[#This Row],[_Days]]),0.1),0)</f>
        <v/>
      </c>
      <c r="GD14" s="42">
        <f>Tasks[[#This Row],[_WeightDur]]*Tasks[[#This Row],[_LeafProgress]]</f>
        <v/>
      </c>
      <c r="GE14" s="42">
        <f>Tasks[[#This Row],[_WeightDur]]*Tasks[[#This Row],[_PlannedPct]]</f>
        <v/>
      </c>
      <c r="GF1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 s="42">
        <f>IF(AND(Tasks[[#This Row],[_IsLeaf]]=1,N(Tasks[[#This Row],[_Days]])=0,Tasks[[#This Row],[_LeafProgress]]&lt;1),Tasks[[#This Row],[_ShownFcstFinish]]+Tasks[[#This Row],[_Row]]/100000,"")</f>
        <v/>
      </c>
      <c r="GH1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 s="42">
        <f>IF(Tasks[[#This Row],[Task Name]]="","",LEFT(Tasks[[#This Row],[WBS]],FIND(".",Tasks[[#This Row],[WBS]]&amp;".")-1))</f>
        <v/>
      </c>
      <c r="GJ14" s="42">
        <f>IF(AND(Tasks[[#This Row],[Task Name]]&lt;&gt;"",Tasks[[#This Row],[_Level]]=1),Tasks[[#This Row],[_Row]],"")</f>
        <v/>
      </c>
      <c r="GK14" s="42">
        <f>IF(AND(Tasks[[#This Row],[_IsLeaf]]=1,N(Tasks[[#This Row],[_Days]])=0),Tasks[[#This Row],[Planned Finish]]+Tasks[[#This Row],[_Row]]/100000,"")</f>
        <v/>
      </c>
      <c r="GL14" s="42">
        <f>IF(AND(Tasks[[#This Row],[_IsLeaf]]=1,Tasks[[#This Row],[_LeafProgress]]&lt;1,OR(N(Tasks[[#This Row],[Finish Var]])&gt;0,Tasks[[#This Row],[Status]]="Late Start")),MAX(0,Tasks[[#This Row],[Finish Var]])+1-Tasks[[#This Row],[_Row]]/1000000,"")</f>
        <v/>
      </c>
      <c r="GM14" s="42">
        <f>IF(AND(Tasks[[#This Row],[_IsLeaf]]=1,N(Tasks[[#This Row],[Actual Start]])=0,Tasks[[#This Row],[_ShownFcstStart]]&gt;=StatusDate,Tasks[[#This Row],[_ShownFcstStart]]&lt;=LookaheadEnd),Tasks[[#This Row],[_ShownFcstStart]]+Tasks[[#This Row],[_Row]]/100000,"")</f>
        <v/>
      </c>
      <c r="GN14" s="42">
        <f>IF(AND(Tasks[[#This Row],[_IsLeaf]]=1,Tasks[[#This Row],[_LeafProgress]]&lt;1,Tasks[[#This Row],[_ShownFcstFinish]]&gt;=StatusDate,Tasks[[#This Row],[_ShownFcstFinish]]&lt;=LookaheadEnd),Tasks[[#This Row],[_ShownFcstFinish]]+Tasks[[#This Row],[_Row]]/100000,"")</f>
        <v/>
      </c>
      <c r="GO14" s="42">
        <f>IF(Tasks[[#This Row],[_LeafCritical]],Tasks[[#This Row],[_ShownFcstStart]]+Tasks[[#This Row],[_Row]]/100000,"")</f>
        <v/>
      </c>
      <c r="GP14" s="42">
        <f>Tasks[[#This Row],[_LeafWork]]*Tasks[[#This Row],[_LeafProgress]]</f>
        <v/>
      </c>
      <c r="GQ14" s="88">
        <f>IF(AND(Tasks[[#This Row],[_IsLeaf]]=1,Tasks[[#This Row],[_LeafProgress]]&gt;=1),IF(N(Tasks[[#This Row],[Actual Finish]])&gt;0,Tasks[[#This Row],[Actual Finish]],Tasks[[#This Row],[_ShownFcstFinish]]),"")</f>
        <v/>
      </c>
      <c r="GR14" s="42">
        <f>IF(Tasks[[#This Row],[_IsLeaf]]=1,N(Tasks[[#This Row],[Story Points]]),0)</f>
        <v/>
      </c>
      <c r="GS14" s="42">
        <f>""</f>
        <v/>
      </c>
      <c r="GT14" s="42">
        <f>IF(Tasks[[#This Row],[Task Name]]="",FALSE(),AND(Tasks[[#This Row],[_IsLeaf]]=1,N(Tasks[[#This Row],[_Days]])=0))</f>
        <v/>
      </c>
      <c r="GU14" s="88">
        <f>IF(Tasks[[#This Row],[Task Name]]="",0,IF(AND(Tasks[[#This Row],[_IsLeaf]]=1,NOT(Tasks[[#This Row],[_IsMilestone]]),N(Tasks[[#This Row],[Progress]])&gt;0),Tasks[[#This Row],[Start]],0))</f>
        <v/>
      </c>
      <c r="GV14" s="88">
        <f>IF(Tasks[[#This Row],[_DoneFrom]]=0,0,IF(Tasks[[#This Row],[Progress]]&gt;=1,Tasks[[#This Row],[Finish]],MAX(Tasks[[#This Row],[_DoneFrom]],Tasks[[#This Row],[Start]]+ROUND((Tasks[[#This Row],[Finish]]-Tasks[[#This Row],[Start]]+1)*Tasks[[#This Row],[Progress]],0)-1)))</f>
        <v/>
      </c>
      <c r="GW14" s="88">
        <f>IF(Tasks[[#This Row],[Task Name]]="",0,IF(OR(NOT(Tasks[[#This Row],[_IsLeaf]]=1),Tasks[[#This Row],[_IsMilestone]],N(Tasks[[#This Row],[Progress]])&gt;=1),0,IF(Tasks[[#This Row],[_DoneTo]]&gt;0,Tasks[[#This Row],[_DoneTo]]+1,Tasks[[#This Row],[Start]])))</f>
        <v/>
      </c>
      <c r="GX14" s="88">
        <f>IF(Tasks[[#This Row],[_RemFrom]]=0,0,Tasks[[#This Row],[Finish]])</f>
        <v/>
      </c>
      <c r="GY14" s="42">
        <f>IF(Tasks[[#This Row],[Task Name]]="",FALSE(),OR(NOT(BaselineSet),N(Tasks[[#This Row],[Baseline Start]])&gt;0))</f>
        <v/>
      </c>
      <c r="GZ14" s="42">
        <f>IF(AND(Sandbox="Yes",L_PARSE_DURATION(Tasks[[#This Row],[Sandbox Duration]])&lt;&gt;""),L_PARSE_DURATION(Tasks[[#This Row],[Sandbox Duration]]),L_PARSE_DURATION(Tasks[[#This Row],[Duration]]))</f>
        <v/>
      </c>
      <c r="HA1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 s="42">
        <f>IF(Tasks[[#This Row],[_IsLeaf]]=1,Tasks[[#This Row],[_Row]],"")</f>
        <v/>
      </c>
      <c r="HD14" s="42">
        <f>IFERROR(INDEX(Tasks[UID],SMALL(Tasks[_PickKey],Tasks[[#This Row],[_Row]]))&amp;" "&amp;INDEX(Tasks[Task Name],SMALL(Tasks[_PickKey],Tasks[[#This Row],[_Row]])),"")</f>
        <v/>
      </c>
      <c r="HE14" s="42">
        <f>IF(Tasks[[#This Row],[Task Name]]="","",IF(Tasks[[#This Row],[_IsSummary]],NETWORKDAYS.INTL(Tasks[[#This Row],[Start]],Tasks[[#This Row],[Finish]],WorkWeek,Holidays),N(Tasks[[#This Row],[_Days]])))</f>
        <v/>
      </c>
      <c r="HF14" s="42">
        <f>IF(Tasks[[#This Row],[Expected]]="",0,((Tasks[[#This Row],[Pessimistic]]-Tasks[[#This Row],[Optimistic]])/6)^2)</f>
        <v/>
      </c>
      <c r="HG14" s="42">
        <f>IF(Tasks[[#This Row],[Expected]]="",0,Tasks[[#This Row],[Expected]]-N(Tasks[[#This Row],[_Days]]))</f>
        <v/>
      </c>
    </row>
    <row r="15" outlineLevel="1">
      <c r="A15" s="21">
        <f>IF(Tasks[[#This Row],[Task Name]]="","",COUNTA(Tasks[[#Headers],[Task Name]]:Tasks[[#This Row],[Task Name]])-1)</f>
        <v/>
      </c>
      <c r="B15" s="22" t="n">
        <v>21</v>
      </c>
      <c r="C15" s="22" t="n">
        <v>2</v>
      </c>
      <c r="D15" s="89" t="inlineStr">
        <is>
          <t>System integration testing</t>
        </is>
      </c>
      <c r="E15" s="22" t="n">
        <v>15</v>
      </c>
      <c r="F15" s="23" t="n">
        <v>9</v>
      </c>
      <c r="G15" s="22" t="n"/>
      <c r="H15" s="22" t="n"/>
      <c r="I15" s="23" t="n"/>
      <c r="J15" s="22" t="n"/>
      <c r="K15" s="22" t="n"/>
      <c r="L15" s="23" t="n"/>
      <c r="M15" s="22" t="n"/>
      <c r="N15" s="22" t="n"/>
      <c r="O15" s="23" t="n"/>
      <c r="P15" s="22" t="n"/>
      <c r="Q15" s="22" t="n"/>
      <c r="R15" s="23" t="n"/>
      <c r="S15" s="23" t="inlineStr">
        <is>
          <t>Taylor Morgan</t>
        </is>
      </c>
      <c r="T15" s="82" t="n"/>
      <c r="U15" s="23" t="inlineStr">
        <is>
          <t>Sam Rivera</t>
        </is>
      </c>
      <c r="V15" s="82" t="n">
        <v>0.5</v>
      </c>
      <c r="W15" s="23" t="n"/>
      <c r="X15" s="82" t="n"/>
      <c r="Y15" s="23" t="n"/>
      <c r="Z15" s="82" t="n"/>
      <c r="AA15" s="23" t="n"/>
      <c r="AB15" s="23" t="inlineStr">
        <is>
          <t>In Testing</t>
        </is>
      </c>
      <c r="AC15" s="7" t="n">
        <v>46302</v>
      </c>
      <c r="AD15" s="7" t="n"/>
      <c r="AE15" s="61">
        <f>IF(Tasks[[#This Row],[Task Name]]="","",IF(Tasks[[#This Row],[_IsSummary]],MIN(INDEX(Tasks[_ShownFcstStart],Tasks[[#This Row],[_Row]]+1):INDEX(Tasks[_ShownFcstStart],Tasks[[#This Row],[_Row]]+Tasks[[#This Row],[_Descendants]])),Tasks[[#This Row],[_ShownFcstStart]]))</f>
        <v/>
      </c>
      <c r="AF15" s="61">
        <f>IF(Tasks[[#This Row],[Task Name]]="","",IF(Tasks[[#This Row],[_IsSummary]],MAX(INDEX(Tasks[_ShownFcstFinish],Tasks[[#This Row],[_Row]]+1):INDEX(Tasks[_ShownFcstFinish],Tasks[[#This Row],[_Row]]+Tasks[[#This Row],[_Descendants]])),Tasks[[#This Row],[_ShownFcstFinish]]))</f>
        <v/>
      </c>
      <c r="AG15" s="21">
        <f>""</f>
        <v/>
      </c>
      <c r="AH15" s="23" t="inlineStr">
        <is>
          <t>Started a few days late; on track.</t>
        </is>
      </c>
      <c r="AI1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 s="7" t="n"/>
      <c r="AK15" s="22" t="inlineStr">
        <is>
          <t>Auto</t>
        </is>
      </c>
      <c r="AL15" s="23" t="n"/>
      <c r="AM15" s="7" t="n"/>
      <c r="AN15" s="21">
        <f>IF(Tasks[[#This Row],[Task Name]]="","",IF(Tasks[[#This Row],[Finish]]&gt;=Tasks[[#This Row],[Planned Finish]],NETWORKDAYS.INTL(Tasks[[#This Row],[Planned Finish]],Tasks[[#This Row],[Finish]],WorkWeek,Holidays)-1,1-NETWORKDAYS.INTL(Tasks[[#This Row],[Finish]],Tasks[[#This Row],[Planned Finish]],WorkWeek,Holidays)))</f>
        <v/>
      </c>
      <c r="AO15" s="21">
        <f>IF(Tasks[[#This Row],[Task Name]]="","",IF(Tasks[[#This Row],[Progress]]&gt;=1,"Complete",IF(OR(N(Tasks[[#This Row],[Actual Start]])&gt;0,Tasks[[#This Row],[Progress]]&gt;0),IF(Tasks[[#This Row],[Finish Var]]&gt;0,"Behind","In Progress"),IF(Tasks[[#This Row],[Planned Start]]&lt;StatusDate,"Late Start","Not Started"))))</f>
        <v/>
      </c>
      <c r="AP15" s="21">
        <f>IF(Tasks[[#This Row],[Task Name]]="","",IF(IF(Tasks[[#This Row],[_IsSummary]],COUNTIF(INDEX(Tasks[_LeafCritical],Tasks[[#This Row],[_Row]]+1):INDEX(Tasks[_LeafCritical],Tasks[[#This Row],[_Row]]+Tasks[[#This Row],[_Descendants]]),TRUE())&gt;0,Tasks[[#This Row],[_LeafCritical]]),"Yes",""))</f>
        <v/>
      </c>
      <c r="AQ15" s="61">
        <f>IF(Tasks[[#This Row],[Task Name]]="","",IF(N(Tasks[[#This Row],[Baseline Start]])&gt;0,Tasks[[#This Row],[Baseline Start]],Tasks[[#This Row],[_CalcStart]]))</f>
        <v/>
      </c>
      <c r="AR15" s="61">
        <f>IF(Tasks[[#This Row],[Task Name]]="","",IF(N(Tasks[[#This Row],[Baseline Finish]])&gt;0,Tasks[[#This Row],[Baseline Finish]],Tasks[[#This Row],[_CalcFinish]]))</f>
        <v/>
      </c>
      <c r="AS15" s="21">
        <f>IF(Tasks[[#This Row],[Task Name]]="","",IF(Tasks[[#This Row],[Start]]&gt;=Tasks[[#This Row],[Planned Start]],NETWORKDAYS.INTL(Tasks[[#This Row],[Planned Start]],Tasks[[#This Row],[Start]],WorkWeek,Holidays)-1,1-NETWORKDAYS.INTL(Tasks[[#This Row],[Start]],Tasks[[#This Row],[Planned Start]],WorkWeek,Holidays)))</f>
        <v/>
      </c>
      <c r="AT15" s="61">
        <f>IF(Tasks[[#This Row],[Task Name]]="","",IF(Tasks[[#This Row],[_IsSummary]],MIN(INDEX(Tasks[_LeafLateStart],Tasks[[#This Row],[_Row]]+1):INDEX(Tasks[_LeafLateStart],Tasks[[#This Row],[_Row]]+Tasks[[#This Row],[_Descendants]])),Tasks[[#This Row],[_LeafLateStart]]))</f>
        <v/>
      </c>
      <c r="AU15" s="61">
        <f>IF(Tasks[[#This Row],[Task Name]]="","",IF(Tasks[[#This Row],[_IsSummary]],MAX(INDEX(Tasks[_LeafLateFinish],Tasks[[#This Row],[_Row]]+1):INDEX(Tasks[_LeafLateFinish],Tasks[[#This Row],[_Row]]+Tasks[[#This Row],[_Descendants]])),Tasks[[#This Row],[_LeafLateFinish]]))</f>
        <v/>
      </c>
      <c r="AV15" s="21">
        <f>IF(Tasks[[#This Row],[Task Name]]="","",IF(Tasks[[#This Row],[_IsSummary]],MIN(INDEX(Tasks[_LeafTotalSlack],Tasks[[#This Row],[_Row]]+1):INDEX(Tasks[_LeafTotalSlack],Tasks[[#This Row],[_Row]]+Tasks[[#This Row],[_Descendants]])),Tasks[[#This Row],[_LeafTotalSlack]]))</f>
        <v/>
      </c>
      <c r="AW1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3" t="n"/>
      <c r="BA1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 s="21">
        <f>IF(Tasks[[#This Row],[Task Name]]="","",IF(Tasks[[#This Row],[_Level]]&lt;=OutlineShowLevel,"Yes","No"))</f>
        <v/>
      </c>
      <c r="BE15" s="84">
        <f>IF(Tasks[[#This Row],[Task Name]]="","",IF(Tasks[[#This Row],[_IsSummary]],SUM(INDEX(Tasks[_LeafTotalWork],Tasks[[#This Row],[_Row]]+1):INDEX(Tasks[_LeafTotalWork],Tasks[[#This Row],[_Row]]+Tasks[[#This Row],[_Descendants]])),Tasks[[#This Row],[_LeafTotalWork]]))</f>
        <v/>
      </c>
      <c r="BF15" s="23" t="n"/>
      <c r="BG1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 s="21">
        <f>""</f>
        <v/>
      </c>
      <c r="BI15" s="85" t="n"/>
      <c r="BJ15" s="22" t="n"/>
      <c r="BK15" s="21">
        <f>IF(OR(Tasks[[#This Row],[Task Name]]="",Tasks[[#This Row],[Baseline Duration]]=""),"",Tasks[[#This Row],[_SpanDays]]-N(Tasks[[#This Row],[Baseline Duration]]))</f>
        <v/>
      </c>
      <c r="BL15" s="84">
        <f>IF(OR(Tasks[[#This Row],[Task Name]]="",Tasks[[#This Row],[Baseline Work]]=""),"",Tasks[[#This Row],[Work]]-N(Tasks[[#This Row],[Baseline Work]]))</f>
        <v/>
      </c>
      <c r="BM15" s="61">
        <f>IF(Tasks[[#This Row],[Task Name]]="","",IF(OR(TakeBaseline="Yes",N(Tasks[[#This Row],[Baseline Start]])=0),Tasks[[#This Row],[Start]],Tasks[[#This Row],[Baseline Start]]))</f>
        <v/>
      </c>
      <c r="BN15" s="61">
        <f>IF(Tasks[[#This Row],[Task Name]]="","",IF(OR(TakeBaseline="Yes",N(Tasks[[#This Row],[Baseline Finish]])=0),Tasks[[#This Row],[Finish]],Tasks[[#This Row],[Baseline Finish]]))</f>
        <v/>
      </c>
      <c r="BO15" s="21">
        <f>IF(Tasks[[#This Row],[Task Name]]="","",IF(OR(TakeBaseline="Yes",N(Tasks[[#This Row],[Baseline Duration]])=0),Tasks[[#This Row],[_SpanDays]],Tasks[[#This Row],[Baseline Duration]]))</f>
        <v/>
      </c>
      <c r="BP15" s="84">
        <f>IF(Tasks[[#This Row],[Task Name]]="","",IF(OR(TakeBaseline="Yes",N(Tasks[[#This Row],[Baseline Work]])=0),Tasks[[#This Row],[Work]],Tasks[[#This Row],[Baseline Work]]))</f>
        <v/>
      </c>
      <c r="BQ15" s="7" t="n">
        <v>46297</v>
      </c>
      <c r="BR15" s="7" t="n">
        <v>46317</v>
      </c>
      <c r="BS15" s="22" t="n">
        <v>15</v>
      </c>
      <c r="BT15" s="86" t="n">
        <v>120</v>
      </c>
      <c r="BU15" s="23" t="inlineStr">
        <is>
          <t>Taylor Morgan</t>
        </is>
      </c>
      <c r="BV15" s="23" t="inlineStr">
        <is>
          <t>Jordan Lee, Sam Rivera</t>
        </is>
      </c>
      <c r="BW15" s="23" t="inlineStr">
        <is>
          <t>Morgan Patel</t>
        </is>
      </c>
      <c r="BX15" s="87">
        <f>IF(AND(Tasks[[#This Row],[_IsLeaf]]=1,ISNUMBER(Tasks[[#This Row],[Optimistic]]),ISNUMBER(Tasks[[#This Row],[Pessimistic]])),ROUND((Tasks[[#This Row],[Optimistic]]+4*N(Tasks[[#This Row],[_Days]])+Tasks[[#This Row],[Pessimistic]])/6,1),"")</f>
        <v/>
      </c>
      <c r="BY15" s="85" t="n">
        <v>6</v>
      </c>
      <c r="BZ15" s="85" t="n">
        <v>13</v>
      </c>
      <c r="CA15" s="22" t="n"/>
      <c r="CB15" s="42">
        <f>IF(Tasks[[#This Row],[Task Name]]="","",MAX(1,N(Tasks[[#This Row],[Level]])))</f>
        <v/>
      </c>
      <c r="CC15" s="42">
        <f>ROW()-ROW(Tasks[[#Headers],[ID]])</f>
        <v/>
      </c>
      <c r="CD15" s="42">
        <f>IF(OR(Tasks[[#This Row],[Task Name]]="",Tasks[[#This Row],[_Level]]&lt;=1),0,IFERROR(LOOKUP(2,1/(Tasks[[#Headers],[_Level]]:Tasks[[#This Row],[_Level]]=Tasks[[#This Row],[_Level]]-1),ROW(Tasks[[#Headers],[_Level]]:Tasks[[#This Row],[_Level]])),0))</f>
        <v/>
      </c>
      <c r="CE15" s="42">
        <f>IFERROR(N(INDEX(Tasks[_Level],Tasks[[#This Row],[_Row]]+1)),0)</f>
        <v/>
      </c>
      <c r="CF15" s="42">
        <f>AND(Tasks[[#This Row],[Task Name]]&lt;&gt;"",Tasks[[#This Row],[_NextLevel]]&gt;Tasks[[#This Row],[_Level]])</f>
        <v/>
      </c>
      <c r="CG15" s="42">
        <f>IF(Tasks[[#This Row],[_IsSummary]],COUNTIF(Tasks[WBS],Tasks[[#This Row],[WBS]]&amp;".*"),0)</f>
        <v/>
      </c>
      <c r="CH15" s="42">
        <f>IF(AND(Tasks[[#This Row],[Task Name]]&lt;&gt;"",NOT(Tasks[[#This Row],[_IsSummary]])),1,0)</f>
        <v/>
      </c>
      <c r="CI15" s="42">
        <f>IF(N(Tasks[[#This Row],[_Pred1UID]])=0,0,IFERROR(MATCH(Tasks[[#This Row],[_Pred1UID]],Tasks[UID],0),-1))</f>
        <v/>
      </c>
      <c r="CJ15" s="42">
        <f>IF(N(Tasks[[#This Row],[_Pred2UID]])=0,0,IFERROR(MATCH(Tasks[[#This Row],[_Pred2UID]],Tasks[UID],0),-1))</f>
        <v/>
      </c>
      <c r="CK15" s="42">
        <f>IF(N(Tasks[[#This Row],[_Pred3UID]])=0,0,IFERROR(MATCH(Tasks[[#This Row],[_Pred3UID]],Tasks[UID],0),-1))</f>
        <v/>
      </c>
      <c r="CL15" s="42">
        <f>IF(N(Tasks[[#This Row],[_Pred4UID]])=0,0,IFERROR(MATCH(Tasks[[#This Row],[_Pred4UID]],Tasks[UID],0),-1))</f>
        <v/>
      </c>
      <c r="CM1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 s="88">
        <f>IF(N(Tasks[[#This Row],[Constraint Date]])=0,0,IF(AND(OR(Tasks[[#This Row],[_ConstraintCode]]=3,Tasks[[#This Row],[_ConstraintCode]]=6,Tasks[[#This Row],[_ConstraintCode]]=7),N(Tasks[[#This Row],[_Days]])&gt;1),WORKDAY.INTL(N(Tasks[[#This Row],[Constraint Date]]),-(N(Tasks[[#This Row],[_Days]])-1),WorkWeek,Holidays),N(Tasks[[#This Row],[Constraint Date]])))</f>
        <v/>
      </c>
      <c r="CO15" s="88">
        <f>IF(OR(Tasks[[#This Row],[_ConstraintCode]]=2,Tasks[[#This Row],[_ConstraintCode]]=3,Tasks[[#This Row],[_ConstraintCode]]=4,Tasks[[#This Row],[_ConstraintCode]]=6),Tasks[[#This Row],[_ConstraintStart]],0)</f>
        <v/>
      </c>
      <c r="CP15" s="88">
        <f>IF(OR(Tasks[[#This Row],[_ConstraintCode]]=2,Tasks[[#This Row],[_ConstraintCode]]=3,Tasks[[#This Row],[_ConstraintCode]]=5,Tasks[[#This Row],[_ConstraintCode]]=7),Tasks[[#This Row],[_ConstraintStart]],2958465)</f>
        <v/>
      </c>
      <c r="CQ1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 s="88">
        <f>IF(NOT(Tasks[[#This Row],[_IsLeaf]]=1),"",IF(N(Tasks[[#This Row],[_Days]])&lt;=0,Tasks[[#This Row],[_LeafCalcStart]],WORKDAY.INTL(Tasks[[#This Row],[_LeafCalcStart]],Tasks[[#This Row],[_Days]]-1,WorkWeek,Holidays)))</f>
        <v/>
      </c>
      <c r="CS1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 s="42">
        <f>IF(Tasks[[#This Row],[_Predecessors]]="","",TRIM(MID(SUBSTITUTE(SUBSTITUTE(SUBSTITUTE(UPPER(Tasks[[#This Row],[_Predecessors]]),";",",")," ",""),",",REPT(" ",99)),1,99)))</f>
        <v/>
      </c>
      <c r="CV15" s="42">
        <f>IF(Tasks[[#This Row],[_Pred1Text]]="","",IFERROR(VALUE(LEFT(Tasks[[#This Row],[_Pred1Text]],MIN(FIND("F",Tasks[[#This Row],[_Pred1Text]]&amp;"F"),FIND("S",Tasks[[#This Row],[_Pred1Text]]&amp;"S"),FIND("+",Tasks[[#This Row],[_Pred1Text]]&amp;"+"),FIND("-",Tasks[[#This Row],[_Pred1Text]]&amp;"-"))-1)),""))</f>
        <v/>
      </c>
      <c r="CW1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 s="42">
        <f>IF(Tasks[[#This Row],[_Pred1Text]]="","",TRIM(MID(SUBSTITUTE(SUBSTITUTE(SUBSTITUTE(UPPER(Tasks[[#This Row],[_Predecessors]]),";",",")," ",""),",",REPT(" ",99)),100,99)))</f>
        <v/>
      </c>
      <c r="CZ15" s="42">
        <f>IF(Tasks[[#This Row],[_Pred2Text]]="","",IFERROR(VALUE(LEFT(Tasks[[#This Row],[_Pred2Text]],MIN(FIND("F",Tasks[[#This Row],[_Pred2Text]]&amp;"F"),FIND("S",Tasks[[#This Row],[_Pred2Text]]&amp;"S"),FIND("+",Tasks[[#This Row],[_Pred2Text]]&amp;"+"),FIND("-",Tasks[[#This Row],[_Pred2Text]]&amp;"-"))-1)),""))</f>
        <v/>
      </c>
      <c r="DA1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 s="42">
        <f>IF(Tasks[[#This Row],[_Pred2Text]]="","",TRIM(MID(SUBSTITUTE(SUBSTITUTE(SUBSTITUTE(UPPER(Tasks[[#This Row],[_Predecessors]]),";",",")," ",""),",",REPT(" ",99)),199,99)))</f>
        <v/>
      </c>
      <c r="DD15" s="42">
        <f>IF(Tasks[[#This Row],[_Pred3Text]]="","",IFERROR(VALUE(LEFT(Tasks[[#This Row],[_Pred3Text]],MIN(FIND("F",Tasks[[#This Row],[_Pred3Text]]&amp;"F"),FIND("S",Tasks[[#This Row],[_Pred3Text]]&amp;"S"),FIND("+",Tasks[[#This Row],[_Pred3Text]]&amp;"+"),FIND("-",Tasks[[#This Row],[_Pred3Text]]&amp;"-"))-1)),""))</f>
        <v/>
      </c>
      <c r="DE1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 s="42">
        <f>IF(Tasks[[#This Row],[_Pred3Text]]="","",TRIM(MID(SUBSTITUTE(SUBSTITUTE(SUBSTITUTE(UPPER(Tasks[[#This Row],[_Predecessors]]),";",",")," ",""),",",REPT(" ",99)),298,99)))</f>
        <v/>
      </c>
      <c r="DH15" s="42">
        <f>IF(Tasks[[#This Row],[_Pred4Text]]="","",IFERROR(VALUE(LEFT(Tasks[[#This Row],[_Pred4Text]],MIN(FIND("F",Tasks[[#This Row],[_Pred4Text]]&amp;"F"),FIND("S",Tasks[[#This Row],[_Pred4Text]]&amp;"S"),FIND("+",Tasks[[#This Row],[_Pred4Text]]&amp;"+"),FIND("-",Tasks[[#This Row],[_Pred4Text]]&amp;"-"))-1)),""))</f>
        <v/>
      </c>
      <c r="DI1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 s="42">
        <f>IF(OR(Tasks[[#This Row],[Task Name]]="",Tasks[[#This Row],[_Resources]]=""),"",TRIM(MID(SUBSTITUTE(Tasks[[#This Row],[_Resources]],",",REPT(" ",99)),1,99)))</f>
        <v/>
      </c>
      <c r="DL15" s="42">
        <f>IF(Tasks[[#This Row],[_Res1Text]]="","",TRIM(MID(SUBSTITUTE(Tasks[[#This Row],[_Resources]],",",REPT(" ",99)),100,99)))</f>
        <v/>
      </c>
      <c r="DM15" s="42">
        <f>IF(Tasks[[#This Row],[_Res2Text]]="","",TRIM(MID(SUBSTITUTE(Tasks[[#This Row],[_Resources]],",",REPT(" ",99)),199,99)))</f>
        <v/>
      </c>
      <c r="DN15" s="42">
        <f>IF(Tasks[[#This Row],[_Res3Text]]="","",TRIM(MID(SUBSTITUTE(Tasks[[#This Row],[_Resources]],",",REPT(" ",99)),298,99)))</f>
        <v/>
      </c>
      <c r="DO15" s="42">
        <f>IF(Tasks[[#This Row],[_Res1Text]]="",0,IFERROR(MATCH(TRIM(LEFT(Tasks[[#This Row],[_Res1Text]],FIND("[",Tasks[[#This Row],[_Res1Text]]&amp;"[")-1)),res_Name,0),IFERROR(MATCH(TRIM(LEFT(Tasks[[#This Row],[_Res1Text]],FIND("[",Tasks[[#This Row],[_Res1Text]]&amp;"[")-1)),res_Initials,0),0)))</f>
        <v/>
      </c>
      <c r="DP15" s="42">
        <f>IF(Tasks[[#This Row],[_Res2Text]]="",0,IFERROR(MATCH(TRIM(LEFT(Tasks[[#This Row],[_Res2Text]],FIND("[",Tasks[[#This Row],[_Res2Text]]&amp;"[")-1)),res_Name,0),IFERROR(MATCH(TRIM(LEFT(Tasks[[#This Row],[_Res2Text]],FIND("[",Tasks[[#This Row],[_Res2Text]]&amp;"[")-1)),res_Initials,0),0)))</f>
        <v/>
      </c>
      <c r="DQ15" s="42">
        <f>IF(Tasks[[#This Row],[_Res3Text]]="",0,IFERROR(MATCH(TRIM(LEFT(Tasks[[#This Row],[_Res3Text]],FIND("[",Tasks[[#This Row],[_Res3Text]]&amp;"[")-1)),res_Name,0),IFERROR(MATCH(TRIM(LEFT(Tasks[[#This Row],[_Res3Text]],FIND("[",Tasks[[#This Row],[_Res3Text]]&amp;"[")-1)),res_Initials,0),0)))</f>
        <v/>
      </c>
      <c r="DR15" s="42">
        <f>IF(Tasks[[#This Row],[_Res4Text]]="",0,IFERROR(MATCH(TRIM(LEFT(Tasks[[#This Row],[_Res4Text]],FIND("[",Tasks[[#This Row],[_Res4Text]]&amp;"[")-1)),res_Name,0),IFERROR(MATCH(TRIM(LEFT(Tasks[[#This Row],[_Res4Text]],FIND("[",Tasks[[#This Row],[_Res4Text]]&amp;"[")-1)),res_Initials,0),0)))</f>
        <v/>
      </c>
      <c r="DS15" s="42">
        <f>IF(Tasks[[#This Row],[_Res1Text]]="","",IF(Tasks[[#This Row],[_Res1Row]]&gt;0,INDEX(res_Name,Tasks[[#This Row],[_Res1Row]]),TRIM(LEFT(Tasks[[#This Row],[_Res1Text]],FIND("[",Tasks[[#This Row],[_Res1Text]]&amp;"[")-1))))</f>
        <v/>
      </c>
      <c r="DT1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 s="42">
        <f>IF(NOT(Tasks[[#This Row],[_IsLeaf]]=1),0,(Tasks[[#This Row],[_Resource1]]&lt;&gt;"")+(Tasks[[#This Row],[_Res2]]&lt;&gt;"")+(Tasks[[#This Row],[_Res3]]&lt;&gt;"")+(Tasks[[#This Row],[_Res4]]&lt;&gt;""))</f>
        <v/>
      </c>
      <c r="DV15" s="42">
        <f>IF(Tasks[[#This Row],[_Res2Text]]="","",IF(Tasks[[#This Row],[_Res2Row]]&gt;0,INDEX(res_Name,Tasks[[#This Row],[_Res2Row]]),TRIM(LEFT(Tasks[[#This Row],[_Res2Text]],FIND("[",Tasks[[#This Row],[_Res2Text]]&amp;"[")-1))))</f>
        <v/>
      </c>
      <c r="DW1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 s="42">
        <f>IF(OR(NOT(Tasks[[#This Row],[_IsLeaf]]=1),Tasks[[#This Row],[_Res2Row]]=0),0,N(Tasks[[#This Row],[_Days]])*HoursPerDay*IF(Tasks[[#This Row],[_Res2Units]]="",DefaultUnits,Tasks[[#This Row],[_Res2Units]]))</f>
        <v/>
      </c>
      <c r="DY15" s="42">
        <f>IF(AND(AND(Tasks[[#This Row],[_IsLeaf]]=1,Tasks[[#This Row],[_LeafTotalWork]]&gt;0),Tasks[[#This Row],[_Res2Work]]&gt;0),Tasks[[#This Row],[_Res2Work]]/(Tasks[[#This Row],[_FinishWorkday]]-Tasks[[#This Row],[_StartWorkday]]+1),0)</f>
        <v/>
      </c>
      <c r="DZ15" s="42">
        <f>Tasks[[#This Row],[_Res2WorkPerWD]]*MAX(0,Tasks[[#This Row],[_StartWorkday]]-1)</f>
        <v/>
      </c>
      <c r="EA15" s="42">
        <f>Tasks[[#This Row],[_Res2Work]]*Tasks[[#This Row],[_LeafProgress]]</f>
        <v/>
      </c>
      <c r="EB15" s="42">
        <f>IF(Tasks[[#This Row],[_Res3Text]]="","",IF(Tasks[[#This Row],[_Res3Row]]&gt;0,INDEX(res_Name,Tasks[[#This Row],[_Res3Row]]),TRIM(LEFT(Tasks[[#This Row],[_Res3Text]],FIND("[",Tasks[[#This Row],[_Res3Text]]&amp;"[")-1))))</f>
        <v/>
      </c>
      <c r="EC1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 s="42">
        <f>IF(OR(NOT(Tasks[[#This Row],[_IsLeaf]]=1),Tasks[[#This Row],[_Res3Row]]=0),0,N(Tasks[[#This Row],[_Days]])*HoursPerDay*IF(Tasks[[#This Row],[_Res3Units]]="",DefaultUnits,Tasks[[#This Row],[_Res3Units]]))</f>
        <v/>
      </c>
      <c r="EE15" s="42">
        <f>IF(AND(AND(Tasks[[#This Row],[_IsLeaf]]=1,Tasks[[#This Row],[_LeafTotalWork]]&gt;0),Tasks[[#This Row],[_Res3Work]]&gt;0),Tasks[[#This Row],[_Res3Work]]/(Tasks[[#This Row],[_FinishWorkday]]-Tasks[[#This Row],[_StartWorkday]]+1),0)</f>
        <v/>
      </c>
      <c r="EF15" s="42">
        <f>Tasks[[#This Row],[_Res3WorkPerWD]]*MAX(0,Tasks[[#This Row],[_StartWorkday]]-1)</f>
        <v/>
      </c>
      <c r="EG15" s="42">
        <f>Tasks[[#This Row],[_Res3Work]]*Tasks[[#This Row],[_LeafProgress]]</f>
        <v/>
      </c>
      <c r="EH15" s="42">
        <f>IF(Tasks[[#This Row],[_Res4Text]]="","",IF(Tasks[[#This Row],[_Res4Row]]&gt;0,INDEX(res_Name,Tasks[[#This Row],[_Res4Row]]),TRIM(LEFT(Tasks[[#This Row],[_Res4Text]],FIND("[",Tasks[[#This Row],[_Res4Text]]&amp;"[")-1))))</f>
        <v/>
      </c>
      <c r="EI1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 s="42">
        <f>IF(OR(NOT(Tasks[[#This Row],[_IsLeaf]]=1),Tasks[[#This Row],[_Res4Row]]=0),0,N(Tasks[[#This Row],[_Days]])*HoursPerDay*IF(Tasks[[#This Row],[_Res4Units]]="",DefaultUnits,Tasks[[#This Row],[_Res4Units]]))</f>
        <v/>
      </c>
      <c r="EK15" s="42">
        <f>IF(AND(AND(Tasks[[#This Row],[_IsLeaf]]=1,Tasks[[#This Row],[_LeafTotalWork]]&gt;0),Tasks[[#This Row],[_Res4Work]]&gt;0),Tasks[[#This Row],[_Res4Work]]/(Tasks[[#This Row],[_FinishWorkday]]-Tasks[[#This Row],[_StartWorkday]]+1),0)</f>
        <v/>
      </c>
      <c r="EL15" s="42">
        <f>Tasks[[#This Row],[_Res4WorkPerWD]]*MAX(0,Tasks[[#This Row],[_StartWorkday]]-1)</f>
        <v/>
      </c>
      <c r="EM15" s="42">
        <f>Tasks[[#This Row],[_Res4Work]]*Tasks[[#This Row],[_LeafProgress]]</f>
        <v/>
      </c>
      <c r="EN15" s="42">
        <f>IF(ISNUMBER(Tasks[[#This Row],[% Complete]]),Tasks[[#This Row],[% Complete]],IF(Tasks[[#This Row],[Stage]]="",0,IFERROR(INDEX(stg_Pct,MATCH(Tasks[[#This Row],[Stage]],stg_Name,0)),0)))</f>
        <v/>
      </c>
      <c r="EO15" s="42">
        <f>IF(NOT(Tasks[[#This Row],[_IsLeaf]]=1),0,IF(N(Tasks[[#This Row],[Actual Finish]])&gt;0,1,MIN(1,Tasks[[#This Row],[_Pct]])))</f>
        <v/>
      </c>
      <c r="EP15" s="42">
        <f>IF(OR(NOT(Tasks[[#This Row],[_IsLeaf]]=1),Tasks[[#This Row],[_Res1Row]]=0),0,N(Tasks[[#This Row],[_Days]])*HoursPerDay*IF(Tasks[[#This Row],[_Units1]]="",DefaultUnits,Tasks[[#This Row],[_Units1]]))</f>
        <v/>
      </c>
      <c r="EQ15" s="42">
        <f>Tasks[[#This Row],[_LeafWork]]+Tasks[[#This Row],[_Res2Work]]+Tasks[[#This Row],[_Res3Work]]+Tasks[[#This Row],[_Res4Work]]</f>
        <v/>
      </c>
      <c r="ER1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 s="42">
        <f>IF(NOT(Tasks[[#This Row],[_IsLeaf]]=1),0,MAX(_xlfn.MAXIFS(Tasks[_Row],Tasks[_Pred1UID],Tasks[[#This Row],[UID]]),_xlfn.MAXIFS(Tasks[_Row],Tasks[_Pred2UID],Tasks[[#This Row],[UID]]),_xlfn.MAXIFS(Tasks[_Row],Tasks[_Pred3UID],Tasks[[#This Row],[UID]]),_xlfn.MAXIFS(Tasks[_Row],Tasks[_Pred4UID],Tasks[[#This Row],[UID]])))</f>
        <v/>
      </c>
      <c r="FA1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 s="88">
        <f>IF(NOT(Tasks[[#This Row],[_IsLeaf]]=1),"",IF(N(Tasks[[#This Row],[_Days]])&lt;=0,Tasks[[#This Row],[_LeafLateFinish]],WORKDAY.INTL(Tasks[[#This Row],[_LeafLateFinish]],-(Tasks[[#This Row],[_Days]]-1),WorkWeek,Holidays)))</f>
        <v/>
      </c>
      <c r="FD1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 s="42">
        <f>AND(Tasks[[#This Row],[_IsLeaf]]=1,Tasks[[#This Row],[_LeafProgress]]&lt;1,N(Tasks[[#This Row],[_LeafTotalSlack]])&lt;=CriticalSlackDays)</f>
        <v/>
      </c>
      <c r="FF15" s="42">
        <f>IF(AND(Tasks[[#This Row],[_IsLeaf]]=1,Tasks[[#This Row],[_ConstraintCode]]=1,Tasks[[#This Row],[Mode]]&lt;&gt;"Manual",N(Tasks[[#This Row],[Actual Start]])=0),MAX(0,N(Tasks[[#This Row],[Free Slack]])),0)</f>
        <v/>
      </c>
      <c r="FG15" s="88">
        <f>IF(NOT(Tasks[[#This Row],[_IsLeaf]]=1),"",IF(Tasks[[#This Row],[_AlapShift]]=0,Tasks[[#This Row],[_LeafCalcStart]],WORKDAY.INTL(Tasks[[#This Row],[_LeafCalcStart]],Tasks[[#This Row],[_AlapShift]],WorkWeek,Holidays)))</f>
        <v/>
      </c>
      <c r="FH15" s="88">
        <f>IF(NOT(Tasks[[#This Row],[_IsLeaf]]=1),"",IF(Tasks[[#This Row],[_AlapShift]]=0,Tasks[[#This Row],[_LeafCalcFinish]],WORKDAY.INTL(Tasks[[#This Row],[_LeafCalcFinish]],Tasks[[#This Row],[_AlapShift]],WorkWeek,Holidays)))</f>
        <v/>
      </c>
      <c r="FI15" s="88">
        <f>IF(NOT(Tasks[[#This Row],[_IsLeaf]]=1),"",IF(Tasks[[#This Row],[_AlapShift]]=0,Tasks[[#This Row],[_LeafFcstStart]],WORKDAY.INTL(Tasks[[#This Row],[_LeafFcstStart]],Tasks[[#This Row],[_AlapShift]],WorkWeek,Holidays)))</f>
        <v/>
      </c>
      <c r="FJ15" s="88">
        <f>IF(NOT(Tasks[[#This Row],[_IsLeaf]]=1),"",IF(Tasks[[#This Row],[_AlapShift]]=0,Tasks[[#This Row],[_LeafFcstFinish]],WORKDAY.INTL(Tasks[[#This Row],[_LeafFcstFinish]],Tasks[[#This Row],[_AlapShift]],WorkWeek,Holidays)))</f>
        <v/>
      </c>
      <c r="FK15" s="88">
        <f>IF(Tasks[[#This Row],[Task Name]]="","",IF(Tasks[[#This Row],[_IsSummary]],MIN(INDEX(Tasks[_ShownCalcStart],Tasks[[#This Row],[_Row]]+1):INDEX(Tasks[_ShownCalcStart],Tasks[[#This Row],[_Row]]+Tasks[[#This Row],[_Descendants]])),Tasks[[#This Row],[_ShownCalcStart]]))</f>
        <v/>
      </c>
      <c r="FL15" s="88">
        <f>IF(Tasks[[#This Row],[Task Name]]="","",IF(Tasks[[#This Row],[_IsSummary]],MAX(INDEX(Tasks[_ShownCalcFinish],Tasks[[#This Row],[_Row]]+1):INDEX(Tasks[_ShownCalcFinish],Tasks[[#This Row],[_Row]]+Tasks[[#This Row],[_Descendants]])),Tasks[[#This Row],[_ShownCalcFinish]]))</f>
        <v/>
      </c>
      <c r="FM1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 s="42">
        <f>IF(AND(Tasks[[#This Row],[_IsLeaf]]=1,Tasks[[#This Row],[_LeafTotalWork]]&gt;0),NETWORKDAYS.INTL(ProjectStart,Tasks[[#This Row],[_ShownFcstStart]],WorkWeek,Holidays),0)</f>
        <v/>
      </c>
      <c r="FZ15" s="42">
        <f>IF(AND(Tasks[[#This Row],[_IsLeaf]]=1,Tasks[[#This Row],[_LeafTotalWork]]&gt;0),MAX(Tasks[[#This Row],[_StartWorkday]],NETWORKDAYS.INTL(ProjectStart,Tasks[[#This Row],[_ShownFcstFinish]],WorkWeek,Holidays)),0)</f>
        <v/>
      </c>
      <c r="GA15" s="42">
        <f>IF(AND(Tasks[[#This Row],[_IsLeaf]]=1,Tasks[[#This Row],[_LeafTotalWork]]&gt;0),Tasks[[#This Row],[_LeafWork]]/(Tasks[[#This Row],[_FinishWorkday]]-Tasks[[#This Row],[_StartWorkday]]+1),0)</f>
        <v/>
      </c>
      <c r="GB15" s="42">
        <f>Tasks[[#This Row],[_WorkPerWorkday]]*(Tasks[[#This Row],[_StartWorkday]]-1)</f>
        <v/>
      </c>
      <c r="GC15" s="42">
        <f>IF(Tasks[[#This Row],[_IsLeaf]]=1,MAX(N(Tasks[[#This Row],[_Days]]),0.1),0)</f>
        <v/>
      </c>
      <c r="GD15" s="42">
        <f>Tasks[[#This Row],[_WeightDur]]*Tasks[[#This Row],[_LeafProgress]]</f>
        <v/>
      </c>
      <c r="GE15" s="42">
        <f>Tasks[[#This Row],[_WeightDur]]*Tasks[[#This Row],[_PlannedPct]]</f>
        <v/>
      </c>
      <c r="GF1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 s="42">
        <f>IF(AND(Tasks[[#This Row],[_IsLeaf]]=1,N(Tasks[[#This Row],[_Days]])=0,Tasks[[#This Row],[_LeafProgress]]&lt;1),Tasks[[#This Row],[_ShownFcstFinish]]+Tasks[[#This Row],[_Row]]/100000,"")</f>
        <v/>
      </c>
      <c r="GH1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 s="42">
        <f>IF(Tasks[[#This Row],[Task Name]]="","",LEFT(Tasks[[#This Row],[WBS]],FIND(".",Tasks[[#This Row],[WBS]]&amp;".")-1))</f>
        <v/>
      </c>
      <c r="GJ15" s="42">
        <f>IF(AND(Tasks[[#This Row],[Task Name]]&lt;&gt;"",Tasks[[#This Row],[_Level]]=1),Tasks[[#This Row],[_Row]],"")</f>
        <v/>
      </c>
      <c r="GK15" s="42">
        <f>IF(AND(Tasks[[#This Row],[_IsLeaf]]=1,N(Tasks[[#This Row],[_Days]])=0),Tasks[[#This Row],[Planned Finish]]+Tasks[[#This Row],[_Row]]/100000,"")</f>
        <v/>
      </c>
      <c r="GL15" s="42">
        <f>IF(AND(Tasks[[#This Row],[_IsLeaf]]=1,Tasks[[#This Row],[_LeafProgress]]&lt;1,OR(N(Tasks[[#This Row],[Finish Var]])&gt;0,Tasks[[#This Row],[Status]]="Late Start")),MAX(0,Tasks[[#This Row],[Finish Var]])+1-Tasks[[#This Row],[_Row]]/1000000,"")</f>
        <v/>
      </c>
      <c r="GM15" s="42">
        <f>IF(AND(Tasks[[#This Row],[_IsLeaf]]=1,N(Tasks[[#This Row],[Actual Start]])=0,Tasks[[#This Row],[_ShownFcstStart]]&gt;=StatusDate,Tasks[[#This Row],[_ShownFcstStart]]&lt;=LookaheadEnd),Tasks[[#This Row],[_ShownFcstStart]]+Tasks[[#This Row],[_Row]]/100000,"")</f>
        <v/>
      </c>
      <c r="GN15" s="42">
        <f>IF(AND(Tasks[[#This Row],[_IsLeaf]]=1,Tasks[[#This Row],[_LeafProgress]]&lt;1,Tasks[[#This Row],[_ShownFcstFinish]]&gt;=StatusDate,Tasks[[#This Row],[_ShownFcstFinish]]&lt;=LookaheadEnd),Tasks[[#This Row],[_ShownFcstFinish]]+Tasks[[#This Row],[_Row]]/100000,"")</f>
        <v/>
      </c>
      <c r="GO15" s="42">
        <f>IF(Tasks[[#This Row],[_LeafCritical]],Tasks[[#This Row],[_ShownFcstStart]]+Tasks[[#This Row],[_Row]]/100000,"")</f>
        <v/>
      </c>
      <c r="GP15" s="42">
        <f>Tasks[[#This Row],[_LeafWork]]*Tasks[[#This Row],[_LeafProgress]]</f>
        <v/>
      </c>
      <c r="GQ15" s="88">
        <f>IF(AND(Tasks[[#This Row],[_IsLeaf]]=1,Tasks[[#This Row],[_LeafProgress]]&gt;=1),IF(N(Tasks[[#This Row],[Actual Finish]])&gt;0,Tasks[[#This Row],[Actual Finish]],Tasks[[#This Row],[_ShownFcstFinish]]),"")</f>
        <v/>
      </c>
      <c r="GR15" s="42">
        <f>IF(Tasks[[#This Row],[_IsLeaf]]=1,N(Tasks[[#This Row],[Story Points]]),0)</f>
        <v/>
      </c>
      <c r="GS15" s="42">
        <f>""</f>
        <v/>
      </c>
      <c r="GT15" s="42">
        <f>IF(Tasks[[#This Row],[Task Name]]="",FALSE(),AND(Tasks[[#This Row],[_IsLeaf]]=1,N(Tasks[[#This Row],[_Days]])=0))</f>
        <v/>
      </c>
      <c r="GU15" s="88">
        <f>IF(Tasks[[#This Row],[Task Name]]="",0,IF(AND(Tasks[[#This Row],[_IsLeaf]]=1,NOT(Tasks[[#This Row],[_IsMilestone]]),N(Tasks[[#This Row],[Progress]])&gt;0),Tasks[[#This Row],[Start]],0))</f>
        <v/>
      </c>
      <c r="GV15" s="88">
        <f>IF(Tasks[[#This Row],[_DoneFrom]]=0,0,IF(Tasks[[#This Row],[Progress]]&gt;=1,Tasks[[#This Row],[Finish]],MAX(Tasks[[#This Row],[_DoneFrom]],Tasks[[#This Row],[Start]]+ROUND((Tasks[[#This Row],[Finish]]-Tasks[[#This Row],[Start]]+1)*Tasks[[#This Row],[Progress]],0)-1)))</f>
        <v/>
      </c>
      <c r="GW15" s="88">
        <f>IF(Tasks[[#This Row],[Task Name]]="",0,IF(OR(NOT(Tasks[[#This Row],[_IsLeaf]]=1),Tasks[[#This Row],[_IsMilestone]],N(Tasks[[#This Row],[Progress]])&gt;=1),0,IF(Tasks[[#This Row],[_DoneTo]]&gt;0,Tasks[[#This Row],[_DoneTo]]+1,Tasks[[#This Row],[Start]])))</f>
        <v/>
      </c>
      <c r="GX15" s="88">
        <f>IF(Tasks[[#This Row],[_RemFrom]]=0,0,Tasks[[#This Row],[Finish]])</f>
        <v/>
      </c>
      <c r="GY15" s="42">
        <f>IF(Tasks[[#This Row],[Task Name]]="",FALSE(),OR(NOT(BaselineSet),N(Tasks[[#This Row],[Baseline Start]])&gt;0))</f>
        <v/>
      </c>
      <c r="GZ15" s="42">
        <f>IF(AND(Sandbox="Yes",L_PARSE_DURATION(Tasks[[#This Row],[Sandbox Duration]])&lt;&gt;""),L_PARSE_DURATION(Tasks[[#This Row],[Sandbox Duration]]),L_PARSE_DURATION(Tasks[[#This Row],[Duration]]))</f>
        <v/>
      </c>
      <c r="HA1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 s="42">
        <f>IF(Tasks[[#This Row],[_IsLeaf]]=1,Tasks[[#This Row],[_Row]],"")</f>
        <v/>
      </c>
      <c r="HD15" s="42">
        <f>IFERROR(INDEX(Tasks[UID],SMALL(Tasks[_PickKey],Tasks[[#This Row],[_Row]]))&amp;" "&amp;INDEX(Tasks[Task Name],SMALL(Tasks[_PickKey],Tasks[[#This Row],[_Row]])),"")</f>
        <v/>
      </c>
      <c r="HE15" s="42">
        <f>IF(Tasks[[#This Row],[Task Name]]="","",IF(Tasks[[#This Row],[_IsSummary]],NETWORKDAYS.INTL(Tasks[[#This Row],[Start]],Tasks[[#This Row],[Finish]],WorkWeek,Holidays),N(Tasks[[#This Row],[_Days]])))</f>
        <v/>
      </c>
      <c r="HF15" s="42">
        <f>IF(Tasks[[#This Row],[Expected]]="",0,((Tasks[[#This Row],[Pessimistic]]-Tasks[[#This Row],[Optimistic]])/6)^2)</f>
        <v/>
      </c>
      <c r="HG15" s="42">
        <f>IF(Tasks[[#This Row],[Expected]]="",0,Tasks[[#This Row],[Expected]]-N(Tasks[[#This Row],[_Days]]))</f>
        <v/>
      </c>
    </row>
    <row r="16" outlineLevel="1">
      <c r="A16" s="21">
        <f>IF(Tasks[[#This Row],[Task Name]]="","",COUNTA(Tasks[[#Headers],[Task Name]]:Tasks[[#This Row],[Task Name]])-1)</f>
        <v/>
      </c>
      <c r="B16" s="22" t="n">
        <v>24</v>
      </c>
      <c r="C16" s="22" t="n">
        <v>2</v>
      </c>
      <c r="D16" s="89" t="inlineStr">
        <is>
          <t>Go-live readiness review</t>
        </is>
      </c>
      <c r="E16" s="22" t="n">
        <v>1</v>
      </c>
      <c r="F16" s="23" t="n">
        <v>21</v>
      </c>
      <c r="G16" s="22" t="n"/>
      <c r="H16" s="22" t="n"/>
      <c r="I16" s="23" t="n"/>
      <c r="J16" s="22" t="n"/>
      <c r="K16" s="22" t="n"/>
      <c r="L16" s="23" t="n"/>
      <c r="M16" s="22" t="n"/>
      <c r="N16" s="22" t="n"/>
      <c r="O16" s="23" t="n"/>
      <c r="P16" s="22" t="n"/>
      <c r="Q16" s="22" t="n"/>
      <c r="R16" s="23" t="n"/>
      <c r="S16" s="23" t="inlineStr">
        <is>
          <t>Priya Sharma</t>
        </is>
      </c>
      <c r="T16" s="82" t="n"/>
      <c r="U16" s="23" t="n"/>
      <c r="V16" s="82" t="n"/>
      <c r="W16" s="23" t="n"/>
      <c r="X16" s="82" t="n"/>
      <c r="Y16" s="23" t="n"/>
      <c r="Z16" s="82" t="n"/>
      <c r="AA16" s="23" t="n"/>
      <c r="AB16" s="23" t="n"/>
      <c r="AC16" s="7" t="n"/>
      <c r="AD16" s="7" t="n"/>
      <c r="AE16" s="61">
        <f>IF(Tasks[[#This Row],[Task Name]]="","",IF(Tasks[[#This Row],[_IsSummary]],MIN(INDEX(Tasks[_ShownFcstStart],Tasks[[#This Row],[_Row]]+1):INDEX(Tasks[_ShownFcstStart],Tasks[[#This Row],[_Row]]+Tasks[[#This Row],[_Descendants]])),Tasks[[#This Row],[_ShownFcstStart]]))</f>
        <v/>
      </c>
      <c r="AF16" s="61">
        <f>IF(Tasks[[#This Row],[Task Name]]="","",IF(Tasks[[#This Row],[_IsSummary]],MAX(INDEX(Tasks[_ShownFcstFinish],Tasks[[#This Row],[_Row]]+1):INDEX(Tasks[_ShownFcstFinish],Tasks[[#This Row],[_Row]]+Tasks[[#This Row],[_Descendants]])),Tasks[[#This Row],[_ShownFcstFinish]]))</f>
        <v/>
      </c>
      <c r="AG16" s="21">
        <f>""</f>
        <v/>
      </c>
      <c r="AH16" s="23" t="inlineStr">
        <is>
          <t>Three predecessors.</t>
        </is>
      </c>
      <c r="AI1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 s="7" t="n"/>
      <c r="AK16" s="22" t="inlineStr">
        <is>
          <t>Auto</t>
        </is>
      </c>
      <c r="AL16" s="23" t="n"/>
      <c r="AM16" s="7" t="n"/>
      <c r="AN16" s="21">
        <f>IF(Tasks[[#This Row],[Task Name]]="","",IF(Tasks[[#This Row],[Finish]]&gt;=Tasks[[#This Row],[Planned Finish]],NETWORKDAYS.INTL(Tasks[[#This Row],[Planned Finish]],Tasks[[#This Row],[Finish]],WorkWeek,Holidays)-1,1-NETWORKDAYS.INTL(Tasks[[#This Row],[Finish]],Tasks[[#This Row],[Planned Finish]],WorkWeek,Holidays)))</f>
        <v/>
      </c>
      <c r="AO16" s="21">
        <f>IF(Tasks[[#This Row],[Task Name]]="","",IF(Tasks[[#This Row],[Progress]]&gt;=1,"Complete",IF(OR(N(Tasks[[#This Row],[Actual Start]])&gt;0,Tasks[[#This Row],[Progress]]&gt;0),IF(Tasks[[#This Row],[Finish Var]]&gt;0,"Behind","In Progress"),IF(Tasks[[#This Row],[Planned Start]]&lt;StatusDate,"Late Start","Not Started"))))</f>
        <v/>
      </c>
      <c r="AP16" s="21">
        <f>IF(Tasks[[#This Row],[Task Name]]="","",IF(IF(Tasks[[#This Row],[_IsSummary]],COUNTIF(INDEX(Tasks[_LeafCritical],Tasks[[#This Row],[_Row]]+1):INDEX(Tasks[_LeafCritical],Tasks[[#This Row],[_Row]]+Tasks[[#This Row],[_Descendants]]),TRUE())&gt;0,Tasks[[#This Row],[_LeafCritical]]),"Yes",""))</f>
        <v/>
      </c>
      <c r="AQ16" s="61">
        <f>IF(Tasks[[#This Row],[Task Name]]="","",IF(N(Tasks[[#This Row],[Baseline Start]])&gt;0,Tasks[[#This Row],[Baseline Start]],Tasks[[#This Row],[_CalcStart]]))</f>
        <v/>
      </c>
      <c r="AR16" s="61">
        <f>IF(Tasks[[#This Row],[Task Name]]="","",IF(N(Tasks[[#This Row],[Baseline Finish]])&gt;0,Tasks[[#This Row],[Baseline Finish]],Tasks[[#This Row],[_CalcFinish]]))</f>
        <v/>
      </c>
      <c r="AS16" s="21">
        <f>IF(Tasks[[#This Row],[Task Name]]="","",IF(Tasks[[#This Row],[Start]]&gt;=Tasks[[#This Row],[Planned Start]],NETWORKDAYS.INTL(Tasks[[#This Row],[Planned Start]],Tasks[[#This Row],[Start]],WorkWeek,Holidays)-1,1-NETWORKDAYS.INTL(Tasks[[#This Row],[Start]],Tasks[[#This Row],[Planned Start]],WorkWeek,Holidays)))</f>
        <v/>
      </c>
      <c r="AT16" s="61">
        <f>IF(Tasks[[#This Row],[Task Name]]="","",IF(Tasks[[#This Row],[_IsSummary]],MIN(INDEX(Tasks[_LeafLateStart],Tasks[[#This Row],[_Row]]+1):INDEX(Tasks[_LeafLateStart],Tasks[[#This Row],[_Row]]+Tasks[[#This Row],[_Descendants]])),Tasks[[#This Row],[_LeafLateStart]]))</f>
        <v/>
      </c>
      <c r="AU16" s="61">
        <f>IF(Tasks[[#This Row],[Task Name]]="","",IF(Tasks[[#This Row],[_IsSummary]],MAX(INDEX(Tasks[_LeafLateFinish],Tasks[[#This Row],[_Row]]+1):INDEX(Tasks[_LeafLateFinish],Tasks[[#This Row],[_Row]]+Tasks[[#This Row],[_Descendants]])),Tasks[[#This Row],[_LeafLateFinish]]))</f>
        <v/>
      </c>
      <c r="AV16" s="21">
        <f>IF(Tasks[[#This Row],[Task Name]]="","",IF(Tasks[[#This Row],[_IsSummary]],MIN(INDEX(Tasks[_LeafTotalSlack],Tasks[[#This Row],[_Row]]+1):INDEX(Tasks[_LeafTotalSlack],Tasks[[#This Row],[_Row]]+Tasks[[#This Row],[_Descendants]])),Tasks[[#This Row],[_LeafTotalSlack]]))</f>
        <v/>
      </c>
      <c r="AW1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3" t="n"/>
      <c r="BA1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 s="21">
        <f>IF(Tasks[[#This Row],[Task Name]]="","",IF(Tasks[[#This Row],[_Level]]&lt;=OutlineShowLevel,"Yes","No"))</f>
        <v/>
      </c>
      <c r="BE16" s="84">
        <f>IF(Tasks[[#This Row],[Task Name]]="","",IF(Tasks[[#This Row],[_IsSummary]],SUM(INDEX(Tasks[_LeafTotalWork],Tasks[[#This Row],[_Row]]+1):INDEX(Tasks[_LeafTotalWork],Tasks[[#This Row],[_Row]]+Tasks[[#This Row],[_Descendants]])),Tasks[[#This Row],[_LeafTotalWork]]))</f>
        <v/>
      </c>
      <c r="BF16" s="23" t="n"/>
      <c r="BG1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 s="21">
        <f>""</f>
        <v/>
      </c>
      <c r="BI16" s="85" t="n"/>
      <c r="BJ16" s="22" t="n"/>
      <c r="BK16" s="21">
        <f>IF(OR(Tasks[[#This Row],[Task Name]]="",Tasks[[#This Row],[Baseline Duration]]=""),"",Tasks[[#This Row],[_SpanDays]]-N(Tasks[[#This Row],[Baseline Duration]]))</f>
        <v/>
      </c>
      <c r="BL16" s="84">
        <f>IF(OR(Tasks[[#This Row],[Task Name]]="",Tasks[[#This Row],[Baseline Work]]=""),"",Tasks[[#This Row],[Work]]-N(Tasks[[#This Row],[Baseline Work]]))</f>
        <v/>
      </c>
      <c r="BM16" s="61">
        <f>IF(Tasks[[#This Row],[Task Name]]="","",IF(OR(TakeBaseline="Yes",N(Tasks[[#This Row],[Baseline Start]])=0),Tasks[[#This Row],[Start]],Tasks[[#This Row],[Baseline Start]]))</f>
        <v/>
      </c>
      <c r="BN16" s="61">
        <f>IF(Tasks[[#This Row],[Task Name]]="","",IF(OR(TakeBaseline="Yes",N(Tasks[[#This Row],[Baseline Finish]])=0),Tasks[[#This Row],[Finish]],Tasks[[#This Row],[Baseline Finish]]))</f>
        <v/>
      </c>
      <c r="BO16" s="21">
        <f>IF(Tasks[[#This Row],[Task Name]]="","",IF(OR(TakeBaseline="Yes",N(Tasks[[#This Row],[Baseline Duration]])=0),Tasks[[#This Row],[_SpanDays]],Tasks[[#This Row],[Baseline Duration]]))</f>
        <v/>
      </c>
      <c r="BP16" s="84">
        <f>IF(Tasks[[#This Row],[Task Name]]="","",IF(OR(TakeBaseline="Yes",N(Tasks[[#This Row],[Baseline Work]])=0),Tasks[[#This Row],[Work]],Tasks[[#This Row],[Baseline Work]]))</f>
        <v/>
      </c>
      <c r="BQ16" s="7" t="n">
        <v>46318</v>
      </c>
      <c r="BR16" s="7" t="n">
        <v>46318</v>
      </c>
      <c r="BS16" s="22" t="n">
        <v>1</v>
      </c>
      <c r="BT16" s="86" t="n">
        <v>8</v>
      </c>
      <c r="BU16" s="23" t="n"/>
      <c r="BV16" s="23" t="n"/>
      <c r="BW16" s="23" t="n"/>
      <c r="BX16" s="87">
        <f>IF(AND(Tasks[[#This Row],[_IsLeaf]]=1,ISNUMBER(Tasks[[#This Row],[Optimistic]]),ISNUMBER(Tasks[[#This Row],[Pessimistic]])),ROUND((Tasks[[#This Row],[Optimistic]]+4*N(Tasks[[#This Row],[_Days]])+Tasks[[#This Row],[Pessimistic]])/6,1),"")</f>
        <v/>
      </c>
      <c r="BY16" s="85" t="n"/>
      <c r="BZ16" s="85" t="n"/>
      <c r="CA16" s="22" t="n"/>
      <c r="CB16" s="42">
        <f>IF(Tasks[[#This Row],[Task Name]]="","",MAX(1,N(Tasks[[#This Row],[Level]])))</f>
        <v/>
      </c>
      <c r="CC16" s="42">
        <f>ROW()-ROW(Tasks[[#Headers],[ID]])</f>
        <v/>
      </c>
      <c r="CD16" s="42">
        <f>IF(OR(Tasks[[#This Row],[Task Name]]="",Tasks[[#This Row],[_Level]]&lt;=1),0,IFERROR(LOOKUP(2,1/(Tasks[[#Headers],[_Level]]:Tasks[[#This Row],[_Level]]=Tasks[[#This Row],[_Level]]-1),ROW(Tasks[[#Headers],[_Level]]:Tasks[[#This Row],[_Level]])),0))</f>
        <v/>
      </c>
      <c r="CE16" s="42">
        <f>IFERROR(N(INDEX(Tasks[_Level],Tasks[[#This Row],[_Row]]+1)),0)</f>
        <v/>
      </c>
      <c r="CF16" s="42">
        <f>AND(Tasks[[#This Row],[Task Name]]&lt;&gt;"",Tasks[[#This Row],[_NextLevel]]&gt;Tasks[[#This Row],[_Level]])</f>
        <v/>
      </c>
      <c r="CG16" s="42">
        <f>IF(Tasks[[#This Row],[_IsSummary]],COUNTIF(Tasks[WBS],Tasks[[#This Row],[WBS]]&amp;".*"),0)</f>
        <v/>
      </c>
      <c r="CH16" s="42">
        <f>IF(AND(Tasks[[#This Row],[Task Name]]&lt;&gt;"",NOT(Tasks[[#This Row],[_IsSummary]])),1,0)</f>
        <v/>
      </c>
      <c r="CI16" s="42">
        <f>IF(N(Tasks[[#This Row],[_Pred1UID]])=0,0,IFERROR(MATCH(Tasks[[#This Row],[_Pred1UID]],Tasks[UID],0),-1))</f>
        <v/>
      </c>
      <c r="CJ16" s="42">
        <f>IF(N(Tasks[[#This Row],[_Pred2UID]])=0,0,IFERROR(MATCH(Tasks[[#This Row],[_Pred2UID]],Tasks[UID],0),-1))</f>
        <v/>
      </c>
      <c r="CK16" s="42">
        <f>IF(N(Tasks[[#This Row],[_Pred3UID]])=0,0,IFERROR(MATCH(Tasks[[#This Row],[_Pred3UID]],Tasks[UID],0),-1))</f>
        <v/>
      </c>
      <c r="CL16" s="42">
        <f>IF(N(Tasks[[#This Row],[_Pred4UID]])=0,0,IFERROR(MATCH(Tasks[[#This Row],[_Pred4UID]],Tasks[UID],0),-1))</f>
        <v/>
      </c>
      <c r="CM1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 s="88">
        <f>IF(N(Tasks[[#This Row],[Constraint Date]])=0,0,IF(AND(OR(Tasks[[#This Row],[_ConstraintCode]]=3,Tasks[[#This Row],[_ConstraintCode]]=6,Tasks[[#This Row],[_ConstraintCode]]=7),N(Tasks[[#This Row],[_Days]])&gt;1),WORKDAY.INTL(N(Tasks[[#This Row],[Constraint Date]]),-(N(Tasks[[#This Row],[_Days]])-1),WorkWeek,Holidays),N(Tasks[[#This Row],[Constraint Date]])))</f>
        <v/>
      </c>
      <c r="CO16" s="88">
        <f>IF(OR(Tasks[[#This Row],[_ConstraintCode]]=2,Tasks[[#This Row],[_ConstraintCode]]=3,Tasks[[#This Row],[_ConstraintCode]]=4,Tasks[[#This Row],[_ConstraintCode]]=6),Tasks[[#This Row],[_ConstraintStart]],0)</f>
        <v/>
      </c>
      <c r="CP16" s="88">
        <f>IF(OR(Tasks[[#This Row],[_ConstraintCode]]=2,Tasks[[#This Row],[_ConstraintCode]]=3,Tasks[[#This Row],[_ConstraintCode]]=5,Tasks[[#This Row],[_ConstraintCode]]=7),Tasks[[#This Row],[_ConstraintStart]],2958465)</f>
        <v/>
      </c>
      <c r="CQ1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 s="88">
        <f>IF(NOT(Tasks[[#This Row],[_IsLeaf]]=1),"",IF(N(Tasks[[#This Row],[_Days]])&lt;=0,Tasks[[#This Row],[_LeafCalcStart]],WORKDAY.INTL(Tasks[[#This Row],[_LeafCalcStart]],Tasks[[#This Row],[_Days]]-1,WorkWeek,Holidays)))</f>
        <v/>
      </c>
      <c r="CS1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 s="42">
        <f>IF(Tasks[[#This Row],[_Predecessors]]="","",TRIM(MID(SUBSTITUTE(SUBSTITUTE(SUBSTITUTE(UPPER(Tasks[[#This Row],[_Predecessors]]),";",",")," ",""),",",REPT(" ",99)),1,99)))</f>
        <v/>
      </c>
      <c r="CV16" s="42">
        <f>IF(Tasks[[#This Row],[_Pred1Text]]="","",IFERROR(VALUE(LEFT(Tasks[[#This Row],[_Pred1Text]],MIN(FIND("F",Tasks[[#This Row],[_Pred1Text]]&amp;"F"),FIND("S",Tasks[[#This Row],[_Pred1Text]]&amp;"S"),FIND("+",Tasks[[#This Row],[_Pred1Text]]&amp;"+"),FIND("-",Tasks[[#This Row],[_Pred1Text]]&amp;"-"))-1)),""))</f>
        <v/>
      </c>
      <c r="CW1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 s="42">
        <f>IF(Tasks[[#This Row],[_Pred1Text]]="","",TRIM(MID(SUBSTITUTE(SUBSTITUTE(SUBSTITUTE(UPPER(Tasks[[#This Row],[_Predecessors]]),";",",")," ",""),",",REPT(" ",99)),100,99)))</f>
        <v/>
      </c>
      <c r="CZ16" s="42">
        <f>IF(Tasks[[#This Row],[_Pred2Text]]="","",IFERROR(VALUE(LEFT(Tasks[[#This Row],[_Pred2Text]],MIN(FIND("F",Tasks[[#This Row],[_Pred2Text]]&amp;"F"),FIND("S",Tasks[[#This Row],[_Pred2Text]]&amp;"S"),FIND("+",Tasks[[#This Row],[_Pred2Text]]&amp;"+"),FIND("-",Tasks[[#This Row],[_Pred2Text]]&amp;"-"))-1)),""))</f>
        <v/>
      </c>
      <c r="DA1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 s="42">
        <f>IF(Tasks[[#This Row],[_Pred2Text]]="","",TRIM(MID(SUBSTITUTE(SUBSTITUTE(SUBSTITUTE(UPPER(Tasks[[#This Row],[_Predecessors]]),";",",")," ",""),",",REPT(" ",99)),199,99)))</f>
        <v/>
      </c>
      <c r="DD16" s="42">
        <f>IF(Tasks[[#This Row],[_Pred3Text]]="","",IFERROR(VALUE(LEFT(Tasks[[#This Row],[_Pred3Text]],MIN(FIND("F",Tasks[[#This Row],[_Pred3Text]]&amp;"F"),FIND("S",Tasks[[#This Row],[_Pred3Text]]&amp;"S"),FIND("+",Tasks[[#This Row],[_Pred3Text]]&amp;"+"),FIND("-",Tasks[[#This Row],[_Pred3Text]]&amp;"-"))-1)),""))</f>
        <v/>
      </c>
      <c r="DE1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 s="42">
        <f>IF(Tasks[[#This Row],[_Pred3Text]]="","",TRIM(MID(SUBSTITUTE(SUBSTITUTE(SUBSTITUTE(UPPER(Tasks[[#This Row],[_Predecessors]]),";",",")," ",""),",",REPT(" ",99)),298,99)))</f>
        <v/>
      </c>
      <c r="DH16" s="42">
        <f>IF(Tasks[[#This Row],[_Pred4Text]]="","",IFERROR(VALUE(LEFT(Tasks[[#This Row],[_Pred4Text]],MIN(FIND("F",Tasks[[#This Row],[_Pred4Text]]&amp;"F"),FIND("S",Tasks[[#This Row],[_Pred4Text]]&amp;"S"),FIND("+",Tasks[[#This Row],[_Pred4Text]]&amp;"+"),FIND("-",Tasks[[#This Row],[_Pred4Text]]&amp;"-"))-1)),""))</f>
        <v/>
      </c>
      <c r="DI1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 s="42">
        <f>IF(OR(Tasks[[#This Row],[Task Name]]="",Tasks[[#This Row],[_Resources]]=""),"",TRIM(MID(SUBSTITUTE(Tasks[[#This Row],[_Resources]],",",REPT(" ",99)),1,99)))</f>
        <v/>
      </c>
      <c r="DL16" s="42">
        <f>IF(Tasks[[#This Row],[_Res1Text]]="","",TRIM(MID(SUBSTITUTE(Tasks[[#This Row],[_Resources]],",",REPT(" ",99)),100,99)))</f>
        <v/>
      </c>
      <c r="DM16" s="42">
        <f>IF(Tasks[[#This Row],[_Res2Text]]="","",TRIM(MID(SUBSTITUTE(Tasks[[#This Row],[_Resources]],",",REPT(" ",99)),199,99)))</f>
        <v/>
      </c>
      <c r="DN16" s="42">
        <f>IF(Tasks[[#This Row],[_Res3Text]]="","",TRIM(MID(SUBSTITUTE(Tasks[[#This Row],[_Resources]],",",REPT(" ",99)),298,99)))</f>
        <v/>
      </c>
      <c r="DO16" s="42">
        <f>IF(Tasks[[#This Row],[_Res1Text]]="",0,IFERROR(MATCH(TRIM(LEFT(Tasks[[#This Row],[_Res1Text]],FIND("[",Tasks[[#This Row],[_Res1Text]]&amp;"[")-1)),res_Name,0),IFERROR(MATCH(TRIM(LEFT(Tasks[[#This Row],[_Res1Text]],FIND("[",Tasks[[#This Row],[_Res1Text]]&amp;"[")-1)),res_Initials,0),0)))</f>
        <v/>
      </c>
      <c r="DP16" s="42">
        <f>IF(Tasks[[#This Row],[_Res2Text]]="",0,IFERROR(MATCH(TRIM(LEFT(Tasks[[#This Row],[_Res2Text]],FIND("[",Tasks[[#This Row],[_Res2Text]]&amp;"[")-1)),res_Name,0),IFERROR(MATCH(TRIM(LEFT(Tasks[[#This Row],[_Res2Text]],FIND("[",Tasks[[#This Row],[_Res2Text]]&amp;"[")-1)),res_Initials,0),0)))</f>
        <v/>
      </c>
      <c r="DQ16" s="42">
        <f>IF(Tasks[[#This Row],[_Res3Text]]="",0,IFERROR(MATCH(TRIM(LEFT(Tasks[[#This Row],[_Res3Text]],FIND("[",Tasks[[#This Row],[_Res3Text]]&amp;"[")-1)),res_Name,0),IFERROR(MATCH(TRIM(LEFT(Tasks[[#This Row],[_Res3Text]],FIND("[",Tasks[[#This Row],[_Res3Text]]&amp;"[")-1)),res_Initials,0),0)))</f>
        <v/>
      </c>
      <c r="DR16" s="42">
        <f>IF(Tasks[[#This Row],[_Res4Text]]="",0,IFERROR(MATCH(TRIM(LEFT(Tasks[[#This Row],[_Res4Text]],FIND("[",Tasks[[#This Row],[_Res4Text]]&amp;"[")-1)),res_Name,0),IFERROR(MATCH(TRIM(LEFT(Tasks[[#This Row],[_Res4Text]],FIND("[",Tasks[[#This Row],[_Res4Text]]&amp;"[")-1)),res_Initials,0),0)))</f>
        <v/>
      </c>
      <c r="DS16" s="42">
        <f>IF(Tasks[[#This Row],[_Res1Text]]="","",IF(Tasks[[#This Row],[_Res1Row]]&gt;0,INDEX(res_Name,Tasks[[#This Row],[_Res1Row]]),TRIM(LEFT(Tasks[[#This Row],[_Res1Text]],FIND("[",Tasks[[#This Row],[_Res1Text]]&amp;"[")-1))))</f>
        <v/>
      </c>
      <c r="DT1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 s="42">
        <f>IF(NOT(Tasks[[#This Row],[_IsLeaf]]=1),0,(Tasks[[#This Row],[_Resource1]]&lt;&gt;"")+(Tasks[[#This Row],[_Res2]]&lt;&gt;"")+(Tasks[[#This Row],[_Res3]]&lt;&gt;"")+(Tasks[[#This Row],[_Res4]]&lt;&gt;""))</f>
        <v/>
      </c>
      <c r="DV16" s="42">
        <f>IF(Tasks[[#This Row],[_Res2Text]]="","",IF(Tasks[[#This Row],[_Res2Row]]&gt;0,INDEX(res_Name,Tasks[[#This Row],[_Res2Row]]),TRIM(LEFT(Tasks[[#This Row],[_Res2Text]],FIND("[",Tasks[[#This Row],[_Res2Text]]&amp;"[")-1))))</f>
        <v/>
      </c>
      <c r="DW1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 s="42">
        <f>IF(OR(NOT(Tasks[[#This Row],[_IsLeaf]]=1),Tasks[[#This Row],[_Res2Row]]=0),0,N(Tasks[[#This Row],[_Days]])*HoursPerDay*IF(Tasks[[#This Row],[_Res2Units]]="",DefaultUnits,Tasks[[#This Row],[_Res2Units]]))</f>
        <v/>
      </c>
      <c r="DY16" s="42">
        <f>IF(AND(AND(Tasks[[#This Row],[_IsLeaf]]=1,Tasks[[#This Row],[_LeafTotalWork]]&gt;0),Tasks[[#This Row],[_Res2Work]]&gt;0),Tasks[[#This Row],[_Res2Work]]/(Tasks[[#This Row],[_FinishWorkday]]-Tasks[[#This Row],[_StartWorkday]]+1),0)</f>
        <v/>
      </c>
      <c r="DZ16" s="42">
        <f>Tasks[[#This Row],[_Res2WorkPerWD]]*MAX(0,Tasks[[#This Row],[_StartWorkday]]-1)</f>
        <v/>
      </c>
      <c r="EA16" s="42">
        <f>Tasks[[#This Row],[_Res2Work]]*Tasks[[#This Row],[_LeafProgress]]</f>
        <v/>
      </c>
      <c r="EB16" s="42">
        <f>IF(Tasks[[#This Row],[_Res3Text]]="","",IF(Tasks[[#This Row],[_Res3Row]]&gt;0,INDEX(res_Name,Tasks[[#This Row],[_Res3Row]]),TRIM(LEFT(Tasks[[#This Row],[_Res3Text]],FIND("[",Tasks[[#This Row],[_Res3Text]]&amp;"[")-1))))</f>
        <v/>
      </c>
      <c r="EC1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 s="42">
        <f>IF(OR(NOT(Tasks[[#This Row],[_IsLeaf]]=1),Tasks[[#This Row],[_Res3Row]]=0),0,N(Tasks[[#This Row],[_Days]])*HoursPerDay*IF(Tasks[[#This Row],[_Res3Units]]="",DefaultUnits,Tasks[[#This Row],[_Res3Units]]))</f>
        <v/>
      </c>
      <c r="EE16" s="42">
        <f>IF(AND(AND(Tasks[[#This Row],[_IsLeaf]]=1,Tasks[[#This Row],[_LeafTotalWork]]&gt;0),Tasks[[#This Row],[_Res3Work]]&gt;0),Tasks[[#This Row],[_Res3Work]]/(Tasks[[#This Row],[_FinishWorkday]]-Tasks[[#This Row],[_StartWorkday]]+1),0)</f>
        <v/>
      </c>
      <c r="EF16" s="42">
        <f>Tasks[[#This Row],[_Res3WorkPerWD]]*MAX(0,Tasks[[#This Row],[_StartWorkday]]-1)</f>
        <v/>
      </c>
      <c r="EG16" s="42">
        <f>Tasks[[#This Row],[_Res3Work]]*Tasks[[#This Row],[_LeafProgress]]</f>
        <v/>
      </c>
      <c r="EH16" s="42">
        <f>IF(Tasks[[#This Row],[_Res4Text]]="","",IF(Tasks[[#This Row],[_Res4Row]]&gt;0,INDEX(res_Name,Tasks[[#This Row],[_Res4Row]]),TRIM(LEFT(Tasks[[#This Row],[_Res4Text]],FIND("[",Tasks[[#This Row],[_Res4Text]]&amp;"[")-1))))</f>
        <v/>
      </c>
      <c r="EI1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 s="42">
        <f>IF(OR(NOT(Tasks[[#This Row],[_IsLeaf]]=1),Tasks[[#This Row],[_Res4Row]]=0),0,N(Tasks[[#This Row],[_Days]])*HoursPerDay*IF(Tasks[[#This Row],[_Res4Units]]="",DefaultUnits,Tasks[[#This Row],[_Res4Units]]))</f>
        <v/>
      </c>
      <c r="EK16" s="42">
        <f>IF(AND(AND(Tasks[[#This Row],[_IsLeaf]]=1,Tasks[[#This Row],[_LeafTotalWork]]&gt;0),Tasks[[#This Row],[_Res4Work]]&gt;0),Tasks[[#This Row],[_Res4Work]]/(Tasks[[#This Row],[_FinishWorkday]]-Tasks[[#This Row],[_StartWorkday]]+1),0)</f>
        <v/>
      </c>
      <c r="EL16" s="42">
        <f>Tasks[[#This Row],[_Res4WorkPerWD]]*MAX(0,Tasks[[#This Row],[_StartWorkday]]-1)</f>
        <v/>
      </c>
      <c r="EM16" s="42">
        <f>Tasks[[#This Row],[_Res4Work]]*Tasks[[#This Row],[_LeafProgress]]</f>
        <v/>
      </c>
      <c r="EN16" s="42">
        <f>IF(ISNUMBER(Tasks[[#This Row],[% Complete]]),Tasks[[#This Row],[% Complete]],IF(Tasks[[#This Row],[Stage]]="",0,IFERROR(INDEX(stg_Pct,MATCH(Tasks[[#This Row],[Stage]],stg_Name,0)),0)))</f>
        <v/>
      </c>
      <c r="EO16" s="42">
        <f>IF(NOT(Tasks[[#This Row],[_IsLeaf]]=1),0,IF(N(Tasks[[#This Row],[Actual Finish]])&gt;0,1,MIN(1,Tasks[[#This Row],[_Pct]])))</f>
        <v/>
      </c>
      <c r="EP16" s="42">
        <f>IF(OR(NOT(Tasks[[#This Row],[_IsLeaf]]=1),Tasks[[#This Row],[_Res1Row]]=0),0,N(Tasks[[#This Row],[_Days]])*HoursPerDay*IF(Tasks[[#This Row],[_Units1]]="",DefaultUnits,Tasks[[#This Row],[_Units1]]))</f>
        <v/>
      </c>
      <c r="EQ16" s="42">
        <f>Tasks[[#This Row],[_LeafWork]]+Tasks[[#This Row],[_Res2Work]]+Tasks[[#This Row],[_Res3Work]]+Tasks[[#This Row],[_Res4Work]]</f>
        <v/>
      </c>
      <c r="ER1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 s="42">
        <f>IF(NOT(Tasks[[#This Row],[_IsLeaf]]=1),0,MAX(_xlfn.MAXIFS(Tasks[_Row],Tasks[_Pred1UID],Tasks[[#This Row],[UID]]),_xlfn.MAXIFS(Tasks[_Row],Tasks[_Pred2UID],Tasks[[#This Row],[UID]]),_xlfn.MAXIFS(Tasks[_Row],Tasks[_Pred3UID],Tasks[[#This Row],[UID]]),_xlfn.MAXIFS(Tasks[_Row],Tasks[_Pred4UID],Tasks[[#This Row],[UID]])))</f>
        <v/>
      </c>
      <c r="FA1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 s="88">
        <f>IF(NOT(Tasks[[#This Row],[_IsLeaf]]=1),"",IF(N(Tasks[[#This Row],[_Days]])&lt;=0,Tasks[[#This Row],[_LeafLateFinish]],WORKDAY.INTL(Tasks[[#This Row],[_LeafLateFinish]],-(Tasks[[#This Row],[_Days]]-1),WorkWeek,Holidays)))</f>
        <v/>
      </c>
      <c r="FD1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 s="42">
        <f>AND(Tasks[[#This Row],[_IsLeaf]]=1,Tasks[[#This Row],[_LeafProgress]]&lt;1,N(Tasks[[#This Row],[_LeafTotalSlack]])&lt;=CriticalSlackDays)</f>
        <v/>
      </c>
      <c r="FF16" s="42">
        <f>IF(AND(Tasks[[#This Row],[_IsLeaf]]=1,Tasks[[#This Row],[_ConstraintCode]]=1,Tasks[[#This Row],[Mode]]&lt;&gt;"Manual",N(Tasks[[#This Row],[Actual Start]])=0),MAX(0,N(Tasks[[#This Row],[Free Slack]])),0)</f>
        <v/>
      </c>
      <c r="FG16" s="88">
        <f>IF(NOT(Tasks[[#This Row],[_IsLeaf]]=1),"",IF(Tasks[[#This Row],[_AlapShift]]=0,Tasks[[#This Row],[_LeafCalcStart]],WORKDAY.INTL(Tasks[[#This Row],[_LeafCalcStart]],Tasks[[#This Row],[_AlapShift]],WorkWeek,Holidays)))</f>
        <v/>
      </c>
      <c r="FH16" s="88">
        <f>IF(NOT(Tasks[[#This Row],[_IsLeaf]]=1),"",IF(Tasks[[#This Row],[_AlapShift]]=0,Tasks[[#This Row],[_LeafCalcFinish]],WORKDAY.INTL(Tasks[[#This Row],[_LeafCalcFinish]],Tasks[[#This Row],[_AlapShift]],WorkWeek,Holidays)))</f>
        <v/>
      </c>
      <c r="FI16" s="88">
        <f>IF(NOT(Tasks[[#This Row],[_IsLeaf]]=1),"",IF(Tasks[[#This Row],[_AlapShift]]=0,Tasks[[#This Row],[_LeafFcstStart]],WORKDAY.INTL(Tasks[[#This Row],[_LeafFcstStart]],Tasks[[#This Row],[_AlapShift]],WorkWeek,Holidays)))</f>
        <v/>
      </c>
      <c r="FJ16" s="88">
        <f>IF(NOT(Tasks[[#This Row],[_IsLeaf]]=1),"",IF(Tasks[[#This Row],[_AlapShift]]=0,Tasks[[#This Row],[_LeafFcstFinish]],WORKDAY.INTL(Tasks[[#This Row],[_LeafFcstFinish]],Tasks[[#This Row],[_AlapShift]],WorkWeek,Holidays)))</f>
        <v/>
      </c>
      <c r="FK16" s="88">
        <f>IF(Tasks[[#This Row],[Task Name]]="","",IF(Tasks[[#This Row],[_IsSummary]],MIN(INDEX(Tasks[_ShownCalcStart],Tasks[[#This Row],[_Row]]+1):INDEX(Tasks[_ShownCalcStart],Tasks[[#This Row],[_Row]]+Tasks[[#This Row],[_Descendants]])),Tasks[[#This Row],[_ShownCalcStart]]))</f>
        <v/>
      </c>
      <c r="FL16" s="88">
        <f>IF(Tasks[[#This Row],[Task Name]]="","",IF(Tasks[[#This Row],[_IsSummary]],MAX(INDEX(Tasks[_ShownCalcFinish],Tasks[[#This Row],[_Row]]+1):INDEX(Tasks[_ShownCalcFinish],Tasks[[#This Row],[_Row]]+Tasks[[#This Row],[_Descendants]])),Tasks[[#This Row],[_ShownCalcFinish]]))</f>
        <v/>
      </c>
      <c r="FM1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 s="42">
        <f>IF(AND(Tasks[[#This Row],[_IsLeaf]]=1,Tasks[[#This Row],[_LeafTotalWork]]&gt;0),NETWORKDAYS.INTL(ProjectStart,Tasks[[#This Row],[_ShownFcstStart]],WorkWeek,Holidays),0)</f>
        <v/>
      </c>
      <c r="FZ16" s="42">
        <f>IF(AND(Tasks[[#This Row],[_IsLeaf]]=1,Tasks[[#This Row],[_LeafTotalWork]]&gt;0),MAX(Tasks[[#This Row],[_StartWorkday]],NETWORKDAYS.INTL(ProjectStart,Tasks[[#This Row],[_ShownFcstFinish]],WorkWeek,Holidays)),0)</f>
        <v/>
      </c>
      <c r="GA16" s="42">
        <f>IF(AND(Tasks[[#This Row],[_IsLeaf]]=1,Tasks[[#This Row],[_LeafTotalWork]]&gt;0),Tasks[[#This Row],[_LeafWork]]/(Tasks[[#This Row],[_FinishWorkday]]-Tasks[[#This Row],[_StartWorkday]]+1),0)</f>
        <v/>
      </c>
      <c r="GB16" s="42">
        <f>Tasks[[#This Row],[_WorkPerWorkday]]*(Tasks[[#This Row],[_StartWorkday]]-1)</f>
        <v/>
      </c>
      <c r="GC16" s="42">
        <f>IF(Tasks[[#This Row],[_IsLeaf]]=1,MAX(N(Tasks[[#This Row],[_Days]]),0.1),0)</f>
        <v/>
      </c>
      <c r="GD16" s="42">
        <f>Tasks[[#This Row],[_WeightDur]]*Tasks[[#This Row],[_LeafProgress]]</f>
        <v/>
      </c>
      <c r="GE16" s="42">
        <f>Tasks[[#This Row],[_WeightDur]]*Tasks[[#This Row],[_PlannedPct]]</f>
        <v/>
      </c>
      <c r="GF1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 s="42">
        <f>IF(AND(Tasks[[#This Row],[_IsLeaf]]=1,N(Tasks[[#This Row],[_Days]])=0,Tasks[[#This Row],[_LeafProgress]]&lt;1),Tasks[[#This Row],[_ShownFcstFinish]]+Tasks[[#This Row],[_Row]]/100000,"")</f>
        <v/>
      </c>
      <c r="GH1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 s="42">
        <f>IF(Tasks[[#This Row],[Task Name]]="","",LEFT(Tasks[[#This Row],[WBS]],FIND(".",Tasks[[#This Row],[WBS]]&amp;".")-1))</f>
        <v/>
      </c>
      <c r="GJ16" s="42">
        <f>IF(AND(Tasks[[#This Row],[Task Name]]&lt;&gt;"",Tasks[[#This Row],[_Level]]=1),Tasks[[#This Row],[_Row]],"")</f>
        <v/>
      </c>
      <c r="GK16" s="42">
        <f>IF(AND(Tasks[[#This Row],[_IsLeaf]]=1,N(Tasks[[#This Row],[_Days]])=0),Tasks[[#This Row],[Planned Finish]]+Tasks[[#This Row],[_Row]]/100000,"")</f>
        <v/>
      </c>
      <c r="GL16" s="42">
        <f>IF(AND(Tasks[[#This Row],[_IsLeaf]]=1,Tasks[[#This Row],[_LeafProgress]]&lt;1,OR(N(Tasks[[#This Row],[Finish Var]])&gt;0,Tasks[[#This Row],[Status]]="Late Start")),MAX(0,Tasks[[#This Row],[Finish Var]])+1-Tasks[[#This Row],[_Row]]/1000000,"")</f>
        <v/>
      </c>
      <c r="GM16" s="42">
        <f>IF(AND(Tasks[[#This Row],[_IsLeaf]]=1,N(Tasks[[#This Row],[Actual Start]])=0,Tasks[[#This Row],[_ShownFcstStart]]&gt;=StatusDate,Tasks[[#This Row],[_ShownFcstStart]]&lt;=LookaheadEnd),Tasks[[#This Row],[_ShownFcstStart]]+Tasks[[#This Row],[_Row]]/100000,"")</f>
        <v/>
      </c>
      <c r="GN16" s="42">
        <f>IF(AND(Tasks[[#This Row],[_IsLeaf]]=1,Tasks[[#This Row],[_LeafProgress]]&lt;1,Tasks[[#This Row],[_ShownFcstFinish]]&gt;=StatusDate,Tasks[[#This Row],[_ShownFcstFinish]]&lt;=LookaheadEnd),Tasks[[#This Row],[_ShownFcstFinish]]+Tasks[[#This Row],[_Row]]/100000,"")</f>
        <v/>
      </c>
      <c r="GO16" s="42">
        <f>IF(Tasks[[#This Row],[_LeafCritical]],Tasks[[#This Row],[_ShownFcstStart]]+Tasks[[#This Row],[_Row]]/100000,"")</f>
        <v/>
      </c>
      <c r="GP16" s="42">
        <f>Tasks[[#This Row],[_LeafWork]]*Tasks[[#This Row],[_LeafProgress]]</f>
        <v/>
      </c>
      <c r="GQ16" s="88">
        <f>IF(AND(Tasks[[#This Row],[_IsLeaf]]=1,Tasks[[#This Row],[_LeafProgress]]&gt;=1),IF(N(Tasks[[#This Row],[Actual Finish]])&gt;0,Tasks[[#This Row],[Actual Finish]],Tasks[[#This Row],[_ShownFcstFinish]]),"")</f>
        <v/>
      </c>
      <c r="GR16" s="42">
        <f>IF(Tasks[[#This Row],[_IsLeaf]]=1,N(Tasks[[#This Row],[Story Points]]),0)</f>
        <v/>
      </c>
      <c r="GS16" s="42">
        <f>""</f>
        <v/>
      </c>
      <c r="GT16" s="42">
        <f>IF(Tasks[[#This Row],[Task Name]]="",FALSE(),AND(Tasks[[#This Row],[_IsLeaf]]=1,N(Tasks[[#This Row],[_Days]])=0))</f>
        <v/>
      </c>
      <c r="GU16" s="88">
        <f>IF(Tasks[[#This Row],[Task Name]]="",0,IF(AND(Tasks[[#This Row],[_IsLeaf]]=1,NOT(Tasks[[#This Row],[_IsMilestone]]),N(Tasks[[#This Row],[Progress]])&gt;0),Tasks[[#This Row],[Start]],0))</f>
        <v/>
      </c>
      <c r="GV16" s="88">
        <f>IF(Tasks[[#This Row],[_DoneFrom]]=0,0,IF(Tasks[[#This Row],[Progress]]&gt;=1,Tasks[[#This Row],[Finish]],MAX(Tasks[[#This Row],[_DoneFrom]],Tasks[[#This Row],[Start]]+ROUND((Tasks[[#This Row],[Finish]]-Tasks[[#This Row],[Start]]+1)*Tasks[[#This Row],[Progress]],0)-1)))</f>
        <v/>
      </c>
      <c r="GW16" s="88">
        <f>IF(Tasks[[#This Row],[Task Name]]="",0,IF(OR(NOT(Tasks[[#This Row],[_IsLeaf]]=1),Tasks[[#This Row],[_IsMilestone]],N(Tasks[[#This Row],[Progress]])&gt;=1),0,IF(Tasks[[#This Row],[_DoneTo]]&gt;0,Tasks[[#This Row],[_DoneTo]]+1,Tasks[[#This Row],[Start]])))</f>
        <v/>
      </c>
      <c r="GX16" s="88">
        <f>IF(Tasks[[#This Row],[_RemFrom]]=0,0,Tasks[[#This Row],[Finish]])</f>
        <v/>
      </c>
      <c r="GY16" s="42">
        <f>IF(Tasks[[#This Row],[Task Name]]="",FALSE(),OR(NOT(BaselineSet),N(Tasks[[#This Row],[Baseline Start]])&gt;0))</f>
        <v/>
      </c>
      <c r="GZ16" s="42">
        <f>IF(AND(Sandbox="Yes",L_PARSE_DURATION(Tasks[[#This Row],[Sandbox Duration]])&lt;&gt;""),L_PARSE_DURATION(Tasks[[#This Row],[Sandbox Duration]]),L_PARSE_DURATION(Tasks[[#This Row],[Duration]]))</f>
        <v/>
      </c>
      <c r="HA1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 s="42">
        <f>IF(Tasks[[#This Row],[_IsLeaf]]=1,Tasks[[#This Row],[_Row]],"")</f>
        <v/>
      </c>
      <c r="HD16" s="42">
        <f>IFERROR(INDEX(Tasks[UID],SMALL(Tasks[_PickKey],Tasks[[#This Row],[_Row]]))&amp;" "&amp;INDEX(Tasks[Task Name],SMALL(Tasks[_PickKey],Tasks[[#This Row],[_Row]])),"")</f>
        <v/>
      </c>
      <c r="HE16" s="42">
        <f>IF(Tasks[[#This Row],[Task Name]]="","",IF(Tasks[[#This Row],[_IsSummary]],NETWORKDAYS.INTL(Tasks[[#This Row],[Start]],Tasks[[#This Row],[Finish]],WorkWeek,Holidays),N(Tasks[[#This Row],[_Days]])))</f>
        <v/>
      </c>
      <c r="HF16" s="42">
        <f>IF(Tasks[[#This Row],[Expected]]="",0,((Tasks[[#This Row],[Pessimistic]]-Tasks[[#This Row],[Optimistic]])/6)^2)</f>
        <v/>
      </c>
      <c r="HG16" s="42">
        <f>IF(Tasks[[#This Row],[Expected]]="",0,Tasks[[#This Row],[Expected]]-N(Tasks[[#This Row],[_Days]]))</f>
        <v/>
      </c>
    </row>
    <row r="17" outlineLevel="1">
      <c r="A17" s="21">
        <f>IF(Tasks[[#This Row],[Task Name]]="","",COUNTA(Tasks[[#Headers],[Task Name]]:Tasks[[#This Row],[Task Name]])-1)</f>
        <v/>
      </c>
      <c r="B17" s="22" t="n">
        <v>25</v>
      </c>
      <c r="C17" s="22" t="n">
        <v>2</v>
      </c>
      <c r="D17" s="89" t="inlineStr">
        <is>
          <t>Go-live</t>
        </is>
      </c>
      <c r="E17" s="22" t="n">
        <v>0</v>
      </c>
      <c r="F17" s="23" t="n">
        <v>24</v>
      </c>
      <c r="G17" s="22" t="n"/>
      <c r="H17" s="22" t="n"/>
      <c r="I17" s="23" t="n"/>
      <c r="J17" s="22" t="n"/>
      <c r="K17" s="22" t="n"/>
      <c r="L17" s="23" t="n"/>
      <c r="M17" s="22" t="n"/>
      <c r="N17" s="22" t="n"/>
      <c r="O17" s="23" t="n"/>
      <c r="P17" s="22" t="n"/>
      <c r="Q17" s="22" t="n"/>
      <c r="R17" s="23" t="n"/>
      <c r="S17" s="23" t="n"/>
      <c r="T17" s="82" t="n"/>
      <c r="U17" s="23" t="n"/>
      <c r="V17" s="82" t="n"/>
      <c r="W17" s="23" t="n"/>
      <c r="X17" s="82" t="n"/>
      <c r="Y17" s="23" t="n"/>
      <c r="Z17" s="82" t="n"/>
      <c r="AA17" s="23" t="n"/>
      <c r="AB17" s="23" t="n"/>
      <c r="AC17" s="7" t="n"/>
      <c r="AD17" s="7" t="n"/>
      <c r="AE17" s="61">
        <f>IF(Tasks[[#This Row],[Task Name]]="","",IF(Tasks[[#This Row],[_IsSummary]],MIN(INDEX(Tasks[_ShownFcstStart],Tasks[[#This Row],[_Row]]+1):INDEX(Tasks[_ShownFcstStart],Tasks[[#This Row],[_Row]]+Tasks[[#This Row],[_Descendants]])),Tasks[[#This Row],[_ShownFcstStart]]))</f>
        <v/>
      </c>
      <c r="AF17" s="61">
        <f>IF(Tasks[[#This Row],[Task Name]]="","",IF(Tasks[[#This Row],[_IsSummary]],MAX(INDEX(Tasks[_ShownFcstFinish],Tasks[[#This Row],[_Row]]+1):INDEX(Tasks[_ShownFcstFinish],Tasks[[#This Row],[_Row]]+Tasks[[#This Row],[_Descendants]])),Tasks[[#This Row],[_ShownFcstFinish]]))</f>
        <v/>
      </c>
      <c r="AG17" s="21">
        <f>""</f>
        <v/>
      </c>
      <c r="AH17" s="23" t="inlineStr">
        <is>
          <t>Milestone with a deadline of 18-Dec.</t>
        </is>
      </c>
      <c r="AI1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 s="7" t="n">
        <v>46374</v>
      </c>
      <c r="AK17" s="22" t="inlineStr">
        <is>
          <t>Auto</t>
        </is>
      </c>
      <c r="AL17" s="23" t="n"/>
      <c r="AM17" s="7" t="n"/>
      <c r="AN17" s="21">
        <f>IF(Tasks[[#This Row],[Task Name]]="","",IF(Tasks[[#This Row],[Finish]]&gt;=Tasks[[#This Row],[Planned Finish]],NETWORKDAYS.INTL(Tasks[[#This Row],[Planned Finish]],Tasks[[#This Row],[Finish]],WorkWeek,Holidays)-1,1-NETWORKDAYS.INTL(Tasks[[#This Row],[Finish]],Tasks[[#This Row],[Planned Finish]],WorkWeek,Holidays)))</f>
        <v/>
      </c>
      <c r="AO17" s="21">
        <f>IF(Tasks[[#This Row],[Task Name]]="","",IF(Tasks[[#This Row],[Progress]]&gt;=1,"Complete",IF(OR(N(Tasks[[#This Row],[Actual Start]])&gt;0,Tasks[[#This Row],[Progress]]&gt;0),IF(Tasks[[#This Row],[Finish Var]]&gt;0,"Behind","In Progress"),IF(Tasks[[#This Row],[Planned Start]]&lt;StatusDate,"Late Start","Not Started"))))</f>
        <v/>
      </c>
      <c r="AP17" s="21">
        <f>IF(Tasks[[#This Row],[Task Name]]="","",IF(IF(Tasks[[#This Row],[_IsSummary]],COUNTIF(INDEX(Tasks[_LeafCritical],Tasks[[#This Row],[_Row]]+1):INDEX(Tasks[_LeafCritical],Tasks[[#This Row],[_Row]]+Tasks[[#This Row],[_Descendants]]),TRUE())&gt;0,Tasks[[#This Row],[_LeafCritical]]),"Yes",""))</f>
        <v/>
      </c>
      <c r="AQ17" s="61">
        <f>IF(Tasks[[#This Row],[Task Name]]="","",IF(N(Tasks[[#This Row],[Baseline Start]])&gt;0,Tasks[[#This Row],[Baseline Start]],Tasks[[#This Row],[_CalcStart]]))</f>
        <v/>
      </c>
      <c r="AR17" s="61">
        <f>IF(Tasks[[#This Row],[Task Name]]="","",IF(N(Tasks[[#This Row],[Baseline Finish]])&gt;0,Tasks[[#This Row],[Baseline Finish]],Tasks[[#This Row],[_CalcFinish]]))</f>
        <v/>
      </c>
      <c r="AS17" s="21">
        <f>IF(Tasks[[#This Row],[Task Name]]="","",IF(Tasks[[#This Row],[Start]]&gt;=Tasks[[#This Row],[Planned Start]],NETWORKDAYS.INTL(Tasks[[#This Row],[Planned Start]],Tasks[[#This Row],[Start]],WorkWeek,Holidays)-1,1-NETWORKDAYS.INTL(Tasks[[#This Row],[Start]],Tasks[[#This Row],[Planned Start]],WorkWeek,Holidays)))</f>
        <v/>
      </c>
      <c r="AT17" s="61">
        <f>IF(Tasks[[#This Row],[Task Name]]="","",IF(Tasks[[#This Row],[_IsSummary]],MIN(INDEX(Tasks[_LeafLateStart],Tasks[[#This Row],[_Row]]+1):INDEX(Tasks[_LeafLateStart],Tasks[[#This Row],[_Row]]+Tasks[[#This Row],[_Descendants]])),Tasks[[#This Row],[_LeafLateStart]]))</f>
        <v/>
      </c>
      <c r="AU17" s="61">
        <f>IF(Tasks[[#This Row],[Task Name]]="","",IF(Tasks[[#This Row],[_IsSummary]],MAX(INDEX(Tasks[_LeafLateFinish],Tasks[[#This Row],[_Row]]+1):INDEX(Tasks[_LeafLateFinish],Tasks[[#This Row],[_Row]]+Tasks[[#This Row],[_Descendants]])),Tasks[[#This Row],[_LeafLateFinish]]))</f>
        <v/>
      </c>
      <c r="AV17" s="21">
        <f>IF(Tasks[[#This Row],[Task Name]]="","",IF(Tasks[[#This Row],[_IsSummary]],MIN(INDEX(Tasks[_LeafTotalSlack],Tasks[[#This Row],[_Row]]+1):INDEX(Tasks[_LeafTotalSlack],Tasks[[#This Row],[_Row]]+Tasks[[#This Row],[_Descendants]])),Tasks[[#This Row],[_LeafTotalSlack]]))</f>
        <v/>
      </c>
      <c r="AW1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3" t="n"/>
      <c r="BA1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 s="21">
        <f>IF(Tasks[[#This Row],[Task Name]]="","",IF(Tasks[[#This Row],[_Level]]&lt;=OutlineShowLevel,"Yes","No"))</f>
        <v/>
      </c>
      <c r="BE17" s="84">
        <f>IF(Tasks[[#This Row],[Task Name]]="","",IF(Tasks[[#This Row],[_IsSummary]],SUM(INDEX(Tasks[_LeafTotalWork],Tasks[[#This Row],[_Row]]+1):INDEX(Tasks[_LeafTotalWork],Tasks[[#This Row],[_Row]]+Tasks[[#This Row],[_Descendants]])),Tasks[[#This Row],[_LeafTotalWork]]))</f>
        <v/>
      </c>
      <c r="BF17" s="23" t="n"/>
      <c r="BG1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f>""</f>
        <v/>
      </c>
      <c r="BI17" s="85" t="n"/>
      <c r="BJ17" s="22" t="n"/>
      <c r="BK17" s="21">
        <f>IF(OR(Tasks[[#This Row],[Task Name]]="",Tasks[[#This Row],[Baseline Duration]]=""),"",Tasks[[#This Row],[_SpanDays]]-N(Tasks[[#This Row],[Baseline Duration]]))</f>
        <v/>
      </c>
      <c r="BL17" s="84">
        <f>IF(OR(Tasks[[#This Row],[Task Name]]="",Tasks[[#This Row],[Baseline Work]]=""),"",Tasks[[#This Row],[Work]]-N(Tasks[[#This Row],[Baseline Work]]))</f>
        <v/>
      </c>
      <c r="BM17" s="61">
        <f>IF(Tasks[[#This Row],[Task Name]]="","",IF(OR(TakeBaseline="Yes",N(Tasks[[#This Row],[Baseline Start]])=0),Tasks[[#This Row],[Start]],Tasks[[#This Row],[Baseline Start]]))</f>
        <v/>
      </c>
      <c r="BN17" s="61">
        <f>IF(Tasks[[#This Row],[Task Name]]="","",IF(OR(TakeBaseline="Yes",N(Tasks[[#This Row],[Baseline Finish]])=0),Tasks[[#This Row],[Finish]],Tasks[[#This Row],[Baseline Finish]]))</f>
        <v/>
      </c>
      <c r="BO17" s="21">
        <f>IF(Tasks[[#This Row],[Task Name]]="","",IF(OR(TakeBaseline="Yes",N(Tasks[[#This Row],[Baseline Duration]])=0),Tasks[[#This Row],[_SpanDays]],Tasks[[#This Row],[Baseline Duration]]))</f>
        <v/>
      </c>
      <c r="BP17" s="84">
        <f>IF(Tasks[[#This Row],[Task Name]]="","",IF(OR(TakeBaseline="Yes",N(Tasks[[#This Row],[Baseline Work]])=0),Tasks[[#This Row],[Work]],Tasks[[#This Row],[Baseline Work]]))</f>
        <v/>
      </c>
      <c r="BQ17" s="7" t="n">
        <v>46318</v>
      </c>
      <c r="BR17" s="7" t="n">
        <v>46318</v>
      </c>
      <c r="BS17" s="22" t="n">
        <v>0</v>
      </c>
      <c r="BT17" s="86" t="n">
        <v>0</v>
      </c>
      <c r="BU17" s="23" t="inlineStr">
        <is>
          <t>Priya Sharma</t>
        </is>
      </c>
      <c r="BV17" s="23" t="inlineStr">
        <is>
          <t>Steering committee</t>
        </is>
      </c>
      <c r="BW17" s="23" t="inlineStr">
        <is>
          <t>All staff</t>
        </is>
      </c>
      <c r="BX17" s="87">
        <f>IF(AND(Tasks[[#This Row],[_IsLeaf]]=1,ISNUMBER(Tasks[[#This Row],[Optimistic]]),ISNUMBER(Tasks[[#This Row],[Pessimistic]])),ROUND((Tasks[[#This Row],[Optimistic]]+4*N(Tasks[[#This Row],[_Days]])+Tasks[[#This Row],[Pessimistic]])/6,1),"")</f>
        <v/>
      </c>
      <c r="BY17" s="85" t="n"/>
      <c r="BZ17" s="85" t="n"/>
      <c r="CA17" s="22" t="n"/>
      <c r="CB17" s="42">
        <f>IF(Tasks[[#This Row],[Task Name]]="","",MAX(1,N(Tasks[[#This Row],[Level]])))</f>
        <v/>
      </c>
      <c r="CC17" s="42">
        <f>ROW()-ROW(Tasks[[#Headers],[ID]])</f>
        <v/>
      </c>
      <c r="CD17" s="42">
        <f>IF(OR(Tasks[[#This Row],[Task Name]]="",Tasks[[#This Row],[_Level]]&lt;=1),0,IFERROR(LOOKUP(2,1/(Tasks[[#Headers],[_Level]]:Tasks[[#This Row],[_Level]]=Tasks[[#This Row],[_Level]]-1),ROW(Tasks[[#Headers],[_Level]]:Tasks[[#This Row],[_Level]])),0))</f>
        <v/>
      </c>
      <c r="CE17" s="42">
        <f>IFERROR(N(INDEX(Tasks[_Level],Tasks[[#This Row],[_Row]]+1)),0)</f>
        <v/>
      </c>
      <c r="CF17" s="42">
        <f>AND(Tasks[[#This Row],[Task Name]]&lt;&gt;"",Tasks[[#This Row],[_NextLevel]]&gt;Tasks[[#This Row],[_Level]])</f>
        <v/>
      </c>
      <c r="CG17" s="42">
        <f>IF(Tasks[[#This Row],[_IsSummary]],COUNTIF(Tasks[WBS],Tasks[[#This Row],[WBS]]&amp;".*"),0)</f>
        <v/>
      </c>
      <c r="CH17" s="42">
        <f>IF(AND(Tasks[[#This Row],[Task Name]]&lt;&gt;"",NOT(Tasks[[#This Row],[_IsSummary]])),1,0)</f>
        <v/>
      </c>
      <c r="CI17" s="42">
        <f>IF(N(Tasks[[#This Row],[_Pred1UID]])=0,0,IFERROR(MATCH(Tasks[[#This Row],[_Pred1UID]],Tasks[UID],0),-1))</f>
        <v/>
      </c>
      <c r="CJ17" s="42">
        <f>IF(N(Tasks[[#This Row],[_Pred2UID]])=0,0,IFERROR(MATCH(Tasks[[#This Row],[_Pred2UID]],Tasks[UID],0),-1))</f>
        <v/>
      </c>
      <c r="CK17" s="42">
        <f>IF(N(Tasks[[#This Row],[_Pred3UID]])=0,0,IFERROR(MATCH(Tasks[[#This Row],[_Pred3UID]],Tasks[UID],0),-1))</f>
        <v/>
      </c>
      <c r="CL17" s="42">
        <f>IF(N(Tasks[[#This Row],[_Pred4UID]])=0,0,IFERROR(MATCH(Tasks[[#This Row],[_Pred4UID]],Tasks[UID],0),-1))</f>
        <v/>
      </c>
      <c r="CM1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 s="88">
        <f>IF(N(Tasks[[#This Row],[Constraint Date]])=0,0,IF(AND(OR(Tasks[[#This Row],[_ConstraintCode]]=3,Tasks[[#This Row],[_ConstraintCode]]=6,Tasks[[#This Row],[_ConstraintCode]]=7),N(Tasks[[#This Row],[_Days]])&gt;1),WORKDAY.INTL(N(Tasks[[#This Row],[Constraint Date]]),-(N(Tasks[[#This Row],[_Days]])-1),WorkWeek,Holidays),N(Tasks[[#This Row],[Constraint Date]])))</f>
        <v/>
      </c>
      <c r="CO17" s="88">
        <f>IF(OR(Tasks[[#This Row],[_ConstraintCode]]=2,Tasks[[#This Row],[_ConstraintCode]]=3,Tasks[[#This Row],[_ConstraintCode]]=4,Tasks[[#This Row],[_ConstraintCode]]=6),Tasks[[#This Row],[_ConstraintStart]],0)</f>
        <v/>
      </c>
      <c r="CP17" s="88">
        <f>IF(OR(Tasks[[#This Row],[_ConstraintCode]]=2,Tasks[[#This Row],[_ConstraintCode]]=3,Tasks[[#This Row],[_ConstraintCode]]=5,Tasks[[#This Row],[_ConstraintCode]]=7),Tasks[[#This Row],[_ConstraintStart]],2958465)</f>
        <v/>
      </c>
      <c r="CQ1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 s="88">
        <f>IF(NOT(Tasks[[#This Row],[_IsLeaf]]=1),"",IF(N(Tasks[[#This Row],[_Days]])&lt;=0,Tasks[[#This Row],[_LeafCalcStart]],WORKDAY.INTL(Tasks[[#This Row],[_LeafCalcStart]],Tasks[[#This Row],[_Days]]-1,WorkWeek,Holidays)))</f>
        <v/>
      </c>
      <c r="CS1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 s="42">
        <f>IF(Tasks[[#This Row],[_Predecessors]]="","",TRIM(MID(SUBSTITUTE(SUBSTITUTE(SUBSTITUTE(UPPER(Tasks[[#This Row],[_Predecessors]]),";",",")," ",""),",",REPT(" ",99)),1,99)))</f>
        <v/>
      </c>
      <c r="CV17" s="42">
        <f>IF(Tasks[[#This Row],[_Pred1Text]]="","",IFERROR(VALUE(LEFT(Tasks[[#This Row],[_Pred1Text]],MIN(FIND("F",Tasks[[#This Row],[_Pred1Text]]&amp;"F"),FIND("S",Tasks[[#This Row],[_Pred1Text]]&amp;"S"),FIND("+",Tasks[[#This Row],[_Pred1Text]]&amp;"+"),FIND("-",Tasks[[#This Row],[_Pred1Text]]&amp;"-"))-1)),""))</f>
        <v/>
      </c>
      <c r="CW1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 s="42">
        <f>IF(Tasks[[#This Row],[_Pred1Text]]="","",TRIM(MID(SUBSTITUTE(SUBSTITUTE(SUBSTITUTE(UPPER(Tasks[[#This Row],[_Predecessors]]),";",",")," ",""),",",REPT(" ",99)),100,99)))</f>
        <v/>
      </c>
      <c r="CZ17" s="42">
        <f>IF(Tasks[[#This Row],[_Pred2Text]]="","",IFERROR(VALUE(LEFT(Tasks[[#This Row],[_Pred2Text]],MIN(FIND("F",Tasks[[#This Row],[_Pred2Text]]&amp;"F"),FIND("S",Tasks[[#This Row],[_Pred2Text]]&amp;"S"),FIND("+",Tasks[[#This Row],[_Pred2Text]]&amp;"+"),FIND("-",Tasks[[#This Row],[_Pred2Text]]&amp;"-"))-1)),""))</f>
        <v/>
      </c>
      <c r="DA1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 s="42">
        <f>IF(Tasks[[#This Row],[_Pred2Text]]="","",TRIM(MID(SUBSTITUTE(SUBSTITUTE(SUBSTITUTE(UPPER(Tasks[[#This Row],[_Predecessors]]),";",",")," ",""),",",REPT(" ",99)),199,99)))</f>
        <v/>
      </c>
      <c r="DD17" s="42">
        <f>IF(Tasks[[#This Row],[_Pred3Text]]="","",IFERROR(VALUE(LEFT(Tasks[[#This Row],[_Pred3Text]],MIN(FIND("F",Tasks[[#This Row],[_Pred3Text]]&amp;"F"),FIND("S",Tasks[[#This Row],[_Pred3Text]]&amp;"S"),FIND("+",Tasks[[#This Row],[_Pred3Text]]&amp;"+"),FIND("-",Tasks[[#This Row],[_Pred3Text]]&amp;"-"))-1)),""))</f>
        <v/>
      </c>
      <c r="DE1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 s="42">
        <f>IF(Tasks[[#This Row],[_Pred3Text]]="","",TRIM(MID(SUBSTITUTE(SUBSTITUTE(SUBSTITUTE(UPPER(Tasks[[#This Row],[_Predecessors]]),";",",")," ",""),",",REPT(" ",99)),298,99)))</f>
        <v/>
      </c>
      <c r="DH17" s="42">
        <f>IF(Tasks[[#This Row],[_Pred4Text]]="","",IFERROR(VALUE(LEFT(Tasks[[#This Row],[_Pred4Text]],MIN(FIND("F",Tasks[[#This Row],[_Pred4Text]]&amp;"F"),FIND("S",Tasks[[#This Row],[_Pred4Text]]&amp;"S"),FIND("+",Tasks[[#This Row],[_Pred4Text]]&amp;"+"),FIND("-",Tasks[[#This Row],[_Pred4Text]]&amp;"-"))-1)),""))</f>
        <v/>
      </c>
      <c r="DI1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 s="42">
        <f>IF(OR(Tasks[[#This Row],[Task Name]]="",Tasks[[#This Row],[_Resources]]=""),"",TRIM(MID(SUBSTITUTE(Tasks[[#This Row],[_Resources]],",",REPT(" ",99)),1,99)))</f>
        <v/>
      </c>
      <c r="DL17" s="42">
        <f>IF(Tasks[[#This Row],[_Res1Text]]="","",TRIM(MID(SUBSTITUTE(Tasks[[#This Row],[_Resources]],",",REPT(" ",99)),100,99)))</f>
        <v/>
      </c>
      <c r="DM17" s="42">
        <f>IF(Tasks[[#This Row],[_Res2Text]]="","",TRIM(MID(SUBSTITUTE(Tasks[[#This Row],[_Resources]],",",REPT(" ",99)),199,99)))</f>
        <v/>
      </c>
      <c r="DN17" s="42">
        <f>IF(Tasks[[#This Row],[_Res3Text]]="","",TRIM(MID(SUBSTITUTE(Tasks[[#This Row],[_Resources]],",",REPT(" ",99)),298,99)))</f>
        <v/>
      </c>
      <c r="DO17" s="42">
        <f>IF(Tasks[[#This Row],[_Res1Text]]="",0,IFERROR(MATCH(TRIM(LEFT(Tasks[[#This Row],[_Res1Text]],FIND("[",Tasks[[#This Row],[_Res1Text]]&amp;"[")-1)),res_Name,0),IFERROR(MATCH(TRIM(LEFT(Tasks[[#This Row],[_Res1Text]],FIND("[",Tasks[[#This Row],[_Res1Text]]&amp;"[")-1)),res_Initials,0),0)))</f>
        <v/>
      </c>
      <c r="DP17" s="42">
        <f>IF(Tasks[[#This Row],[_Res2Text]]="",0,IFERROR(MATCH(TRIM(LEFT(Tasks[[#This Row],[_Res2Text]],FIND("[",Tasks[[#This Row],[_Res2Text]]&amp;"[")-1)),res_Name,0),IFERROR(MATCH(TRIM(LEFT(Tasks[[#This Row],[_Res2Text]],FIND("[",Tasks[[#This Row],[_Res2Text]]&amp;"[")-1)),res_Initials,0),0)))</f>
        <v/>
      </c>
      <c r="DQ17" s="42">
        <f>IF(Tasks[[#This Row],[_Res3Text]]="",0,IFERROR(MATCH(TRIM(LEFT(Tasks[[#This Row],[_Res3Text]],FIND("[",Tasks[[#This Row],[_Res3Text]]&amp;"[")-1)),res_Name,0),IFERROR(MATCH(TRIM(LEFT(Tasks[[#This Row],[_Res3Text]],FIND("[",Tasks[[#This Row],[_Res3Text]]&amp;"[")-1)),res_Initials,0),0)))</f>
        <v/>
      </c>
      <c r="DR17" s="42">
        <f>IF(Tasks[[#This Row],[_Res4Text]]="",0,IFERROR(MATCH(TRIM(LEFT(Tasks[[#This Row],[_Res4Text]],FIND("[",Tasks[[#This Row],[_Res4Text]]&amp;"[")-1)),res_Name,0),IFERROR(MATCH(TRIM(LEFT(Tasks[[#This Row],[_Res4Text]],FIND("[",Tasks[[#This Row],[_Res4Text]]&amp;"[")-1)),res_Initials,0),0)))</f>
        <v/>
      </c>
      <c r="DS17" s="42">
        <f>IF(Tasks[[#This Row],[_Res1Text]]="","",IF(Tasks[[#This Row],[_Res1Row]]&gt;0,INDEX(res_Name,Tasks[[#This Row],[_Res1Row]]),TRIM(LEFT(Tasks[[#This Row],[_Res1Text]],FIND("[",Tasks[[#This Row],[_Res1Text]]&amp;"[")-1))))</f>
        <v/>
      </c>
      <c r="DT1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 s="42">
        <f>IF(NOT(Tasks[[#This Row],[_IsLeaf]]=1),0,(Tasks[[#This Row],[_Resource1]]&lt;&gt;"")+(Tasks[[#This Row],[_Res2]]&lt;&gt;"")+(Tasks[[#This Row],[_Res3]]&lt;&gt;"")+(Tasks[[#This Row],[_Res4]]&lt;&gt;""))</f>
        <v/>
      </c>
      <c r="DV17" s="42">
        <f>IF(Tasks[[#This Row],[_Res2Text]]="","",IF(Tasks[[#This Row],[_Res2Row]]&gt;0,INDEX(res_Name,Tasks[[#This Row],[_Res2Row]]),TRIM(LEFT(Tasks[[#This Row],[_Res2Text]],FIND("[",Tasks[[#This Row],[_Res2Text]]&amp;"[")-1))))</f>
        <v/>
      </c>
      <c r="DW1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 s="42">
        <f>IF(OR(NOT(Tasks[[#This Row],[_IsLeaf]]=1),Tasks[[#This Row],[_Res2Row]]=0),0,N(Tasks[[#This Row],[_Days]])*HoursPerDay*IF(Tasks[[#This Row],[_Res2Units]]="",DefaultUnits,Tasks[[#This Row],[_Res2Units]]))</f>
        <v/>
      </c>
      <c r="DY17" s="42">
        <f>IF(AND(AND(Tasks[[#This Row],[_IsLeaf]]=1,Tasks[[#This Row],[_LeafTotalWork]]&gt;0),Tasks[[#This Row],[_Res2Work]]&gt;0),Tasks[[#This Row],[_Res2Work]]/(Tasks[[#This Row],[_FinishWorkday]]-Tasks[[#This Row],[_StartWorkday]]+1),0)</f>
        <v/>
      </c>
      <c r="DZ17" s="42">
        <f>Tasks[[#This Row],[_Res2WorkPerWD]]*MAX(0,Tasks[[#This Row],[_StartWorkday]]-1)</f>
        <v/>
      </c>
      <c r="EA17" s="42">
        <f>Tasks[[#This Row],[_Res2Work]]*Tasks[[#This Row],[_LeafProgress]]</f>
        <v/>
      </c>
      <c r="EB17" s="42">
        <f>IF(Tasks[[#This Row],[_Res3Text]]="","",IF(Tasks[[#This Row],[_Res3Row]]&gt;0,INDEX(res_Name,Tasks[[#This Row],[_Res3Row]]),TRIM(LEFT(Tasks[[#This Row],[_Res3Text]],FIND("[",Tasks[[#This Row],[_Res3Text]]&amp;"[")-1))))</f>
        <v/>
      </c>
      <c r="EC1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 s="42">
        <f>IF(OR(NOT(Tasks[[#This Row],[_IsLeaf]]=1),Tasks[[#This Row],[_Res3Row]]=0),0,N(Tasks[[#This Row],[_Days]])*HoursPerDay*IF(Tasks[[#This Row],[_Res3Units]]="",DefaultUnits,Tasks[[#This Row],[_Res3Units]]))</f>
        <v/>
      </c>
      <c r="EE17" s="42">
        <f>IF(AND(AND(Tasks[[#This Row],[_IsLeaf]]=1,Tasks[[#This Row],[_LeafTotalWork]]&gt;0),Tasks[[#This Row],[_Res3Work]]&gt;0),Tasks[[#This Row],[_Res3Work]]/(Tasks[[#This Row],[_FinishWorkday]]-Tasks[[#This Row],[_StartWorkday]]+1),0)</f>
        <v/>
      </c>
      <c r="EF17" s="42">
        <f>Tasks[[#This Row],[_Res3WorkPerWD]]*MAX(0,Tasks[[#This Row],[_StartWorkday]]-1)</f>
        <v/>
      </c>
      <c r="EG17" s="42">
        <f>Tasks[[#This Row],[_Res3Work]]*Tasks[[#This Row],[_LeafProgress]]</f>
        <v/>
      </c>
      <c r="EH17" s="42">
        <f>IF(Tasks[[#This Row],[_Res4Text]]="","",IF(Tasks[[#This Row],[_Res4Row]]&gt;0,INDEX(res_Name,Tasks[[#This Row],[_Res4Row]]),TRIM(LEFT(Tasks[[#This Row],[_Res4Text]],FIND("[",Tasks[[#This Row],[_Res4Text]]&amp;"[")-1))))</f>
        <v/>
      </c>
      <c r="EI1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 s="42">
        <f>IF(OR(NOT(Tasks[[#This Row],[_IsLeaf]]=1),Tasks[[#This Row],[_Res4Row]]=0),0,N(Tasks[[#This Row],[_Days]])*HoursPerDay*IF(Tasks[[#This Row],[_Res4Units]]="",DefaultUnits,Tasks[[#This Row],[_Res4Units]]))</f>
        <v/>
      </c>
      <c r="EK17" s="42">
        <f>IF(AND(AND(Tasks[[#This Row],[_IsLeaf]]=1,Tasks[[#This Row],[_LeafTotalWork]]&gt;0),Tasks[[#This Row],[_Res4Work]]&gt;0),Tasks[[#This Row],[_Res4Work]]/(Tasks[[#This Row],[_FinishWorkday]]-Tasks[[#This Row],[_StartWorkday]]+1),0)</f>
        <v/>
      </c>
      <c r="EL17" s="42">
        <f>Tasks[[#This Row],[_Res4WorkPerWD]]*MAX(0,Tasks[[#This Row],[_StartWorkday]]-1)</f>
        <v/>
      </c>
      <c r="EM17" s="42">
        <f>Tasks[[#This Row],[_Res4Work]]*Tasks[[#This Row],[_LeafProgress]]</f>
        <v/>
      </c>
      <c r="EN17" s="42">
        <f>IF(ISNUMBER(Tasks[[#This Row],[% Complete]]),Tasks[[#This Row],[% Complete]],IF(Tasks[[#This Row],[Stage]]="",0,IFERROR(INDEX(stg_Pct,MATCH(Tasks[[#This Row],[Stage]],stg_Name,0)),0)))</f>
        <v/>
      </c>
      <c r="EO17" s="42">
        <f>IF(NOT(Tasks[[#This Row],[_IsLeaf]]=1),0,IF(N(Tasks[[#This Row],[Actual Finish]])&gt;0,1,MIN(1,Tasks[[#This Row],[_Pct]])))</f>
        <v/>
      </c>
      <c r="EP17" s="42">
        <f>IF(OR(NOT(Tasks[[#This Row],[_IsLeaf]]=1),Tasks[[#This Row],[_Res1Row]]=0),0,N(Tasks[[#This Row],[_Days]])*HoursPerDay*IF(Tasks[[#This Row],[_Units1]]="",DefaultUnits,Tasks[[#This Row],[_Units1]]))</f>
        <v/>
      </c>
      <c r="EQ17" s="42">
        <f>Tasks[[#This Row],[_LeafWork]]+Tasks[[#This Row],[_Res2Work]]+Tasks[[#This Row],[_Res3Work]]+Tasks[[#This Row],[_Res4Work]]</f>
        <v/>
      </c>
      <c r="ER1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 s="42">
        <f>IF(NOT(Tasks[[#This Row],[_IsLeaf]]=1),0,MAX(_xlfn.MAXIFS(Tasks[_Row],Tasks[_Pred1UID],Tasks[[#This Row],[UID]]),_xlfn.MAXIFS(Tasks[_Row],Tasks[_Pred2UID],Tasks[[#This Row],[UID]]),_xlfn.MAXIFS(Tasks[_Row],Tasks[_Pred3UID],Tasks[[#This Row],[UID]]),_xlfn.MAXIFS(Tasks[_Row],Tasks[_Pred4UID],Tasks[[#This Row],[UID]])))</f>
        <v/>
      </c>
      <c r="FA1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 s="88">
        <f>IF(NOT(Tasks[[#This Row],[_IsLeaf]]=1),"",IF(N(Tasks[[#This Row],[_Days]])&lt;=0,Tasks[[#This Row],[_LeafLateFinish]],WORKDAY.INTL(Tasks[[#This Row],[_LeafLateFinish]],-(Tasks[[#This Row],[_Days]]-1),WorkWeek,Holidays)))</f>
        <v/>
      </c>
      <c r="FD1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 s="42">
        <f>AND(Tasks[[#This Row],[_IsLeaf]]=1,Tasks[[#This Row],[_LeafProgress]]&lt;1,N(Tasks[[#This Row],[_LeafTotalSlack]])&lt;=CriticalSlackDays)</f>
        <v/>
      </c>
      <c r="FF17" s="42">
        <f>IF(AND(Tasks[[#This Row],[_IsLeaf]]=1,Tasks[[#This Row],[_ConstraintCode]]=1,Tasks[[#This Row],[Mode]]&lt;&gt;"Manual",N(Tasks[[#This Row],[Actual Start]])=0),MAX(0,N(Tasks[[#This Row],[Free Slack]])),0)</f>
        <v/>
      </c>
      <c r="FG17" s="88">
        <f>IF(NOT(Tasks[[#This Row],[_IsLeaf]]=1),"",IF(Tasks[[#This Row],[_AlapShift]]=0,Tasks[[#This Row],[_LeafCalcStart]],WORKDAY.INTL(Tasks[[#This Row],[_LeafCalcStart]],Tasks[[#This Row],[_AlapShift]],WorkWeek,Holidays)))</f>
        <v/>
      </c>
      <c r="FH17" s="88">
        <f>IF(NOT(Tasks[[#This Row],[_IsLeaf]]=1),"",IF(Tasks[[#This Row],[_AlapShift]]=0,Tasks[[#This Row],[_LeafCalcFinish]],WORKDAY.INTL(Tasks[[#This Row],[_LeafCalcFinish]],Tasks[[#This Row],[_AlapShift]],WorkWeek,Holidays)))</f>
        <v/>
      </c>
      <c r="FI17" s="88">
        <f>IF(NOT(Tasks[[#This Row],[_IsLeaf]]=1),"",IF(Tasks[[#This Row],[_AlapShift]]=0,Tasks[[#This Row],[_LeafFcstStart]],WORKDAY.INTL(Tasks[[#This Row],[_LeafFcstStart]],Tasks[[#This Row],[_AlapShift]],WorkWeek,Holidays)))</f>
        <v/>
      </c>
      <c r="FJ17" s="88">
        <f>IF(NOT(Tasks[[#This Row],[_IsLeaf]]=1),"",IF(Tasks[[#This Row],[_AlapShift]]=0,Tasks[[#This Row],[_LeafFcstFinish]],WORKDAY.INTL(Tasks[[#This Row],[_LeafFcstFinish]],Tasks[[#This Row],[_AlapShift]],WorkWeek,Holidays)))</f>
        <v/>
      </c>
      <c r="FK17" s="88">
        <f>IF(Tasks[[#This Row],[Task Name]]="","",IF(Tasks[[#This Row],[_IsSummary]],MIN(INDEX(Tasks[_ShownCalcStart],Tasks[[#This Row],[_Row]]+1):INDEX(Tasks[_ShownCalcStart],Tasks[[#This Row],[_Row]]+Tasks[[#This Row],[_Descendants]])),Tasks[[#This Row],[_ShownCalcStart]]))</f>
        <v/>
      </c>
      <c r="FL17" s="88">
        <f>IF(Tasks[[#This Row],[Task Name]]="","",IF(Tasks[[#This Row],[_IsSummary]],MAX(INDEX(Tasks[_ShownCalcFinish],Tasks[[#This Row],[_Row]]+1):INDEX(Tasks[_ShownCalcFinish],Tasks[[#This Row],[_Row]]+Tasks[[#This Row],[_Descendants]])),Tasks[[#This Row],[_ShownCalcFinish]]))</f>
        <v/>
      </c>
      <c r="FM1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 s="42">
        <f>IF(AND(Tasks[[#This Row],[_IsLeaf]]=1,Tasks[[#This Row],[_LeafTotalWork]]&gt;0),NETWORKDAYS.INTL(ProjectStart,Tasks[[#This Row],[_ShownFcstStart]],WorkWeek,Holidays),0)</f>
        <v/>
      </c>
      <c r="FZ17" s="42">
        <f>IF(AND(Tasks[[#This Row],[_IsLeaf]]=1,Tasks[[#This Row],[_LeafTotalWork]]&gt;0),MAX(Tasks[[#This Row],[_StartWorkday]],NETWORKDAYS.INTL(ProjectStart,Tasks[[#This Row],[_ShownFcstFinish]],WorkWeek,Holidays)),0)</f>
        <v/>
      </c>
      <c r="GA17" s="42">
        <f>IF(AND(Tasks[[#This Row],[_IsLeaf]]=1,Tasks[[#This Row],[_LeafTotalWork]]&gt;0),Tasks[[#This Row],[_LeafWork]]/(Tasks[[#This Row],[_FinishWorkday]]-Tasks[[#This Row],[_StartWorkday]]+1),0)</f>
        <v/>
      </c>
      <c r="GB17" s="42">
        <f>Tasks[[#This Row],[_WorkPerWorkday]]*(Tasks[[#This Row],[_StartWorkday]]-1)</f>
        <v/>
      </c>
      <c r="GC17" s="42">
        <f>IF(Tasks[[#This Row],[_IsLeaf]]=1,MAX(N(Tasks[[#This Row],[_Days]]),0.1),0)</f>
        <v/>
      </c>
      <c r="GD17" s="42">
        <f>Tasks[[#This Row],[_WeightDur]]*Tasks[[#This Row],[_LeafProgress]]</f>
        <v/>
      </c>
      <c r="GE17" s="42">
        <f>Tasks[[#This Row],[_WeightDur]]*Tasks[[#This Row],[_PlannedPct]]</f>
        <v/>
      </c>
      <c r="GF1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 s="42">
        <f>IF(AND(Tasks[[#This Row],[_IsLeaf]]=1,N(Tasks[[#This Row],[_Days]])=0,Tasks[[#This Row],[_LeafProgress]]&lt;1),Tasks[[#This Row],[_ShownFcstFinish]]+Tasks[[#This Row],[_Row]]/100000,"")</f>
        <v/>
      </c>
      <c r="GH1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 s="42">
        <f>IF(Tasks[[#This Row],[Task Name]]="","",LEFT(Tasks[[#This Row],[WBS]],FIND(".",Tasks[[#This Row],[WBS]]&amp;".")-1))</f>
        <v/>
      </c>
      <c r="GJ17" s="42">
        <f>IF(AND(Tasks[[#This Row],[Task Name]]&lt;&gt;"",Tasks[[#This Row],[_Level]]=1),Tasks[[#This Row],[_Row]],"")</f>
        <v/>
      </c>
      <c r="GK17" s="42">
        <f>IF(AND(Tasks[[#This Row],[_IsLeaf]]=1,N(Tasks[[#This Row],[_Days]])=0),Tasks[[#This Row],[Planned Finish]]+Tasks[[#This Row],[_Row]]/100000,"")</f>
        <v/>
      </c>
      <c r="GL17" s="42">
        <f>IF(AND(Tasks[[#This Row],[_IsLeaf]]=1,Tasks[[#This Row],[_LeafProgress]]&lt;1,OR(N(Tasks[[#This Row],[Finish Var]])&gt;0,Tasks[[#This Row],[Status]]="Late Start")),MAX(0,Tasks[[#This Row],[Finish Var]])+1-Tasks[[#This Row],[_Row]]/1000000,"")</f>
        <v/>
      </c>
      <c r="GM17" s="42">
        <f>IF(AND(Tasks[[#This Row],[_IsLeaf]]=1,N(Tasks[[#This Row],[Actual Start]])=0,Tasks[[#This Row],[_ShownFcstStart]]&gt;=StatusDate,Tasks[[#This Row],[_ShownFcstStart]]&lt;=LookaheadEnd),Tasks[[#This Row],[_ShownFcstStart]]+Tasks[[#This Row],[_Row]]/100000,"")</f>
        <v/>
      </c>
      <c r="GN17" s="42">
        <f>IF(AND(Tasks[[#This Row],[_IsLeaf]]=1,Tasks[[#This Row],[_LeafProgress]]&lt;1,Tasks[[#This Row],[_ShownFcstFinish]]&gt;=StatusDate,Tasks[[#This Row],[_ShownFcstFinish]]&lt;=LookaheadEnd),Tasks[[#This Row],[_ShownFcstFinish]]+Tasks[[#This Row],[_Row]]/100000,"")</f>
        <v/>
      </c>
      <c r="GO17" s="42">
        <f>IF(Tasks[[#This Row],[_LeafCritical]],Tasks[[#This Row],[_ShownFcstStart]]+Tasks[[#This Row],[_Row]]/100000,"")</f>
        <v/>
      </c>
      <c r="GP17" s="42">
        <f>Tasks[[#This Row],[_LeafWork]]*Tasks[[#This Row],[_LeafProgress]]</f>
        <v/>
      </c>
      <c r="GQ17" s="88">
        <f>IF(AND(Tasks[[#This Row],[_IsLeaf]]=1,Tasks[[#This Row],[_LeafProgress]]&gt;=1),IF(N(Tasks[[#This Row],[Actual Finish]])&gt;0,Tasks[[#This Row],[Actual Finish]],Tasks[[#This Row],[_ShownFcstFinish]]),"")</f>
        <v/>
      </c>
      <c r="GR17" s="42">
        <f>IF(Tasks[[#This Row],[_IsLeaf]]=1,N(Tasks[[#This Row],[Story Points]]),0)</f>
        <v/>
      </c>
      <c r="GS17" s="42">
        <f>""</f>
        <v/>
      </c>
      <c r="GT17" s="42">
        <f>IF(Tasks[[#This Row],[Task Name]]="",FALSE(),AND(Tasks[[#This Row],[_IsLeaf]]=1,N(Tasks[[#This Row],[_Days]])=0))</f>
        <v/>
      </c>
      <c r="GU17" s="88">
        <f>IF(Tasks[[#This Row],[Task Name]]="",0,IF(AND(Tasks[[#This Row],[_IsLeaf]]=1,NOT(Tasks[[#This Row],[_IsMilestone]]),N(Tasks[[#This Row],[Progress]])&gt;0),Tasks[[#This Row],[Start]],0))</f>
        <v/>
      </c>
      <c r="GV17" s="88">
        <f>IF(Tasks[[#This Row],[_DoneFrom]]=0,0,IF(Tasks[[#This Row],[Progress]]&gt;=1,Tasks[[#This Row],[Finish]],MAX(Tasks[[#This Row],[_DoneFrom]],Tasks[[#This Row],[Start]]+ROUND((Tasks[[#This Row],[Finish]]-Tasks[[#This Row],[Start]]+1)*Tasks[[#This Row],[Progress]],0)-1)))</f>
        <v/>
      </c>
      <c r="GW17" s="88">
        <f>IF(Tasks[[#This Row],[Task Name]]="",0,IF(OR(NOT(Tasks[[#This Row],[_IsLeaf]]=1),Tasks[[#This Row],[_IsMilestone]],N(Tasks[[#This Row],[Progress]])&gt;=1),0,IF(Tasks[[#This Row],[_DoneTo]]&gt;0,Tasks[[#This Row],[_DoneTo]]+1,Tasks[[#This Row],[Start]])))</f>
        <v/>
      </c>
      <c r="GX17" s="88">
        <f>IF(Tasks[[#This Row],[_RemFrom]]=0,0,Tasks[[#This Row],[Finish]])</f>
        <v/>
      </c>
      <c r="GY17" s="42">
        <f>IF(Tasks[[#This Row],[Task Name]]="",FALSE(),OR(NOT(BaselineSet),N(Tasks[[#This Row],[Baseline Start]])&gt;0))</f>
        <v/>
      </c>
      <c r="GZ17" s="42">
        <f>IF(AND(Sandbox="Yes",L_PARSE_DURATION(Tasks[[#This Row],[Sandbox Duration]])&lt;&gt;""),L_PARSE_DURATION(Tasks[[#This Row],[Sandbox Duration]]),L_PARSE_DURATION(Tasks[[#This Row],[Duration]]))</f>
        <v/>
      </c>
      <c r="HA1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 s="42">
        <f>IF(Tasks[[#This Row],[_IsLeaf]]=1,Tasks[[#This Row],[_Row]],"")</f>
        <v/>
      </c>
      <c r="HD17" s="42">
        <f>IFERROR(INDEX(Tasks[UID],SMALL(Tasks[_PickKey],Tasks[[#This Row],[_Row]]))&amp;" "&amp;INDEX(Tasks[Task Name],SMALL(Tasks[_PickKey],Tasks[[#This Row],[_Row]])),"")</f>
        <v/>
      </c>
      <c r="HE17" s="42">
        <f>IF(Tasks[[#This Row],[Task Name]]="","",IF(Tasks[[#This Row],[_IsSummary]],NETWORKDAYS.INTL(Tasks[[#This Row],[Start]],Tasks[[#This Row],[Finish]],WorkWeek,Holidays),N(Tasks[[#This Row],[_Days]])))</f>
        <v/>
      </c>
      <c r="HF17" s="42">
        <f>IF(Tasks[[#This Row],[Expected]]="",0,((Tasks[[#This Row],[Pessimistic]]-Tasks[[#This Row],[Optimistic]])/6)^2)</f>
        <v/>
      </c>
      <c r="HG17" s="42">
        <f>IF(Tasks[[#This Row],[Expected]]="",0,Tasks[[#This Row],[Expected]]-N(Tasks[[#This Row],[_Days]]))</f>
        <v/>
      </c>
    </row>
    <row r="18">
      <c r="A18" s="21">
        <f>IF(Tasks[[#This Row],[Task Name]]="","",COUNTA(Tasks[[#Headers],[Task Name]]:Tasks[[#This Row],[Task Name]])-1)</f>
        <v/>
      </c>
      <c r="B18" s="22" t="n">
        <v>26</v>
      </c>
      <c r="C18" s="22" t="n"/>
      <c r="D18" s="23" t="n"/>
      <c r="E18" s="22" t="n"/>
      <c r="F18" s="23" t="n"/>
      <c r="G18" s="22" t="n"/>
      <c r="H18" s="22" t="n"/>
      <c r="I18" s="23" t="n"/>
      <c r="J18" s="22" t="n"/>
      <c r="K18" s="22" t="n"/>
      <c r="L18" s="23" t="n"/>
      <c r="M18" s="22" t="n"/>
      <c r="N18" s="22" t="n"/>
      <c r="O18" s="23" t="n"/>
      <c r="P18" s="22" t="n"/>
      <c r="Q18" s="22" t="n"/>
      <c r="R18" s="23" t="n"/>
      <c r="S18" s="23" t="n"/>
      <c r="T18" s="82" t="n"/>
      <c r="U18" s="23" t="n"/>
      <c r="V18" s="82" t="n"/>
      <c r="W18" s="23" t="n"/>
      <c r="X18" s="82" t="n"/>
      <c r="Y18" s="23" t="n"/>
      <c r="Z18" s="82" t="n"/>
      <c r="AA18" s="23" t="n"/>
      <c r="AB18" s="23" t="n"/>
      <c r="AC18" s="7" t="n"/>
      <c r="AD18" s="7" t="n"/>
      <c r="AE18" s="61">
        <f>IF(Tasks[[#This Row],[Task Name]]="","",IF(Tasks[[#This Row],[_IsSummary]],MIN(INDEX(Tasks[_ShownFcstStart],Tasks[[#This Row],[_Row]]+1):INDEX(Tasks[_ShownFcstStart],Tasks[[#This Row],[_Row]]+Tasks[[#This Row],[_Descendants]])),Tasks[[#This Row],[_ShownFcstStart]]))</f>
        <v/>
      </c>
      <c r="AF18" s="61">
        <f>IF(Tasks[[#This Row],[Task Name]]="","",IF(Tasks[[#This Row],[_IsSummary]],MAX(INDEX(Tasks[_ShownFcstFinish],Tasks[[#This Row],[_Row]]+1):INDEX(Tasks[_ShownFcstFinish],Tasks[[#This Row],[_Row]]+Tasks[[#This Row],[_Descendants]])),Tasks[[#This Row],[_ShownFcstFinish]]))</f>
        <v/>
      </c>
      <c r="AG18" s="21">
        <f>""</f>
        <v/>
      </c>
      <c r="AH18" s="23" t="n"/>
      <c r="AI1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 s="7" t="n"/>
      <c r="AK18" s="22" t="n"/>
      <c r="AL18" s="23" t="n"/>
      <c r="AM18" s="7" t="n"/>
      <c r="AN18" s="21">
        <f>IF(Tasks[[#This Row],[Task Name]]="","",IF(Tasks[[#This Row],[Finish]]&gt;=Tasks[[#This Row],[Planned Finish]],NETWORKDAYS.INTL(Tasks[[#This Row],[Planned Finish]],Tasks[[#This Row],[Finish]],WorkWeek,Holidays)-1,1-NETWORKDAYS.INTL(Tasks[[#This Row],[Finish]],Tasks[[#This Row],[Planned Finish]],WorkWeek,Holidays)))</f>
        <v/>
      </c>
      <c r="AO18" s="21">
        <f>IF(Tasks[[#This Row],[Task Name]]="","",IF(Tasks[[#This Row],[Progress]]&gt;=1,"Complete",IF(OR(N(Tasks[[#This Row],[Actual Start]])&gt;0,Tasks[[#This Row],[Progress]]&gt;0),IF(Tasks[[#This Row],[Finish Var]]&gt;0,"Behind","In Progress"),IF(Tasks[[#This Row],[Planned Start]]&lt;StatusDate,"Late Start","Not Started"))))</f>
        <v/>
      </c>
      <c r="AP18" s="21">
        <f>IF(Tasks[[#This Row],[Task Name]]="","",IF(IF(Tasks[[#This Row],[_IsSummary]],COUNTIF(INDEX(Tasks[_LeafCritical],Tasks[[#This Row],[_Row]]+1):INDEX(Tasks[_LeafCritical],Tasks[[#This Row],[_Row]]+Tasks[[#This Row],[_Descendants]]),TRUE())&gt;0,Tasks[[#This Row],[_LeafCritical]]),"Yes",""))</f>
        <v/>
      </c>
      <c r="AQ18" s="61">
        <f>IF(Tasks[[#This Row],[Task Name]]="","",IF(N(Tasks[[#This Row],[Baseline Start]])&gt;0,Tasks[[#This Row],[Baseline Start]],Tasks[[#This Row],[_CalcStart]]))</f>
        <v/>
      </c>
      <c r="AR18" s="61">
        <f>IF(Tasks[[#This Row],[Task Name]]="","",IF(N(Tasks[[#This Row],[Baseline Finish]])&gt;0,Tasks[[#This Row],[Baseline Finish]],Tasks[[#This Row],[_CalcFinish]]))</f>
        <v/>
      </c>
      <c r="AS18" s="21">
        <f>IF(Tasks[[#This Row],[Task Name]]="","",IF(Tasks[[#This Row],[Start]]&gt;=Tasks[[#This Row],[Planned Start]],NETWORKDAYS.INTL(Tasks[[#This Row],[Planned Start]],Tasks[[#This Row],[Start]],WorkWeek,Holidays)-1,1-NETWORKDAYS.INTL(Tasks[[#This Row],[Start]],Tasks[[#This Row],[Planned Start]],WorkWeek,Holidays)))</f>
        <v/>
      </c>
      <c r="AT18" s="61">
        <f>IF(Tasks[[#This Row],[Task Name]]="","",IF(Tasks[[#This Row],[_IsSummary]],MIN(INDEX(Tasks[_LeafLateStart],Tasks[[#This Row],[_Row]]+1):INDEX(Tasks[_LeafLateStart],Tasks[[#This Row],[_Row]]+Tasks[[#This Row],[_Descendants]])),Tasks[[#This Row],[_LeafLateStart]]))</f>
        <v/>
      </c>
      <c r="AU18" s="61">
        <f>IF(Tasks[[#This Row],[Task Name]]="","",IF(Tasks[[#This Row],[_IsSummary]],MAX(INDEX(Tasks[_LeafLateFinish],Tasks[[#This Row],[_Row]]+1):INDEX(Tasks[_LeafLateFinish],Tasks[[#This Row],[_Row]]+Tasks[[#This Row],[_Descendants]])),Tasks[[#This Row],[_LeafLateFinish]]))</f>
        <v/>
      </c>
      <c r="AV18" s="21">
        <f>IF(Tasks[[#This Row],[Task Name]]="","",IF(Tasks[[#This Row],[_IsSummary]],MIN(INDEX(Tasks[_LeafTotalSlack],Tasks[[#This Row],[_Row]]+1):INDEX(Tasks[_LeafTotalSlack],Tasks[[#This Row],[_Row]]+Tasks[[#This Row],[_Descendants]])),Tasks[[#This Row],[_LeafTotalSlack]]))</f>
        <v/>
      </c>
      <c r="AW1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3" t="n"/>
      <c r="BA1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f>IF(Tasks[[#This Row],[Task Name]]="","",IF(Tasks[[#This Row],[_Level]]&lt;=OutlineShowLevel,"Yes","No"))</f>
        <v/>
      </c>
      <c r="BE18" s="84">
        <f>IF(Tasks[[#This Row],[Task Name]]="","",IF(Tasks[[#This Row],[_IsSummary]],SUM(INDEX(Tasks[_LeafTotalWork],Tasks[[#This Row],[_Row]]+1):INDEX(Tasks[_LeafTotalWork],Tasks[[#This Row],[_Row]]+Tasks[[#This Row],[_Descendants]])),Tasks[[#This Row],[_LeafTotalWork]]))</f>
        <v/>
      </c>
      <c r="BF18" s="23" t="n"/>
      <c r="BG1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f>""</f>
        <v/>
      </c>
      <c r="BI18" s="85" t="n"/>
      <c r="BJ18" s="22" t="n"/>
      <c r="BK18" s="21">
        <f>IF(OR(Tasks[[#This Row],[Task Name]]="",Tasks[[#This Row],[Baseline Duration]]=""),"",Tasks[[#This Row],[_SpanDays]]-N(Tasks[[#This Row],[Baseline Duration]]))</f>
        <v/>
      </c>
      <c r="BL18" s="84">
        <f>IF(OR(Tasks[[#This Row],[Task Name]]="",Tasks[[#This Row],[Baseline Work]]=""),"",Tasks[[#This Row],[Work]]-N(Tasks[[#This Row],[Baseline Work]]))</f>
        <v/>
      </c>
      <c r="BM18" s="61">
        <f>IF(Tasks[[#This Row],[Task Name]]="","",IF(OR(TakeBaseline="Yes",N(Tasks[[#This Row],[Baseline Start]])=0),Tasks[[#This Row],[Start]],Tasks[[#This Row],[Baseline Start]]))</f>
        <v/>
      </c>
      <c r="BN18" s="61">
        <f>IF(Tasks[[#This Row],[Task Name]]="","",IF(OR(TakeBaseline="Yes",N(Tasks[[#This Row],[Baseline Finish]])=0),Tasks[[#This Row],[Finish]],Tasks[[#This Row],[Baseline Finish]]))</f>
        <v/>
      </c>
      <c r="BO18" s="21">
        <f>IF(Tasks[[#This Row],[Task Name]]="","",IF(OR(TakeBaseline="Yes",N(Tasks[[#This Row],[Baseline Duration]])=0),Tasks[[#This Row],[_SpanDays]],Tasks[[#This Row],[Baseline Duration]]))</f>
        <v/>
      </c>
      <c r="BP18" s="84">
        <f>IF(Tasks[[#This Row],[Task Name]]="","",IF(OR(TakeBaseline="Yes",N(Tasks[[#This Row],[Baseline Work]])=0),Tasks[[#This Row],[Work]],Tasks[[#This Row],[Baseline Work]]))</f>
        <v/>
      </c>
      <c r="BQ18" s="7" t="n"/>
      <c r="BR18" s="7" t="n"/>
      <c r="BS18" s="22" t="n"/>
      <c r="BT18" s="86" t="n"/>
      <c r="BU18" s="23" t="n"/>
      <c r="BV18" s="23" t="n"/>
      <c r="BW18" s="23" t="n"/>
      <c r="BX18" s="87">
        <f>IF(AND(Tasks[[#This Row],[_IsLeaf]]=1,ISNUMBER(Tasks[[#This Row],[Optimistic]]),ISNUMBER(Tasks[[#This Row],[Pessimistic]])),ROUND((Tasks[[#This Row],[Optimistic]]+4*N(Tasks[[#This Row],[_Days]])+Tasks[[#This Row],[Pessimistic]])/6,1),"")</f>
        <v/>
      </c>
      <c r="BY18" s="85" t="n"/>
      <c r="BZ18" s="85" t="n"/>
      <c r="CA18" s="22" t="n"/>
      <c r="CB18" s="42">
        <f>IF(Tasks[[#This Row],[Task Name]]="","",MAX(1,N(Tasks[[#This Row],[Level]])))</f>
        <v/>
      </c>
      <c r="CC18" s="42">
        <f>ROW()-ROW(Tasks[[#Headers],[ID]])</f>
        <v/>
      </c>
      <c r="CD18" s="42">
        <f>IF(OR(Tasks[[#This Row],[Task Name]]="",Tasks[[#This Row],[_Level]]&lt;=1),0,IFERROR(LOOKUP(2,1/(Tasks[[#Headers],[_Level]]:Tasks[[#This Row],[_Level]]=Tasks[[#This Row],[_Level]]-1),ROW(Tasks[[#Headers],[_Level]]:Tasks[[#This Row],[_Level]])),0))</f>
        <v/>
      </c>
      <c r="CE18" s="42">
        <f>IFERROR(N(INDEX(Tasks[_Level],Tasks[[#This Row],[_Row]]+1)),0)</f>
        <v/>
      </c>
      <c r="CF18" s="42">
        <f>AND(Tasks[[#This Row],[Task Name]]&lt;&gt;"",Tasks[[#This Row],[_NextLevel]]&gt;Tasks[[#This Row],[_Level]])</f>
        <v/>
      </c>
      <c r="CG18" s="42">
        <f>IF(Tasks[[#This Row],[_IsSummary]],COUNTIF(Tasks[WBS],Tasks[[#This Row],[WBS]]&amp;".*"),0)</f>
        <v/>
      </c>
      <c r="CH18" s="42">
        <f>IF(AND(Tasks[[#This Row],[Task Name]]&lt;&gt;"",NOT(Tasks[[#This Row],[_IsSummary]])),1,0)</f>
        <v/>
      </c>
      <c r="CI18" s="42">
        <f>IF(N(Tasks[[#This Row],[_Pred1UID]])=0,0,IFERROR(MATCH(Tasks[[#This Row],[_Pred1UID]],Tasks[UID],0),-1))</f>
        <v/>
      </c>
      <c r="CJ18" s="42">
        <f>IF(N(Tasks[[#This Row],[_Pred2UID]])=0,0,IFERROR(MATCH(Tasks[[#This Row],[_Pred2UID]],Tasks[UID],0),-1))</f>
        <v/>
      </c>
      <c r="CK18" s="42">
        <f>IF(N(Tasks[[#This Row],[_Pred3UID]])=0,0,IFERROR(MATCH(Tasks[[#This Row],[_Pred3UID]],Tasks[UID],0),-1))</f>
        <v/>
      </c>
      <c r="CL18" s="42">
        <f>IF(N(Tasks[[#This Row],[_Pred4UID]])=0,0,IFERROR(MATCH(Tasks[[#This Row],[_Pred4UID]],Tasks[UID],0),-1))</f>
        <v/>
      </c>
      <c r="CM1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 s="88">
        <f>IF(N(Tasks[[#This Row],[Constraint Date]])=0,0,IF(AND(OR(Tasks[[#This Row],[_ConstraintCode]]=3,Tasks[[#This Row],[_ConstraintCode]]=6,Tasks[[#This Row],[_ConstraintCode]]=7),N(Tasks[[#This Row],[_Days]])&gt;1),WORKDAY.INTL(N(Tasks[[#This Row],[Constraint Date]]),-(N(Tasks[[#This Row],[_Days]])-1),WorkWeek,Holidays),N(Tasks[[#This Row],[Constraint Date]])))</f>
        <v/>
      </c>
      <c r="CO18" s="88">
        <f>IF(OR(Tasks[[#This Row],[_ConstraintCode]]=2,Tasks[[#This Row],[_ConstraintCode]]=3,Tasks[[#This Row],[_ConstraintCode]]=4,Tasks[[#This Row],[_ConstraintCode]]=6),Tasks[[#This Row],[_ConstraintStart]],0)</f>
        <v/>
      </c>
      <c r="CP18" s="88">
        <f>IF(OR(Tasks[[#This Row],[_ConstraintCode]]=2,Tasks[[#This Row],[_ConstraintCode]]=3,Tasks[[#This Row],[_ConstraintCode]]=5,Tasks[[#This Row],[_ConstraintCode]]=7),Tasks[[#This Row],[_ConstraintStart]],2958465)</f>
        <v/>
      </c>
      <c r="CQ1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 s="88">
        <f>IF(NOT(Tasks[[#This Row],[_IsLeaf]]=1),"",IF(N(Tasks[[#This Row],[_Days]])&lt;=0,Tasks[[#This Row],[_LeafCalcStart]],WORKDAY.INTL(Tasks[[#This Row],[_LeafCalcStart]],Tasks[[#This Row],[_Days]]-1,WorkWeek,Holidays)))</f>
        <v/>
      </c>
      <c r="CS1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 s="42">
        <f>IF(Tasks[[#This Row],[_Predecessors]]="","",TRIM(MID(SUBSTITUTE(SUBSTITUTE(SUBSTITUTE(UPPER(Tasks[[#This Row],[_Predecessors]]),";",",")," ",""),",",REPT(" ",99)),1,99)))</f>
        <v/>
      </c>
      <c r="CV18" s="42">
        <f>IF(Tasks[[#This Row],[_Pred1Text]]="","",IFERROR(VALUE(LEFT(Tasks[[#This Row],[_Pred1Text]],MIN(FIND("F",Tasks[[#This Row],[_Pred1Text]]&amp;"F"),FIND("S",Tasks[[#This Row],[_Pred1Text]]&amp;"S"),FIND("+",Tasks[[#This Row],[_Pred1Text]]&amp;"+"),FIND("-",Tasks[[#This Row],[_Pred1Text]]&amp;"-"))-1)),""))</f>
        <v/>
      </c>
      <c r="CW1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 s="42">
        <f>IF(Tasks[[#This Row],[_Pred1Text]]="","",TRIM(MID(SUBSTITUTE(SUBSTITUTE(SUBSTITUTE(UPPER(Tasks[[#This Row],[_Predecessors]]),";",",")," ",""),",",REPT(" ",99)),100,99)))</f>
        <v/>
      </c>
      <c r="CZ18" s="42">
        <f>IF(Tasks[[#This Row],[_Pred2Text]]="","",IFERROR(VALUE(LEFT(Tasks[[#This Row],[_Pred2Text]],MIN(FIND("F",Tasks[[#This Row],[_Pred2Text]]&amp;"F"),FIND("S",Tasks[[#This Row],[_Pred2Text]]&amp;"S"),FIND("+",Tasks[[#This Row],[_Pred2Text]]&amp;"+"),FIND("-",Tasks[[#This Row],[_Pred2Text]]&amp;"-"))-1)),""))</f>
        <v/>
      </c>
      <c r="DA1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 s="42">
        <f>IF(Tasks[[#This Row],[_Pred2Text]]="","",TRIM(MID(SUBSTITUTE(SUBSTITUTE(SUBSTITUTE(UPPER(Tasks[[#This Row],[_Predecessors]]),";",",")," ",""),",",REPT(" ",99)),199,99)))</f>
        <v/>
      </c>
      <c r="DD18" s="42">
        <f>IF(Tasks[[#This Row],[_Pred3Text]]="","",IFERROR(VALUE(LEFT(Tasks[[#This Row],[_Pred3Text]],MIN(FIND("F",Tasks[[#This Row],[_Pred3Text]]&amp;"F"),FIND("S",Tasks[[#This Row],[_Pred3Text]]&amp;"S"),FIND("+",Tasks[[#This Row],[_Pred3Text]]&amp;"+"),FIND("-",Tasks[[#This Row],[_Pred3Text]]&amp;"-"))-1)),""))</f>
        <v/>
      </c>
      <c r="DE1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 s="42">
        <f>IF(Tasks[[#This Row],[_Pred3Text]]="","",TRIM(MID(SUBSTITUTE(SUBSTITUTE(SUBSTITUTE(UPPER(Tasks[[#This Row],[_Predecessors]]),";",",")," ",""),",",REPT(" ",99)),298,99)))</f>
        <v/>
      </c>
      <c r="DH18" s="42">
        <f>IF(Tasks[[#This Row],[_Pred4Text]]="","",IFERROR(VALUE(LEFT(Tasks[[#This Row],[_Pred4Text]],MIN(FIND("F",Tasks[[#This Row],[_Pred4Text]]&amp;"F"),FIND("S",Tasks[[#This Row],[_Pred4Text]]&amp;"S"),FIND("+",Tasks[[#This Row],[_Pred4Text]]&amp;"+"),FIND("-",Tasks[[#This Row],[_Pred4Text]]&amp;"-"))-1)),""))</f>
        <v/>
      </c>
      <c r="DI1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 s="42">
        <f>IF(OR(Tasks[[#This Row],[Task Name]]="",Tasks[[#This Row],[_Resources]]=""),"",TRIM(MID(SUBSTITUTE(Tasks[[#This Row],[_Resources]],",",REPT(" ",99)),1,99)))</f>
        <v/>
      </c>
      <c r="DL18" s="42">
        <f>IF(Tasks[[#This Row],[_Res1Text]]="","",TRIM(MID(SUBSTITUTE(Tasks[[#This Row],[_Resources]],",",REPT(" ",99)),100,99)))</f>
        <v/>
      </c>
      <c r="DM18" s="42">
        <f>IF(Tasks[[#This Row],[_Res2Text]]="","",TRIM(MID(SUBSTITUTE(Tasks[[#This Row],[_Resources]],",",REPT(" ",99)),199,99)))</f>
        <v/>
      </c>
      <c r="DN18" s="42">
        <f>IF(Tasks[[#This Row],[_Res3Text]]="","",TRIM(MID(SUBSTITUTE(Tasks[[#This Row],[_Resources]],",",REPT(" ",99)),298,99)))</f>
        <v/>
      </c>
      <c r="DO18" s="42">
        <f>IF(Tasks[[#This Row],[_Res1Text]]="",0,IFERROR(MATCH(TRIM(LEFT(Tasks[[#This Row],[_Res1Text]],FIND("[",Tasks[[#This Row],[_Res1Text]]&amp;"[")-1)),res_Name,0),IFERROR(MATCH(TRIM(LEFT(Tasks[[#This Row],[_Res1Text]],FIND("[",Tasks[[#This Row],[_Res1Text]]&amp;"[")-1)),res_Initials,0),0)))</f>
        <v/>
      </c>
      <c r="DP18" s="42">
        <f>IF(Tasks[[#This Row],[_Res2Text]]="",0,IFERROR(MATCH(TRIM(LEFT(Tasks[[#This Row],[_Res2Text]],FIND("[",Tasks[[#This Row],[_Res2Text]]&amp;"[")-1)),res_Name,0),IFERROR(MATCH(TRIM(LEFT(Tasks[[#This Row],[_Res2Text]],FIND("[",Tasks[[#This Row],[_Res2Text]]&amp;"[")-1)),res_Initials,0),0)))</f>
        <v/>
      </c>
      <c r="DQ18" s="42">
        <f>IF(Tasks[[#This Row],[_Res3Text]]="",0,IFERROR(MATCH(TRIM(LEFT(Tasks[[#This Row],[_Res3Text]],FIND("[",Tasks[[#This Row],[_Res3Text]]&amp;"[")-1)),res_Name,0),IFERROR(MATCH(TRIM(LEFT(Tasks[[#This Row],[_Res3Text]],FIND("[",Tasks[[#This Row],[_Res3Text]]&amp;"[")-1)),res_Initials,0),0)))</f>
        <v/>
      </c>
      <c r="DR18" s="42">
        <f>IF(Tasks[[#This Row],[_Res4Text]]="",0,IFERROR(MATCH(TRIM(LEFT(Tasks[[#This Row],[_Res4Text]],FIND("[",Tasks[[#This Row],[_Res4Text]]&amp;"[")-1)),res_Name,0),IFERROR(MATCH(TRIM(LEFT(Tasks[[#This Row],[_Res4Text]],FIND("[",Tasks[[#This Row],[_Res4Text]]&amp;"[")-1)),res_Initials,0),0)))</f>
        <v/>
      </c>
      <c r="DS18" s="42">
        <f>IF(Tasks[[#This Row],[_Res1Text]]="","",IF(Tasks[[#This Row],[_Res1Row]]&gt;0,INDEX(res_Name,Tasks[[#This Row],[_Res1Row]]),TRIM(LEFT(Tasks[[#This Row],[_Res1Text]],FIND("[",Tasks[[#This Row],[_Res1Text]]&amp;"[")-1))))</f>
        <v/>
      </c>
      <c r="DT1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 s="42">
        <f>IF(NOT(Tasks[[#This Row],[_IsLeaf]]=1),0,(Tasks[[#This Row],[_Resource1]]&lt;&gt;"")+(Tasks[[#This Row],[_Res2]]&lt;&gt;"")+(Tasks[[#This Row],[_Res3]]&lt;&gt;"")+(Tasks[[#This Row],[_Res4]]&lt;&gt;""))</f>
        <v/>
      </c>
      <c r="DV18" s="42">
        <f>IF(Tasks[[#This Row],[_Res2Text]]="","",IF(Tasks[[#This Row],[_Res2Row]]&gt;0,INDEX(res_Name,Tasks[[#This Row],[_Res2Row]]),TRIM(LEFT(Tasks[[#This Row],[_Res2Text]],FIND("[",Tasks[[#This Row],[_Res2Text]]&amp;"[")-1))))</f>
        <v/>
      </c>
      <c r="DW1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 s="42">
        <f>IF(OR(NOT(Tasks[[#This Row],[_IsLeaf]]=1),Tasks[[#This Row],[_Res2Row]]=0),0,N(Tasks[[#This Row],[_Days]])*HoursPerDay*IF(Tasks[[#This Row],[_Res2Units]]="",DefaultUnits,Tasks[[#This Row],[_Res2Units]]))</f>
        <v/>
      </c>
      <c r="DY18" s="42">
        <f>IF(AND(AND(Tasks[[#This Row],[_IsLeaf]]=1,Tasks[[#This Row],[_LeafTotalWork]]&gt;0),Tasks[[#This Row],[_Res2Work]]&gt;0),Tasks[[#This Row],[_Res2Work]]/(Tasks[[#This Row],[_FinishWorkday]]-Tasks[[#This Row],[_StartWorkday]]+1),0)</f>
        <v/>
      </c>
      <c r="DZ18" s="42">
        <f>Tasks[[#This Row],[_Res2WorkPerWD]]*MAX(0,Tasks[[#This Row],[_StartWorkday]]-1)</f>
        <v/>
      </c>
      <c r="EA18" s="42">
        <f>Tasks[[#This Row],[_Res2Work]]*Tasks[[#This Row],[_LeafProgress]]</f>
        <v/>
      </c>
      <c r="EB18" s="42">
        <f>IF(Tasks[[#This Row],[_Res3Text]]="","",IF(Tasks[[#This Row],[_Res3Row]]&gt;0,INDEX(res_Name,Tasks[[#This Row],[_Res3Row]]),TRIM(LEFT(Tasks[[#This Row],[_Res3Text]],FIND("[",Tasks[[#This Row],[_Res3Text]]&amp;"[")-1))))</f>
        <v/>
      </c>
      <c r="EC1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 s="42">
        <f>IF(OR(NOT(Tasks[[#This Row],[_IsLeaf]]=1),Tasks[[#This Row],[_Res3Row]]=0),0,N(Tasks[[#This Row],[_Days]])*HoursPerDay*IF(Tasks[[#This Row],[_Res3Units]]="",DefaultUnits,Tasks[[#This Row],[_Res3Units]]))</f>
        <v/>
      </c>
      <c r="EE18" s="42">
        <f>IF(AND(AND(Tasks[[#This Row],[_IsLeaf]]=1,Tasks[[#This Row],[_LeafTotalWork]]&gt;0),Tasks[[#This Row],[_Res3Work]]&gt;0),Tasks[[#This Row],[_Res3Work]]/(Tasks[[#This Row],[_FinishWorkday]]-Tasks[[#This Row],[_StartWorkday]]+1),0)</f>
        <v/>
      </c>
      <c r="EF18" s="42">
        <f>Tasks[[#This Row],[_Res3WorkPerWD]]*MAX(0,Tasks[[#This Row],[_StartWorkday]]-1)</f>
        <v/>
      </c>
      <c r="EG18" s="42">
        <f>Tasks[[#This Row],[_Res3Work]]*Tasks[[#This Row],[_LeafProgress]]</f>
        <v/>
      </c>
      <c r="EH18" s="42">
        <f>IF(Tasks[[#This Row],[_Res4Text]]="","",IF(Tasks[[#This Row],[_Res4Row]]&gt;0,INDEX(res_Name,Tasks[[#This Row],[_Res4Row]]),TRIM(LEFT(Tasks[[#This Row],[_Res4Text]],FIND("[",Tasks[[#This Row],[_Res4Text]]&amp;"[")-1))))</f>
        <v/>
      </c>
      <c r="EI1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 s="42">
        <f>IF(OR(NOT(Tasks[[#This Row],[_IsLeaf]]=1),Tasks[[#This Row],[_Res4Row]]=0),0,N(Tasks[[#This Row],[_Days]])*HoursPerDay*IF(Tasks[[#This Row],[_Res4Units]]="",DefaultUnits,Tasks[[#This Row],[_Res4Units]]))</f>
        <v/>
      </c>
      <c r="EK18" s="42">
        <f>IF(AND(AND(Tasks[[#This Row],[_IsLeaf]]=1,Tasks[[#This Row],[_LeafTotalWork]]&gt;0),Tasks[[#This Row],[_Res4Work]]&gt;0),Tasks[[#This Row],[_Res4Work]]/(Tasks[[#This Row],[_FinishWorkday]]-Tasks[[#This Row],[_StartWorkday]]+1),0)</f>
        <v/>
      </c>
      <c r="EL18" s="42">
        <f>Tasks[[#This Row],[_Res4WorkPerWD]]*MAX(0,Tasks[[#This Row],[_StartWorkday]]-1)</f>
        <v/>
      </c>
      <c r="EM18" s="42">
        <f>Tasks[[#This Row],[_Res4Work]]*Tasks[[#This Row],[_LeafProgress]]</f>
        <v/>
      </c>
      <c r="EN18" s="42">
        <f>IF(ISNUMBER(Tasks[[#This Row],[% Complete]]),Tasks[[#This Row],[% Complete]],IF(Tasks[[#This Row],[Stage]]="",0,IFERROR(INDEX(stg_Pct,MATCH(Tasks[[#This Row],[Stage]],stg_Name,0)),0)))</f>
        <v/>
      </c>
      <c r="EO18" s="42">
        <f>IF(NOT(Tasks[[#This Row],[_IsLeaf]]=1),0,IF(N(Tasks[[#This Row],[Actual Finish]])&gt;0,1,MIN(1,Tasks[[#This Row],[_Pct]])))</f>
        <v/>
      </c>
      <c r="EP18" s="42">
        <f>IF(OR(NOT(Tasks[[#This Row],[_IsLeaf]]=1),Tasks[[#This Row],[_Res1Row]]=0),0,N(Tasks[[#This Row],[_Days]])*HoursPerDay*IF(Tasks[[#This Row],[_Units1]]="",DefaultUnits,Tasks[[#This Row],[_Units1]]))</f>
        <v/>
      </c>
      <c r="EQ18" s="42">
        <f>Tasks[[#This Row],[_LeafWork]]+Tasks[[#This Row],[_Res2Work]]+Tasks[[#This Row],[_Res3Work]]+Tasks[[#This Row],[_Res4Work]]</f>
        <v/>
      </c>
      <c r="ER1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 s="42">
        <f>IF(NOT(Tasks[[#This Row],[_IsLeaf]]=1),0,MAX(_xlfn.MAXIFS(Tasks[_Row],Tasks[_Pred1UID],Tasks[[#This Row],[UID]]),_xlfn.MAXIFS(Tasks[_Row],Tasks[_Pred2UID],Tasks[[#This Row],[UID]]),_xlfn.MAXIFS(Tasks[_Row],Tasks[_Pred3UID],Tasks[[#This Row],[UID]]),_xlfn.MAXIFS(Tasks[_Row],Tasks[_Pred4UID],Tasks[[#This Row],[UID]])))</f>
        <v/>
      </c>
      <c r="FA1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 s="88">
        <f>IF(NOT(Tasks[[#This Row],[_IsLeaf]]=1),"",IF(N(Tasks[[#This Row],[_Days]])&lt;=0,Tasks[[#This Row],[_LeafLateFinish]],WORKDAY.INTL(Tasks[[#This Row],[_LeafLateFinish]],-(Tasks[[#This Row],[_Days]]-1),WorkWeek,Holidays)))</f>
        <v/>
      </c>
      <c r="FD1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 s="42">
        <f>AND(Tasks[[#This Row],[_IsLeaf]]=1,Tasks[[#This Row],[_LeafProgress]]&lt;1,N(Tasks[[#This Row],[_LeafTotalSlack]])&lt;=CriticalSlackDays)</f>
        <v/>
      </c>
      <c r="FF18" s="42">
        <f>IF(AND(Tasks[[#This Row],[_IsLeaf]]=1,Tasks[[#This Row],[_ConstraintCode]]=1,Tasks[[#This Row],[Mode]]&lt;&gt;"Manual",N(Tasks[[#This Row],[Actual Start]])=0),MAX(0,N(Tasks[[#This Row],[Free Slack]])),0)</f>
        <v/>
      </c>
      <c r="FG18" s="88">
        <f>IF(NOT(Tasks[[#This Row],[_IsLeaf]]=1),"",IF(Tasks[[#This Row],[_AlapShift]]=0,Tasks[[#This Row],[_LeafCalcStart]],WORKDAY.INTL(Tasks[[#This Row],[_LeafCalcStart]],Tasks[[#This Row],[_AlapShift]],WorkWeek,Holidays)))</f>
        <v/>
      </c>
      <c r="FH18" s="88">
        <f>IF(NOT(Tasks[[#This Row],[_IsLeaf]]=1),"",IF(Tasks[[#This Row],[_AlapShift]]=0,Tasks[[#This Row],[_LeafCalcFinish]],WORKDAY.INTL(Tasks[[#This Row],[_LeafCalcFinish]],Tasks[[#This Row],[_AlapShift]],WorkWeek,Holidays)))</f>
        <v/>
      </c>
      <c r="FI18" s="88">
        <f>IF(NOT(Tasks[[#This Row],[_IsLeaf]]=1),"",IF(Tasks[[#This Row],[_AlapShift]]=0,Tasks[[#This Row],[_LeafFcstStart]],WORKDAY.INTL(Tasks[[#This Row],[_LeafFcstStart]],Tasks[[#This Row],[_AlapShift]],WorkWeek,Holidays)))</f>
        <v/>
      </c>
      <c r="FJ18" s="88">
        <f>IF(NOT(Tasks[[#This Row],[_IsLeaf]]=1),"",IF(Tasks[[#This Row],[_AlapShift]]=0,Tasks[[#This Row],[_LeafFcstFinish]],WORKDAY.INTL(Tasks[[#This Row],[_LeafFcstFinish]],Tasks[[#This Row],[_AlapShift]],WorkWeek,Holidays)))</f>
        <v/>
      </c>
      <c r="FK18" s="88">
        <f>IF(Tasks[[#This Row],[Task Name]]="","",IF(Tasks[[#This Row],[_IsSummary]],MIN(INDEX(Tasks[_ShownCalcStart],Tasks[[#This Row],[_Row]]+1):INDEX(Tasks[_ShownCalcStart],Tasks[[#This Row],[_Row]]+Tasks[[#This Row],[_Descendants]])),Tasks[[#This Row],[_ShownCalcStart]]))</f>
        <v/>
      </c>
      <c r="FL18" s="88">
        <f>IF(Tasks[[#This Row],[Task Name]]="","",IF(Tasks[[#This Row],[_IsSummary]],MAX(INDEX(Tasks[_ShownCalcFinish],Tasks[[#This Row],[_Row]]+1):INDEX(Tasks[_ShownCalcFinish],Tasks[[#This Row],[_Row]]+Tasks[[#This Row],[_Descendants]])),Tasks[[#This Row],[_ShownCalcFinish]]))</f>
        <v/>
      </c>
      <c r="FM1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 s="42">
        <f>IF(AND(Tasks[[#This Row],[_IsLeaf]]=1,Tasks[[#This Row],[_LeafTotalWork]]&gt;0),NETWORKDAYS.INTL(ProjectStart,Tasks[[#This Row],[_ShownFcstStart]],WorkWeek,Holidays),0)</f>
        <v/>
      </c>
      <c r="FZ18" s="42">
        <f>IF(AND(Tasks[[#This Row],[_IsLeaf]]=1,Tasks[[#This Row],[_LeafTotalWork]]&gt;0),MAX(Tasks[[#This Row],[_StartWorkday]],NETWORKDAYS.INTL(ProjectStart,Tasks[[#This Row],[_ShownFcstFinish]],WorkWeek,Holidays)),0)</f>
        <v/>
      </c>
      <c r="GA18" s="42">
        <f>IF(AND(Tasks[[#This Row],[_IsLeaf]]=1,Tasks[[#This Row],[_LeafTotalWork]]&gt;0),Tasks[[#This Row],[_LeafWork]]/(Tasks[[#This Row],[_FinishWorkday]]-Tasks[[#This Row],[_StartWorkday]]+1),0)</f>
        <v/>
      </c>
      <c r="GB18" s="42">
        <f>Tasks[[#This Row],[_WorkPerWorkday]]*(Tasks[[#This Row],[_StartWorkday]]-1)</f>
        <v/>
      </c>
      <c r="GC18" s="42">
        <f>IF(Tasks[[#This Row],[_IsLeaf]]=1,MAX(N(Tasks[[#This Row],[_Days]]),0.1),0)</f>
        <v/>
      </c>
      <c r="GD18" s="42">
        <f>Tasks[[#This Row],[_WeightDur]]*Tasks[[#This Row],[_LeafProgress]]</f>
        <v/>
      </c>
      <c r="GE18" s="42">
        <f>Tasks[[#This Row],[_WeightDur]]*Tasks[[#This Row],[_PlannedPct]]</f>
        <v/>
      </c>
      <c r="GF1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 s="42">
        <f>IF(AND(Tasks[[#This Row],[_IsLeaf]]=1,N(Tasks[[#This Row],[_Days]])=0,Tasks[[#This Row],[_LeafProgress]]&lt;1),Tasks[[#This Row],[_ShownFcstFinish]]+Tasks[[#This Row],[_Row]]/100000,"")</f>
        <v/>
      </c>
      <c r="GH1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 s="42">
        <f>IF(Tasks[[#This Row],[Task Name]]="","",LEFT(Tasks[[#This Row],[WBS]],FIND(".",Tasks[[#This Row],[WBS]]&amp;".")-1))</f>
        <v/>
      </c>
      <c r="GJ18" s="42">
        <f>IF(AND(Tasks[[#This Row],[Task Name]]&lt;&gt;"",Tasks[[#This Row],[_Level]]=1),Tasks[[#This Row],[_Row]],"")</f>
        <v/>
      </c>
      <c r="GK18" s="42">
        <f>IF(AND(Tasks[[#This Row],[_IsLeaf]]=1,N(Tasks[[#This Row],[_Days]])=0),Tasks[[#This Row],[Planned Finish]]+Tasks[[#This Row],[_Row]]/100000,"")</f>
        <v/>
      </c>
      <c r="GL18" s="42">
        <f>IF(AND(Tasks[[#This Row],[_IsLeaf]]=1,Tasks[[#This Row],[_LeafProgress]]&lt;1,OR(N(Tasks[[#This Row],[Finish Var]])&gt;0,Tasks[[#This Row],[Status]]="Late Start")),MAX(0,Tasks[[#This Row],[Finish Var]])+1-Tasks[[#This Row],[_Row]]/1000000,"")</f>
        <v/>
      </c>
      <c r="GM18" s="42">
        <f>IF(AND(Tasks[[#This Row],[_IsLeaf]]=1,N(Tasks[[#This Row],[Actual Start]])=0,Tasks[[#This Row],[_ShownFcstStart]]&gt;=StatusDate,Tasks[[#This Row],[_ShownFcstStart]]&lt;=LookaheadEnd),Tasks[[#This Row],[_ShownFcstStart]]+Tasks[[#This Row],[_Row]]/100000,"")</f>
        <v/>
      </c>
      <c r="GN18" s="42">
        <f>IF(AND(Tasks[[#This Row],[_IsLeaf]]=1,Tasks[[#This Row],[_LeafProgress]]&lt;1,Tasks[[#This Row],[_ShownFcstFinish]]&gt;=StatusDate,Tasks[[#This Row],[_ShownFcstFinish]]&lt;=LookaheadEnd),Tasks[[#This Row],[_ShownFcstFinish]]+Tasks[[#This Row],[_Row]]/100000,"")</f>
        <v/>
      </c>
      <c r="GO18" s="42">
        <f>IF(Tasks[[#This Row],[_LeafCritical]],Tasks[[#This Row],[_ShownFcstStart]]+Tasks[[#This Row],[_Row]]/100000,"")</f>
        <v/>
      </c>
      <c r="GP18" s="42">
        <f>Tasks[[#This Row],[_LeafWork]]*Tasks[[#This Row],[_LeafProgress]]</f>
        <v/>
      </c>
      <c r="GQ18" s="88">
        <f>IF(AND(Tasks[[#This Row],[_IsLeaf]]=1,Tasks[[#This Row],[_LeafProgress]]&gt;=1),IF(N(Tasks[[#This Row],[Actual Finish]])&gt;0,Tasks[[#This Row],[Actual Finish]],Tasks[[#This Row],[_ShownFcstFinish]]),"")</f>
        <v/>
      </c>
      <c r="GR18" s="42">
        <f>IF(Tasks[[#This Row],[_IsLeaf]]=1,N(Tasks[[#This Row],[Story Points]]),0)</f>
        <v/>
      </c>
      <c r="GS18" s="42">
        <f>""</f>
        <v/>
      </c>
      <c r="GT18" s="42">
        <f>IF(Tasks[[#This Row],[Task Name]]="",FALSE(),AND(Tasks[[#This Row],[_IsLeaf]]=1,N(Tasks[[#This Row],[_Days]])=0))</f>
        <v/>
      </c>
      <c r="GU18" s="88">
        <f>IF(Tasks[[#This Row],[Task Name]]="",0,IF(AND(Tasks[[#This Row],[_IsLeaf]]=1,NOT(Tasks[[#This Row],[_IsMilestone]]),N(Tasks[[#This Row],[Progress]])&gt;0),Tasks[[#This Row],[Start]],0))</f>
        <v/>
      </c>
      <c r="GV18" s="88">
        <f>IF(Tasks[[#This Row],[_DoneFrom]]=0,0,IF(Tasks[[#This Row],[Progress]]&gt;=1,Tasks[[#This Row],[Finish]],MAX(Tasks[[#This Row],[_DoneFrom]],Tasks[[#This Row],[Start]]+ROUND((Tasks[[#This Row],[Finish]]-Tasks[[#This Row],[Start]]+1)*Tasks[[#This Row],[Progress]],0)-1)))</f>
        <v/>
      </c>
      <c r="GW18" s="88">
        <f>IF(Tasks[[#This Row],[Task Name]]="",0,IF(OR(NOT(Tasks[[#This Row],[_IsLeaf]]=1),Tasks[[#This Row],[_IsMilestone]],N(Tasks[[#This Row],[Progress]])&gt;=1),0,IF(Tasks[[#This Row],[_DoneTo]]&gt;0,Tasks[[#This Row],[_DoneTo]]+1,Tasks[[#This Row],[Start]])))</f>
        <v/>
      </c>
      <c r="GX18" s="88">
        <f>IF(Tasks[[#This Row],[_RemFrom]]=0,0,Tasks[[#This Row],[Finish]])</f>
        <v/>
      </c>
      <c r="GY18" s="42">
        <f>IF(Tasks[[#This Row],[Task Name]]="",FALSE(),OR(NOT(BaselineSet),N(Tasks[[#This Row],[Baseline Start]])&gt;0))</f>
        <v/>
      </c>
      <c r="GZ18" s="42">
        <f>IF(AND(Sandbox="Yes",L_PARSE_DURATION(Tasks[[#This Row],[Sandbox Duration]])&lt;&gt;""),L_PARSE_DURATION(Tasks[[#This Row],[Sandbox Duration]]),L_PARSE_DURATION(Tasks[[#This Row],[Duration]]))</f>
        <v/>
      </c>
      <c r="HA1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 s="42">
        <f>IF(Tasks[[#This Row],[_IsLeaf]]=1,Tasks[[#This Row],[_Row]],"")</f>
        <v/>
      </c>
      <c r="HD18" s="42">
        <f>IFERROR(INDEX(Tasks[UID],SMALL(Tasks[_PickKey],Tasks[[#This Row],[_Row]]))&amp;" "&amp;INDEX(Tasks[Task Name],SMALL(Tasks[_PickKey],Tasks[[#This Row],[_Row]])),"")</f>
        <v/>
      </c>
      <c r="HE18" s="42">
        <f>IF(Tasks[[#This Row],[Task Name]]="","",IF(Tasks[[#This Row],[_IsSummary]],NETWORKDAYS.INTL(Tasks[[#This Row],[Start]],Tasks[[#This Row],[Finish]],WorkWeek,Holidays),N(Tasks[[#This Row],[_Days]])))</f>
        <v/>
      </c>
      <c r="HF18" s="42">
        <f>IF(Tasks[[#This Row],[Expected]]="",0,((Tasks[[#This Row],[Pessimistic]]-Tasks[[#This Row],[Optimistic]])/6)^2)</f>
        <v/>
      </c>
      <c r="HG18" s="42">
        <f>IF(Tasks[[#This Row],[Expected]]="",0,Tasks[[#This Row],[Expected]]-N(Tasks[[#This Row],[_Days]]))</f>
        <v/>
      </c>
    </row>
    <row r="19">
      <c r="A19" s="21">
        <f>IF(Tasks[[#This Row],[Task Name]]="","",COUNTA(Tasks[[#Headers],[Task Name]]:Tasks[[#This Row],[Task Name]])-1)</f>
        <v/>
      </c>
      <c r="B19" s="22" t="n">
        <v>27</v>
      </c>
      <c r="C19" s="22" t="n"/>
      <c r="D19" s="23" t="n"/>
      <c r="E19" s="22" t="n"/>
      <c r="F19" s="23" t="n"/>
      <c r="G19" s="22" t="n"/>
      <c r="H19" s="22" t="n"/>
      <c r="I19" s="23" t="n"/>
      <c r="J19" s="22" t="n"/>
      <c r="K19" s="22" t="n"/>
      <c r="L19" s="23" t="n"/>
      <c r="M19" s="22" t="n"/>
      <c r="N19" s="22" t="n"/>
      <c r="O19" s="23" t="n"/>
      <c r="P19" s="22" t="n"/>
      <c r="Q19" s="22" t="n"/>
      <c r="R19" s="23" t="n"/>
      <c r="S19" s="23" t="n"/>
      <c r="T19" s="82" t="n"/>
      <c r="U19" s="23" t="n"/>
      <c r="V19" s="82" t="n"/>
      <c r="W19" s="23" t="n"/>
      <c r="X19" s="82" t="n"/>
      <c r="Y19" s="23" t="n"/>
      <c r="Z19" s="82" t="n"/>
      <c r="AA19" s="23" t="n"/>
      <c r="AB19" s="23" t="n"/>
      <c r="AC19" s="7" t="n"/>
      <c r="AD19" s="7" t="n"/>
      <c r="AE19" s="61">
        <f>IF(Tasks[[#This Row],[Task Name]]="","",IF(Tasks[[#This Row],[_IsSummary]],MIN(INDEX(Tasks[_ShownFcstStart],Tasks[[#This Row],[_Row]]+1):INDEX(Tasks[_ShownFcstStart],Tasks[[#This Row],[_Row]]+Tasks[[#This Row],[_Descendants]])),Tasks[[#This Row],[_ShownFcstStart]]))</f>
        <v/>
      </c>
      <c r="AF19" s="61">
        <f>IF(Tasks[[#This Row],[Task Name]]="","",IF(Tasks[[#This Row],[_IsSummary]],MAX(INDEX(Tasks[_ShownFcstFinish],Tasks[[#This Row],[_Row]]+1):INDEX(Tasks[_ShownFcstFinish],Tasks[[#This Row],[_Row]]+Tasks[[#This Row],[_Descendants]])),Tasks[[#This Row],[_ShownFcstFinish]]))</f>
        <v/>
      </c>
      <c r="AG19" s="21">
        <f>""</f>
        <v/>
      </c>
      <c r="AH19" s="23" t="n"/>
      <c r="AI1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 s="7" t="n"/>
      <c r="AK19" s="22" t="n"/>
      <c r="AL19" s="23" t="n"/>
      <c r="AM19" s="7" t="n"/>
      <c r="AN19" s="21">
        <f>IF(Tasks[[#This Row],[Task Name]]="","",IF(Tasks[[#This Row],[Finish]]&gt;=Tasks[[#This Row],[Planned Finish]],NETWORKDAYS.INTL(Tasks[[#This Row],[Planned Finish]],Tasks[[#This Row],[Finish]],WorkWeek,Holidays)-1,1-NETWORKDAYS.INTL(Tasks[[#This Row],[Finish]],Tasks[[#This Row],[Planned Finish]],WorkWeek,Holidays)))</f>
        <v/>
      </c>
      <c r="AO19" s="21">
        <f>IF(Tasks[[#This Row],[Task Name]]="","",IF(Tasks[[#This Row],[Progress]]&gt;=1,"Complete",IF(OR(N(Tasks[[#This Row],[Actual Start]])&gt;0,Tasks[[#This Row],[Progress]]&gt;0),IF(Tasks[[#This Row],[Finish Var]]&gt;0,"Behind","In Progress"),IF(Tasks[[#This Row],[Planned Start]]&lt;StatusDate,"Late Start","Not Started"))))</f>
        <v/>
      </c>
      <c r="AP19" s="21">
        <f>IF(Tasks[[#This Row],[Task Name]]="","",IF(IF(Tasks[[#This Row],[_IsSummary]],COUNTIF(INDEX(Tasks[_LeafCritical],Tasks[[#This Row],[_Row]]+1):INDEX(Tasks[_LeafCritical],Tasks[[#This Row],[_Row]]+Tasks[[#This Row],[_Descendants]]),TRUE())&gt;0,Tasks[[#This Row],[_LeafCritical]]),"Yes",""))</f>
        <v/>
      </c>
      <c r="AQ19" s="61">
        <f>IF(Tasks[[#This Row],[Task Name]]="","",IF(N(Tasks[[#This Row],[Baseline Start]])&gt;0,Tasks[[#This Row],[Baseline Start]],Tasks[[#This Row],[_CalcStart]]))</f>
        <v/>
      </c>
      <c r="AR19" s="61">
        <f>IF(Tasks[[#This Row],[Task Name]]="","",IF(N(Tasks[[#This Row],[Baseline Finish]])&gt;0,Tasks[[#This Row],[Baseline Finish]],Tasks[[#This Row],[_CalcFinish]]))</f>
        <v/>
      </c>
      <c r="AS19" s="21">
        <f>IF(Tasks[[#This Row],[Task Name]]="","",IF(Tasks[[#This Row],[Start]]&gt;=Tasks[[#This Row],[Planned Start]],NETWORKDAYS.INTL(Tasks[[#This Row],[Planned Start]],Tasks[[#This Row],[Start]],WorkWeek,Holidays)-1,1-NETWORKDAYS.INTL(Tasks[[#This Row],[Start]],Tasks[[#This Row],[Planned Start]],WorkWeek,Holidays)))</f>
        <v/>
      </c>
      <c r="AT19" s="61">
        <f>IF(Tasks[[#This Row],[Task Name]]="","",IF(Tasks[[#This Row],[_IsSummary]],MIN(INDEX(Tasks[_LeafLateStart],Tasks[[#This Row],[_Row]]+1):INDEX(Tasks[_LeafLateStart],Tasks[[#This Row],[_Row]]+Tasks[[#This Row],[_Descendants]])),Tasks[[#This Row],[_LeafLateStart]]))</f>
        <v/>
      </c>
      <c r="AU19" s="61">
        <f>IF(Tasks[[#This Row],[Task Name]]="","",IF(Tasks[[#This Row],[_IsSummary]],MAX(INDEX(Tasks[_LeafLateFinish],Tasks[[#This Row],[_Row]]+1):INDEX(Tasks[_LeafLateFinish],Tasks[[#This Row],[_Row]]+Tasks[[#This Row],[_Descendants]])),Tasks[[#This Row],[_LeafLateFinish]]))</f>
        <v/>
      </c>
      <c r="AV19" s="21">
        <f>IF(Tasks[[#This Row],[Task Name]]="","",IF(Tasks[[#This Row],[_IsSummary]],MIN(INDEX(Tasks[_LeafTotalSlack],Tasks[[#This Row],[_Row]]+1):INDEX(Tasks[_LeafTotalSlack],Tasks[[#This Row],[_Row]]+Tasks[[#This Row],[_Descendants]])),Tasks[[#This Row],[_LeafTotalSlack]]))</f>
        <v/>
      </c>
      <c r="AW1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3" t="n"/>
      <c r="BA1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f>IF(Tasks[[#This Row],[Task Name]]="","",IF(Tasks[[#This Row],[_Level]]&lt;=OutlineShowLevel,"Yes","No"))</f>
        <v/>
      </c>
      <c r="BE19" s="84">
        <f>IF(Tasks[[#This Row],[Task Name]]="","",IF(Tasks[[#This Row],[_IsSummary]],SUM(INDEX(Tasks[_LeafTotalWork],Tasks[[#This Row],[_Row]]+1):INDEX(Tasks[_LeafTotalWork],Tasks[[#This Row],[_Row]]+Tasks[[#This Row],[_Descendants]])),Tasks[[#This Row],[_LeafTotalWork]]))</f>
        <v/>
      </c>
      <c r="BF19" s="23" t="n"/>
      <c r="BG1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f>""</f>
        <v/>
      </c>
      <c r="BI19" s="85" t="n"/>
      <c r="BJ19" s="22" t="n"/>
      <c r="BK19" s="21">
        <f>IF(OR(Tasks[[#This Row],[Task Name]]="",Tasks[[#This Row],[Baseline Duration]]=""),"",Tasks[[#This Row],[_SpanDays]]-N(Tasks[[#This Row],[Baseline Duration]]))</f>
        <v/>
      </c>
      <c r="BL19" s="84">
        <f>IF(OR(Tasks[[#This Row],[Task Name]]="",Tasks[[#This Row],[Baseline Work]]=""),"",Tasks[[#This Row],[Work]]-N(Tasks[[#This Row],[Baseline Work]]))</f>
        <v/>
      </c>
      <c r="BM19" s="61">
        <f>IF(Tasks[[#This Row],[Task Name]]="","",IF(OR(TakeBaseline="Yes",N(Tasks[[#This Row],[Baseline Start]])=0),Tasks[[#This Row],[Start]],Tasks[[#This Row],[Baseline Start]]))</f>
        <v/>
      </c>
      <c r="BN19" s="61">
        <f>IF(Tasks[[#This Row],[Task Name]]="","",IF(OR(TakeBaseline="Yes",N(Tasks[[#This Row],[Baseline Finish]])=0),Tasks[[#This Row],[Finish]],Tasks[[#This Row],[Baseline Finish]]))</f>
        <v/>
      </c>
      <c r="BO19" s="21">
        <f>IF(Tasks[[#This Row],[Task Name]]="","",IF(OR(TakeBaseline="Yes",N(Tasks[[#This Row],[Baseline Duration]])=0),Tasks[[#This Row],[_SpanDays]],Tasks[[#This Row],[Baseline Duration]]))</f>
        <v/>
      </c>
      <c r="BP19" s="84">
        <f>IF(Tasks[[#This Row],[Task Name]]="","",IF(OR(TakeBaseline="Yes",N(Tasks[[#This Row],[Baseline Work]])=0),Tasks[[#This Row],[Work]],Tasks[[#This Row],[Baseline Work]]))</f>
        <v/>
      </c>
      <c r="BQ19" s="7" t="n"/>
      <c r="BR19" s="7" t="n"/>
      <c r="BS19" s="22" t="n"/>
      <c r="BT19" s="86" t="n"/>
      <c r="BU19" s="23" t="n"/>
      <c r="BV19" s="23" t="n"/>
      <c r="BW19" s="23" t="n"/>
      <c r="BX19" s="87">
        <f>IF(AND(Tasks[[#This Row],[_IsLeaf]]=1,ISNUMBER(Tasks[[#This Row],[Optimistic]]),ISNUMBER(Tasks[[#This Row],[Pessimistic]])),ROUND((Tasks[[#This Row],[Optimistic]]+4*N(Tasks[[#This Row],[_Days]])+Tasks[[#This Row],[Pessimistic]])/6,1),"")</f>
        <v/>
      </c>
      <c r="BY19" s="85" t="n"/>
      <c r="BZ19" s="85" t="n"/>
      <c r="CA19" s="22" t="n"/>
      <c r="CB19" s="42">
        <f>IF(Tasks[[#This Row],[Task Name]]="","",MAX(1,N(Tasks[[#This Row],[Level]])))</f>
        <v/>
      </c>
      <c r="CC19" s="42">
        <f>ROW()-ROW(Tasks[[#Headers],[ID]])</f>
        <v/>
      </c>
      <c r="CD19" s="42">
        <f>IF(OR(Tasks[[#This Row],[Task Name]]="",Tasks[[#This Row],[_Level]]&lt;=1),0,IFERROR(LOOKUP(2,1/(Tasks[[#Headers],[_Level]]:Tasks[[#This Row],[_Level]]=Tasks[[#This Row],[_Level]]-1),ROW(Tasks[[#Headers],[_Level]]:Tasks[[#This Row],[_Level]])),0))</f>
        <v/>
      </c>
      <c r="CE19" s="42">
        <f>IFERROR(N(INDEX(Tasks[_Level],Tasks[[#This Row],[_Row]]+1)),0)</f>
        <v/>
      </c>
      <c r="CF19" s="42">
        <f>AND(Tasks[[#This Row],[Task Name]]&lt;&gt;"",Tasks[[#This Row],[_NextLevel]]&gt;Tasks[[#This Row],[_Level]])</f>
        <v/>
      </c>
      <c r="CG19" s="42">
        <f>IF(Tasks[[#This Row],[_IsSummary]],COUNTIF(Tasks[WBS],Tasks[[#This Row],[WBS]]&amp;".*"),0)</f>
        <v/>
      </c>
      <c r="CH19" s="42">
        <f>IF(AND(Tasks[[#This Row],[Task Name]]&lt;&gt;"",NOT(Tasks[[#This Row],[_IsSummary]])),1,0)</f>
        <v/>
      </c>
      <c r="CI19" s="42">
        <f>IF(N(Tasks[[#This Row],[_Pred1UID]])=0,0,IFERROR(MATCH(Tasks[[#This Row],[_Pred1UID]],Tasks[UID],0),-1))</f>
        <v/>
      </c>
      <c r="CJ19" s="42">
        <f>IF(N(Tasks[[#This Row],[_Pred2UID]])=0,0,IFERROR(MATCH(Tasks[[#This Row],[_Pred2UID]],Tasks[UID],0),-1))</f>
        <v/>
      </c>
      <c r="CK19" s="42">
        <f>IF(N(Tasks[[#This Row],[_Pred3UID]])=0,0,IFERROR(MATCH(Tasks[[#This Row],[_Pred3UID]],Tasks[UID],0),-1))</f>
        <v/>
      </c>
      <c r="CL19" s="42">
        <f>IF(N(Tasks[[#This Row],[_Pred4UID]])=0,0,IFERROR(MATCH(Tasks[[#This Row],[_Pred4UID]],Tasks[UID],0),-1))</f>
        <v/>
      </c>
      <c r="CM1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 s="88">
        <f>IF(N(Tasks[[#This Row],[Constraint Date]])=0,0,IF(AND(OR(Tasks[[#This Row],[_ConstraintCode]]=3,Tasks[[#This Row],[_ConstraintCode]]=6,Tasks[[#This Row],[_ConstraintCode]]=7),N(Tasks[[#This Row],[_Days]])&gt;1),WORKDAY.INTL(N(Tasks[[#This Row],[Constraint Date]]),-(N(Tasks[[#This Row],[_Days]])-1),WorkWeek,Holidays),N(Tasks[[#This Row],[Constraint Date]])))</f>
        <v/>
      </c>
      <c r="CO19" s="88">
        <f>IF(OR(Tasks[[#This Row],[_ConstraintCode]]=2,Tasks[[#This Row],[_ConstraintCode]]=3,Tasks[[#This Row],[_ConstraintCode]]=4,Tasks[[#This Row],[_ConstraintCode]]=6),Tasks[[#This Row],[_ConstraintStart]],0)</f>
        <v/>
      </c>
      <c r="CP19" s="88">
        <f>IF(OR(Tasks[[#This Row],[_ConstraintCode]]=2,Tasks[[#This Row],[_ConstraintCode]]=3,Tasks[[#This Row],[_ConstraintCode]]=5,Tasks[[#This Row],[_ConstraintCode]]=7),Tasks[[#This Row],[_ConstraintStart]],2958465)</f>
        <v/>
      </c>
      <c r="CQ1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 s="88">
        <f>IF(NOT(Tasks[[#This Row],[_IsLeaf]]=1),"",IF(N(Tasks[[#This Row],[_Days]])&lt;=0,Tasks[[#This Row],[_LeafCalcStart]],WORKDAY.INTL(Tasks[[#This Row],[_LeafCalcStart]],Tasks[[#This Row],[_Days]]-1,WorkWeek,Holidays)))</f>
        <v/>
      </c>
      <c r="CS1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 s="42">
        <f>IF(Tasks[[#This Row],[_Predecessors]]="","",TRIM(MID(SUBSTITUTE(SUBSTITUTE(SUBSTITUTE(UPPER(Tasks[[#This Row],[_Predecessors]]),";",",")," ",""),",",REPT(" ",99)),1,99)))</f>
        <v/>
      </c>
      <c r="CV19" s="42">
        <f>IF(Tasks[[#This Row],[_Pred1Text]]="","",IFERROR(VALUE(LEFT(Tasks[[#This Row],[_Pred1Text]],MIN(FIND("F",Tasks[[#This Row],[_Pred1Text]]&amp;"F"),FIND("S",Tasks[[#This Row],[_Pred1Text]]&amp;"S"),FIND("+",Tasks[[#This Row],[_Pred1Text]]&amp;"+"),FIND("-",Tasks[[#This Row],[_Pred1Text]]&amp;"-"))-1)),""))</f>
        <v/>
      </c>
      <c r="CW1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 s="42">
        <f>IF(Tasks[[#This Row],[_Pred1Text]]="","",TRIM(MID(SUBSTITUTE(SUBSTITUTE(SUBSTITUTE(UPPER(Tasks[[#This Row],[_Predecessors]]),";",",")," ",""),",",REPT(" ",99)),100,99)))</f>
        <v/>
      </c>
      <c r="CZ19" s="42">
        <f>IF(Tasks[[#This Row],[_Pred2Text]]="","",IFERROR(VALUE(LEFT(Tasks[[#This Row],[_Pred2Text]],MIN(FIND("F",Tasks[[#This Row],[_Pred2Text]]&amp;"F"),FIND("S",Tasks[[#This Row],[_Pred2Text]]&amp;"S"),FIND("+",Tasks[[#This Row],[_Pred2Text]]&amp;"+"),FIND("-",Tasks[[#This Row],[_Pred2Text]]&amp;"-"))-1)),""))</f>
        <v/>
      </c>
      <c r="DA1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 s="42">
        <f>IF(Tasks[[#This Row],[_Pred2Text]]="","",TRIM(MID(SUBSTITUTE(SUBSTITUTE(SUBSTITUTE(UPPER(Tasks[[#This Row],[_Predecessors]]),";",",")," ",""),",",REPT(" ",99)),199,99)))</f>
        <v/>
      </c>
      <c r="DD19" s="42">
        <f>IF(Tasks[[#This Row],[_Pred3Text]]="","",IFERROR(VALUE(LEFT(Tasks[[#This Row],[_Pred3Text]],MIN(FIND("F",Tasks[[#This Row],[_Pred3Text]]&amp;"F"),FIND("S",Tasks[[#This Row],[_Pred3Text]]&amp;"S"),FIND("+",Tasks[[#This Row],[_Pred3Text]]&amp;"+"),FIND("-",Tasks[[#This Row],[_Pred3Text]]&amp;"-"))-1)),""))</f>
        <v/>
      </c>
      <c r="DE1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 s="42">
        <f>IF(Tasks[[#This Row],[_Pred3Text]]="","",TRIM(MID(SUBSTITUTE(SUBSTITUTE(SUBSTITUTE(UPPER(Tasks[[#This Row],[_Predecessors]]),";",",")," ",""),",",REPT(" ",99)),298,99)))</f>
        <v/>
      </c>
      <c r="DH19" s="42">
        <f>IF(Tasks[[#This Row],[_Pred4Text]]="","",IFERROR(VALUE(LEFT(Tasks[[#This Row],[_Pred4Text]],MIN(FIND("F",Tasks[[#This Row],[_Pred4Text]]&amp;"F"),FIND("S",Tasks[[#This Row],[_Pred4Text]]&amp;"S"),FIND("+",Tasks[[#This Row],[_Pred4Text]]&amp;"+"),FIND("-",Tasks[[#This Row],[_Pred4Text]]&amp;"-"))-1)),""))</f>
        <v/>
      </c>
      <c r="DI1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 s="42">
        <f>IF(OR(Tasks[[#This Row],[Task Name]]="",Tasks[[#This Row],[_Resources]]=""),"",TRIM(MID(SUBSTITUTE(Tasks[[#This Row],[_Resources]],",",REPT(" ",99)),1,99)))</f>
        <v/>
      </c>
      <c r="DL19" s="42">
        <f>IF(Tasks[[#This Row],[_Res1Text]]="","",TRIM(MID(SUBSTITUTE(Tasks[[#This Row],[_Resources]],",",REPT(" ",99)),100,99)))</f>
        <v/>
      </c>
      <c r="DM19" s="42">
        <f>IF(Tasks[[#This Row],[_Res2Text]]="","",TRIM(MID(SUBSTITUTE(Tasks[[#This Row],[_Resources]],",",REPT(" ",99)),199,99)))</f>
        <v/>
      </c>
      <c r="DN19" s="42">
        <f>IF(Tasks[[#This Row],[_Res3Text]]="","",TRIM(MID(SUBSTITUTE(Tasks[[#This Row],[_Resources]],",",REPT(" ",99)),298,99)))</f>
        <v/>
      </c>
      <c r="DO19" s="42">
        <f>IF(Tasks[[#This Row],[_Res1Text]]="",0,IFERROR(MATCH(TRIM(LEFT(Tasks[[#This Row],[_Res1Text]],FIND("[",Tasks[[#This Row],[_Res1Text]]&amp;"[")-1)),res_Name,0),IFERROR(MATCH(TRIM(LEFT(Tasks[[#This Row],[_Res1Text]],FIND("[",Tasks[[#This Row],[_Res1Text]]&amp;"[")-1)),res_Initials,0),0)))</f>
        <v/>
      </c>
      <c r="DP19" s="42">
        <f>IF(Tasks[[#This Row],[_Res2Text]]="",0,IFERROR(MATCH(TRIM(LEFT(Tasks[[#This Row],[_Res2Text]],FIND("[",Tasks[[#This Row],[_Res2Text]]&amp;"[")-1)),res_Name,0),IFERROR(MATCH(TRIM(LEFT(Tasks[[#This Row],[_Res2Text]],FIND("[",Tasks[[#This Row],[_Res2Text]]&amp;"[")-1)),res_Initials,0),0)))</f>
        <v/>
      </c>
      <c r="DQ19" s="42">
        <f>IF(Tasks[[#This Row],[_Res3Text]]="",0,IFERROR(MATCH(TRIM(LEFT(Tasks[[#This Row],[_Res3Text]],FIND("[",Tasks[[#This Row],[_Res3Text]]&amp;"[")-1)),res_Name,0),IFERROR(MATCH(TRIM(LEFT(Tasks[[#This Row],[_Res3Text]],FIND("[",Tasks[[#This Row],[_Res3Text]]&amp;"[")-1)),res_Initials,0),0)))</f>
        <v/>
      </c>
      <c r="DR19" s="42">
        <f>IF(Tasks[[#This Row],[_Res4Text]]="",0,IFERROR(MATCH(TRIM(LEFT(Tasks[[#This Row],[_Res4Text]],FIND("[",Tasks[[#This Row],[_Res4Text]]&amp;"[")-1)),res_Name,0),IFERROR(MATCH(TRIM(LEFT(Tasks[[#This Row],[_Res4Text]],FIND("[",Tasks[[#This Row],[_Res4Text]]&amp;"[")-1)),res_Initials,0),0)))</f>
        <v/>
      </c>
      <c r="DS19" s="42">
        <f>IF(Tasks[[#This Row],[_Res1Text]]="","",IF(Tasks[[#This Row],[_Res1Row]]&gt;0,INDEX(res_Name,Tasks[[#This Row],[_Res1Row]]),TRIM(LEFT(Tasks[[#This Row],[_Res1Text]],FIND("[",Tasks[[#This Row],[_Res1Text]]&amp;"[")-1))))</f>
        <v/>
      </c>
      <c r="DT1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 s="42">
        <f>IF(NOT(Tasks[[#This Row],[_IsLeaf]]=1),0,(Tasks[[#This Row],[_Resource1]]&lt;&gt;"")+(Tasks[[#This Row],[_Res2]]&lt;&gt;"")+(Tasks[[#This Row],[_Res3]]&lt;&gt;"")+(Tasks[[#This Row],[_Res4]]&lt;&gt;""))</f>
        <v/>
      </c>
      <c r="DV19" s="42">
        <f>IF(Tasks[[#This Row],[_Res2Text]]="","",IF(Tasks[[#This Row],[_Res2Row]]&gt;0,INDEX(res_Name,Tasks[[#This Row],[_Res2Row]]),TRIM(LEFT(Tasks[[#This Row],[_Res2Text]],FIND("[",Tasks[[#This Row],[_Res2Text]]&amp;"[")-1))))</f>
        <v/>
      </c>
      <c r="DW1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 s="42">
        <f>IF(OR(NOT(Tasks[[#This Row],[_IsLeaf]]=1),Tasks[[#This Row],[_Res2Row]]=0),0,N(Tasks[[#This Row],[_Days]])*HoursPerDay*IF(Tasks[[#This Row],[_Res2Units]]="",DefaultUnits,Tasks[[#This Row],[_Res2Units]]))</f>
        <v/>
      </c>
      <c r="DY19" s="42">
        <f>IF(AND(AND(Tasks[[#This Row],[_IsLeaf]]=1,Tasks[[#This Row],[_LeafTotalWork]]&gt;0),Tasks[[#This Row],[_Res2Work]]&gt;0),Tasks[[#This Row],[_Res2Work]]/(Tasks[[#This Row],[_FinishWorkday]]-Tasks[[#This Row],[_StartWorkday]]+1),0)</f>
        <v/>
      </c>
      <c r="DZ19" s="42">
        <f>Tasks[[#This Row],[_Res2WorkPerWD]]*MAX(0,Tasks[[#This Row],[_StartWorkday]]-1)</f>
        <v/>
      </c>
      <c r="EA19" s="42">
        <f>Tasks[[#This Row],[_Res2Work]]*Tasks[[#This Row],[_LeafProgress]]</f>
        <v/>
      </c>
      <c r="EB19" s="42">
        <f>IF(Tasks[[#This Row],[_Res3Text]]="","",IF(Tasks[[#This Row],[_Res3Row]]&gt;0,INDEX(res_Name,Tasks[[#This Row],[_Res3Row]]),TRIM(LEFT(Tasks[[#This Row],[_Res3Text]],FIND("[",Tasks[[#This Row],[_Res3Text]]&amp;"[")-1))))</f>
        <v/>
      </c>
      <c r="EC1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 s="42">
        <f>IF(OR(NOT(Tasks[[#This Row],[_IsLeaf]]=1),Tasks[[#This Row],[_Res3Row]]=0),0,N(Tasks[[#This Row],[_Days]])*HoursPerDay*IF(Tasks[[#This Row],[_Res3Units]]="",DefaultUnits,Tasks[[#This Row],[_Res3Units]]))</f>
        <v/>
      </c>
      <c r="EE19" s="42">
        <f>IF(AND(AND(Tasks[[#This Row],[_IsLeaf]]=1,Tasks[[#This Row],[_LeafTotalWork]]&gt;0),Tasks[[#This Row],[_Res3Work]]&gt;0),Tasks[[#This Row],[_Res3Work]]/(Tasks[[#This Row],[_FinishWorkday]]-Tasks[[#This Row],[_StartWorkday]]+1),0)</f>
        <v/>
      </c>
      <c r="EF19" s="42">
        <f>Tasks[[#This Row],[_Res3WorkPerWD]]*MAX(0,Tasks[[#This Row],[_StartWorkday]]-1)</f>
        <v/>
      </c>
      <c r="EG19" s="42">
        <f>Tasks[[#This Row],[_Res3Work]]*Tasks[[#This Row],[_LeafProgress]]</f>
        <v/>
      </c>
      <c r="EH19" s="42">
        <f>IF(Tasks[[#This Row],[_Res4Text]]="","",IF(Tasks[[#This Row],[_Res4Row]]&gt;0,INDEX(res_Name,Tasks[[#This Row],[_Res4Row]]),TRIM(LEFT(Tasks[[#This Row],[_Res4Text]],FIND("[",Tasks[[#This Row],[_Res4Text]]&amp;"[")-1))))</f>
        <v/>
      </c>
      <c r="EI1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 s="42">
        <f>IF(OR(NOT(Tasks[[#This Row],[_IsLeaf]]=1),Tasks[[#This Row],[_Res4Row]]=0),0,N(Tasks[[#This Row],[_Days]])*HoursPerDay*IF(Tasks[[#This Row],[_Res4Units]]="",DefaultUnits,Tasks[[#This Row],[_Res4Units]]))</f>
        <v/>
      </c>
      <c r="EK19" s="42">
        <f>IF(AND(AND(Tasks[[#This Row],[_IsLeaf]]=1,Tasks[[#This Row],[_LeafTotalWork]]&gt;0),Tasks[[#This Row],[_Res4Work]]&gt;0),Tasks[[#This Row],[_Res4Work]]/(Tasks[[#This Row],[_FinishWorkday]]-Tasks[[#This Row],[_StartWorkday]]+1),0)</f>
        <v/>
      </c>
      <c r="EL19" s="42">
        <f>Tasks[[#This Row],[_Res4WorkPerWD]]*MAX(0,Tasks[[#This Row],[_StartWorkday]]-1)</f>
        <v/>
      </c>
      <c r="EM19" s="42">
        <f>Tasks[[#This Row],[_Res4Work]]*Tasks[[#This Row],[_LeafProgress]]</f>
        <v/>
      </c>
      <c r="EN19" s="42">
        <f>IF(ISNUMBER(Tasks[[#This Row],[% Complete]]),Tasks[[#This Row],[% Complete]],IF(Tasks[[#This Row],[Stage]]="",0,IFERROR(INDEX(stg_Pct,MATCH(Tasks[[#This Row],[Stage]],stg_Name,0)),0)))</f>
        <v/>
      </c>
      <c r="EO19" s="42">
        <f>IF(NOT(Tasks[[#This Row],[_IsLeaf]]=1),0,IF(N(Tasks[[#This Row],[Actual Finish]])&gt;0,1,MIN(1,Tasks[[#This Row],[_Pct]])))</f>
        <v/>
      </c>
      <c r="EP19" s="42">
        <f>IF(OR(NOT(Tasks[[#This Row],[_IsLeaf]]=1),Tasks[[#This Row],[_Res1Row]]=0),0,N(Tasks[[#This Row],[_Days]])*HoursPerDay*IF(Tasks[[#This Row],[_Units1]]="",DefaultUnits,Tasks[[#This Row],[_Units1]]))</f>
        <v/>
      </c>
      <c r="EQ19" s="42">
        <f>Tasks[[#This Row],[_LeafWork]]+Tasks[[#This Row],[_Res2Work]]+Tasks[[#This Row],[_Res3Work]]+Tasks[[#This Row],[_Res4Work]]</f>
        <v/>
      </c>
      <c r="ER1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 s="42">
        <f>IF(NOT(Tasks[[#This Row],[_IsLeaf]]=1),0,MAX(_xlfn.MAXIFS(Tasks[_Row],Tasks[_Pred1UID],Tasks[[#This Row],[UID]]),_xlfn.MAXIFS(Tasks[_Row],Tasks[_Pred2UID],Tasks[[#This Row],[UID]]),_xlfn.MAXIFS(Tasks[_Row],Tasks[_Pred3UID],Tasks[[#This Row],[UID]]),_xlfn.MAXIFS(Tasks[_Row],Tasks[_Pred4UID],Tasks[[#This Row],[UID]])))</f>
        <v/>
      </c>
      <c r="FA1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 s="88">
        <f>IF(NOT(Tasks[[#This Row],[_IsLeaf]]=1),"",IF(N(Tasks[[#This Row],[_Days]])&lt;=0,Tasks[[#This Row],[_LeafLateFinish]],WORKDAY.INTL(Tasks[[#This Row],[_LeafLateFinish]],-(Tasks[[#This Row],[_Days]]-1),WorkWeek,Holidays)))</f>
        <v/>
      </c>
      <c r="FD1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 s="42">
        <f>AND(Tasks[[#This Row],[_IsLeaf]]=1,Tasks[[#This Row],[_LeafProgress]]&lt;1,N(Tasks[[#This Row],[_LeafTotalSlack]])&lt;=CriticalSlackDays)</f>
        <v/>
      </c>
      <c r="FF19" s="42">
        <f>IF(AND(Tasks[[#This Row],[_IsLeaf]]=1,Tasks[[#This Row],[_ConstraintCode]]=1,Tasks[[#This Row],[Mode]]&lt;&gt;"Manual",N(Tasks[[#This Row],[Actual Start]])=0),MAX(0,N(Tasks[[#This Row],[Free Slack]])),0)</f>
        <v/>
      </c>
      <c r="FG19" s="88">
        <f>IF(NOT(Tasks[[#This Row],[_IsLeaf]]=1),"",IF(Tasks[[#This Row],[_AlapShift]]=0,Tasks[[#This Row],[_LeafCalcStart]],WORKDAY.INTL(Tasks[[#This Row],[_LeafCalcStart]],Tasks[[#This Row],[_AlapShift]],WorkWeek,Holidays)))</f>
        <v/>
      </c>
      <c r="FH19" s="88">
        <f>IF(NOT(Tasks[[#This Row],[_IsLeaf]]=1),"",IF(Tasks[[#This Row],[_AlapShift]]=0,Tasks[[#This Row],[_LeafCalcFinish]],WORKDAY.INTL(Tasks[[#This Row],[_LeafCalcFinish]],Tasks[[#This Row],[_AlapShift]],WorkWeek,Holidays)))</f>
        <v/>
      </c>
      <c r="FI19" s="88">
        <f>IF(NOT(Tasks[[#This Row],[_IsLeaf]]=1),"",IF(Tasks[[#This Row],[_AlapShift]]=0,Tasks[[#This Row],[_LeafFcstStart]],WORKDAY.INTL(Tasks[[#This Row],[_LeafFcstStart]],Tasks[[#This Row],[_AlapShift]],WorkWeek,Holidays)))</f>
        <v/>
      </c>
      <c r="FJ19" s="88">
        <f>IF(NOT(Tasks[[#This Row],[_IsLeaf]]=1),"",IF(Tasks[[#This Row],[_AlapShift]]=0,Tasks[[#This Row],[_LeafFcstFinish]],WORKDAY.INTL(Tasks[[#This Row],[_LeafFcstFinish]],Tasks[[#This Row],[_AlapShift]],WorkWeek,Holidays)))</f>
        <v/>
      </c>
      <c r="FK19" s="88">
        <f>IF(Tasks[[#This Row],[Task Name]]="","",IF(Tasks[[#This Row],[_IsSummary]],MIN(INDEX(Tasks[_ShownCalcStart],Tasks[[#This Row],[_Row]]+1):INDEX(Tasks[_ShownCalcStart],Tasks[[#This Row],[_Row]]+Tasks[[#This Row],[_Descendants]])),Tasks[[#This Row],[_ShownCalcStart]]))</f>
        <v/>
      </c>
      <c r="FL19" s="88">
        <f>IF(Tasks[[#This Row],[Task Name]]="","",IF(Tasks[[#This Row],[_IsSummary]],MAX(INDEX(Tasks[_ShownCalcFinish],Tasks[[#This Row],[_Row]]+1):INDEX(Tasks[_ShownCalcFinish],Tasks[[#This Row],[_Row]]+Tasks[[#This Row],[_Descendants]])),Tasks[[#This Row],[_ShownCalcFinish]]))</f>
        <v/>
      </c>
      <c r="FM1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 s="42">
        <f>IF(AND(Tasks[[#This Row],[_IsLeaf]]=1,Tasks[[#This Row],[_LeafTotalWork]]&gt;0),NETWORKDAYS.INTL(ProjectStart,Tasks[[#This Row],[_ShownFcstStart]],WorkWeek,Holidays),0)</f>
        <v/>
      </c>
      <c r="FZ19" s="42">
        <f>IF(AND(Tasks[[#This Row],[_IsLeaf]]=1,Tasks[[#This Row],[_LeafTotalWork]]&gt;0),MAX(Tasks[[#This Row],[_StartWorkday]],NETWORKDAYS.INTL(ProjectStart,Tasks[[#This Row],[_ShownFcstFinish]],WorkWeek,Holidays)),0)</f>
        <v/>
      </c>
      <c r="GA19" s="42">
        <f>IF(AND(Tasks[[#This Row],[_IsLeaf]]=1,Tasks[[#This Row],[_LeafTotalWork]]&gt;0),Tasks[[#This Row],[_LeafWork]]/(Tasks[[#This Row],[_FinishWorkday]]-Tasks[[#This Row],[_StartWorkday]]+1),0)</f>
        <v/>
      </c>
      <c r="GB19" s="42">
        <f>Tasks[[#This Row],[_WorkPerWorkday]]*(Tasks[[#This Row],[_StartWorkday]]-1)</f>
        <v/>
      </c>
      <c r="GC19" s="42">
        <f>IF(Tasks[[#This Row],[_IsLeaf]]=1,MAX(N(Tasks[[#This Row],[_Days]]),0.1),0)</f>
        <v/>
      </c>
      <c r="GD19" s="42">
        <f>Tasks[[#This Row],[_WeightDur]]*Tasks[[#This Row],[_LeafProgress]]</f>
        <v/>
      </c>
      <c r="GE19" s="42">
        <f>Tasks[[#This Row],[_WeightDur]]*Tasks[[#This Row],[_PlannedPct]]</f>
        <v/>
      </c>
      <c r="GF1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 s="42">
        <f>IF(AND(Tasks[[#This Row],[_IsLeaf]]=1,N(Tasks[[#This Row],[_Days]])=0,Tasks[[#This Row],[_LeafProgress]]&lt;1),Tasks[[#This Row],[_ShownFcstFinish]]+Tasks[[#This Row],[_Row]]/100000,"")</f>
        <v/>
      </c>
      <c r="GH1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 s="42">
        <f>IF(Tasks[[#This Row],[Task Name]]="","",LEFT(Tasks[[#This Row],[WBS]],FIND(".",Tasks[[#This Row],[WBS]]&amp;".")-1))</f>
        <v/>
      </c>
      <c r="GJ19" s="42">
        <f>IF(AND(Tasks[[#This Row],[Task Name]]&lt;&gt;"",Tasks[[#This Row],[_Level]]=1),Tasks[[#This Row],[_Row]],"")</f>
        <v/>
      </c>
      <c r="GK19" s="42">
        <f>IF(AND(Tasks[[#This Row],[_IsLeaf]]=1,N(Tasks[[#This Row],[_Days]])=0),Tasks[[#This Row],[Planned Finish]]+Tasks[[#This Row],[_Row]]/100000,"")</f>
        <v/>
      </c>
      <c r="GL19" s="42">
        <f>IF(AND(Tasks[[#This Row],[_IsLeaf]]=1,Tasks[[#This Row],[_LeafProgress]]&lt;1,OR(N(Tasks[[#This Row],[Finish Var]])&gt;0,Tasks[[#This Row],[Status]]="Late Start")),MAX(0,Tasks[[#This Row],[Finish Var]])+1-Tasks[[#This Row],[_Row]]/1000000,"")</f>
        <v/>
      </c>
      <c r="GM19" s="42">
        <f>IF(AND(Tasks[[#This Row],[_IsLeaf]]=1,N(Tasks[[#This Row],[Actual Start]])=0,Tasks[[#This Row],[_ShownFcstStart]]&gt;=StatusDate,Tasks[[#This Row],[_ShownFcstStart]]&lt;=LookaheadEnd),Tasks[[#This Row],[_ShownFcstStart]]+Tasks[[#This Row],[_Row]]/100000,"")</f>
        <v/>
      </c>
      <c r="GN19" s="42">
        <f>IF(AND(Tasks[[#This Row],[_IsLeaf]]=1,Tasks[[#This Row],[_LeafProgress]]&lt;1,Tasks[[#This Row],[_ShownFcstFinish]]&gt;=StatusDate,Tasks[[#This Row],[_ShownFcstFinish]]&lt;=LookaheadEnd),Tasks[[#This Row],[_ShownFcstFinish]]+Tasks[[#This Row],[_Row]]/100000,"")</f>
        <v/>
      </c>
      <c r="GO19" s="42">
        <f>IF(Tasks[[#This Row],[_LeafCritical]],Tasks[[#This Row],[_ShownFcstStart]]+Tasks[[#This Row],[_Row]]/100000,"")</f>
        <v/>
      </c>
      <c r="GP19" s="42">
        <f>Tasks[[#This Row],[_LeafWork]]*Tasks[[#This Row],[_LeafProgress]]</f>
        <v/>
      </c>
      <c r="GQ19" s="88">
        <f>IF(AND(Tasks[[#This Row],[_IsLeaf]]=1,Tasks[[#This Row],[_LeafProgress]]&gt;=1),IF(N(Tasks[[#This Row],[Actual Finish]])&gt;0,Tasks[[#This Row],[Actual Finish]],Tasks[[#This Row],[_ShownFcstFinish]]),"")</f>
        <v/>
      </c>
      <c r="GR19" s="42">
        <f>IF(Tasks[[#This Row],[_IsLeaf]]=1,N(Tasks[[#This Row],[Story Points]]),0)</f>
        <v/>
      </c>
      <c r="GS19" s="42">
        <f>""</f>
        <v/>
      </c>
      <c r="GT19" s="42">
        <f>IF(Tasks[[#This Row],[Task Name]]="",FALSE(),AND(Tasks[[#This Row],[_IsLeaf]]=1,N(Tasks[[#This Row],[_Days]])=0))</f>
        <v/>
      </c>
      <c r="GU19" s="88">
        <f>IF(Tasks[[#This Row],[Task Name]]="",0,IF(AND(Tasks[[#This Row],[_IsLeaf]]=1,NOT(Tasks[[#This Row],[_IsMilestone]]),N(Tasks[[#This Row],[Progress]])&gt;0),Tasks[[#This Row],[Start]],0))</f>
        <v/>
      </c>
      <c r="GV19" s="88">
        <f>IF(Tasks[[#This Row],[_DoneFrom]]=0,0,IF(Tasks[[#This Row],[Progress]]&gt;=1,Tasks[[#This Row],[Finish]],MAX(Tasks[[#This Row],[_DoneFrom]],Tasks[[#This Row],[Start]]+ROUND((Tasks[[#This Row],[Finish]]-Tasks[[#This Row],[Start]]+1)*Tasks[[#This Row],[Progress]],0)-1)))</f>
        <v/>
      </c>
      <c r="GW19" s="88">
        <f>IF(Tasks[[#This Row],[Task Name]]="",0,IF(OR(NOT(Tasks[[#This Row],[_IsLeaf]]=1),Tasks[[#This Row],[_IsMilestone]],N(Tasks[[#This Row],[Progress]])&gt;=1),0,IF(Tasks[[#This Row],[_DoneTo]]&gt;0,Tasks[[#This Row],[_DoneTo]]+1,Tasks[[#This Row],[Start]])))</f>
        <v/>
      </c>
      <c r="GX19" s="88">
        <f>IF(Tasks[[#This Row],[_RemFrom]]=0,0,Tasks[[#This Row],[Finish]])</f>
        <v/>
      </c>
      <c r="GY19" s="42">
        <f>IF(Tasks[[#This Row],[Task Name]]="",FALSE(),OR(NOT(BaselineSet),N(Tasks[[#This Row],[Baseline Start]])&gt;0))</f>
        <v/>
      </c>
      <c r="GZ19" s="42">
        <f>IF(AND(Sandbox="Yes",L_PARSE_DURATION(Tasks[[#This Row],[Sandbox Duration]])&lt;&gt;""),L_PARSE_DURATION(Tasks[[#This Row],[Sandbox Duration]]),L_PARSE_DURATION(Tasks[[#This Row],[Duration]]))</f>
        <v/>
      </c>
      <c r="HA1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 s="42">
        <f>IF(Tasks[[#This Row],[_IsLeaf]]=1,Tasks[[#This Row],[_Row]],"")</f>
        <v/>
      </c>
      <c r="HD19" s="42">
        <f>IFERROR(INDEX(Tasks[UID],SMALL(Tasks[_PickKey],Tasks[[#This Row],[_Row]]))&amp;" "&amp;INDEX(Tasks[Task Name],SMALL(Tasks[_PickKey],Tasks[[#This Row],[_Row]])),"")</f>
        <v/>
      </c>
      <c r="HE19" s="42">
        <f>IF(Tasks[[#This Row],[Task Name]]="","",IF(Tasks[[#This Row],[_IsSummary]],NETWORKDAYS.INTL(Tasks[[#This Row],[Start]],Tasks[[#This Row],[Finish]],WorkWeek,Holidays),N(Tasks[[#This Row],[_Days]])))</f>
        <v/>
      </c>
      <c r="HF19" s="42">
        <f>IF(Tasks[[#This Row],[Expected]]="",0,((Tasks[[#This Row],[Pessimistic]]-Tasks[[#This Row],[Optimistic]])/6)^2)</f>
        <v/>
      </c>
      <c r="HG19" s="42">
        <f>IF(Tasks[[#This Row],[Expected]]="",0,Tasks[[#This Row],[Expected]]-N(Tasks[[#This Row],[_Days]]))</f>
        <v/>
      </c>
    </row>
    <row r="20">
      <c r="A20" s="21">
        <f>IF(Tasks[[#This Row],[Task Name]]="","",COUNTA(Tasks[[#Headers],[Task Name]]:Tasks[[#This Row],[Task Name]])-1)</f>
        <v/>
      </c>
      <c r="B20" s="22" t="n">
        <v>28</v>
      </c>
      <c r="C20" s="22" t="n"/>
      <c r="D20" s="23" t="n"/>
      <c r="E20" s="22" t="n"/>
      <c r="F20" s="23" t="n"/>
      <c r="G20" s="22" t="n"/>
      <c r="H20" s="22" t="n"/>
      <c r="I20" s="23" t="n"/>
      <c r="J20" s="22" t="n"/>
      <c r="K20" s="22" t="n"/>
      <c r="L20" s="23" t="n"/>
      <c r="M20" s="22" t="n"/>
      <c r="N20" s="22" t="n"/>
      <c r="O20" s="23" t="n"/>
      <c r="P20" s="22" t="n"/>
      <c r="Q20" s="22" t="n"/>
      <c r="R20" s="23" t="n"/>
      <c r="S20" s="23" t="n"/>
      <c r="T20" s="82" t="n"/>
      <c r="U20" s="23" t="n"/>
      <c r="V20" s="82" t="n"/>
      <c r="W20" s="23" t="n"/>
      <c r="X20" s="82" t="n"/>
      <c r="Y20" s="23" t="n"/>
      <c r="Z20" s="82" t="n"/>
      <c r="AA20" s="23" t="n"/>
      <c r="AB20" s="23" t="n"/>
      <c r="AC20" s="7" t="n"/>
      <c r="AD20" s="7" t="n"/>
      <c r="AE20" s="61">
        <f>IF(Tasks[[#This Row],[Task Name]]="","",IF(Tasks[[#This Row],[_IsSummary]],MIN(INDEX(Tasks[_ShownFcstStart],Tasks[[#This Row],[_Row]]+1):INDEX(Tasks[_ShownFcstStart],Tasks[[#This Row],[_Row]]+Tasks[[#This Row],[_Descendants]])),Tasks[[#This Row],[_ShownFcstStart]]))</f>
        <v/>
      </c>
      <c r="AF20" s="61">
        <f>IF(Tasks[[#This Row],[Task Name]]="","",IF(Tasks[[#This Row],[_IsSummary]],MAX(INDEX(Tasks[_ShownFcstFinish],Tasks[[#This Row],[_Row]]+1):INDEX(Tasks[_ShownFcstFinish],Tasks[[#This Row],[_Row]]+Tasks[[#This Row],[_Descendants]])),Tasks[[#This Row],[_ShownFcstFinish]]))</f>
        <v/>
      </c>
      <c r="AG20" s="21">
        <f>""</f>
        <v/>
      </c>
      <c r="AH20" s="23" t="n"/>
      <c r="AI2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0" s="7" t="n"/>
      <c r="AK20" s="22" t="n"/>
      <c r="AL20" s="23" t="n"/>
      <c r="AM20" s="7" t="n"/>
      <c r="AN20" s="21">
        <f>IF(Tasks[[#This Row],[Task Name]]="","",IF(Tasks[[#This Row],[Finish]]&gt;=Tasks[[#This Row],[Planned Finish]],NETWORKDAYS.INTL(Tasks[[#This Row],[Planned Finish]],Tasks[[#This Row],[Finish]],WorkWeek,Holidays)-1,1-NETWORKDAYS.INTL(Tasks[[#This Row],[Finish]],Tasks[[#This Row],[Planned Finish]],WorkWeek,Holidays)))</f>
        <v/>
      </c>
      <c r="AO20" s="21">
        <f>IF(Tasks[[#This Row],[Task Name]]="","",IF(Tasks[[#This Row],[Progress]]&gt;=1,"Complete",IF(OR(N(Tasks[[#This Row],[Actual Start]])&gt;0,Tasks[[#This Row],[Progress]]&gt;0),IF(Tasks[[#This Row],[Finish Var]]&gt;0,"Behind","In Progress"),IF(Tasks[[#This Row],[Planned Start]]&lt;StatusDate,"Late Start","Not Started"))))</f>
        <v/>
      </c>
      <c r="AP20" s="21">
        <f>IF(Tasks[[#This Row],[Task Name]]="","",IF(IF(Tasks[[#This Row],[_IsSummary]],COUNTIF(INDEX(Tasks[_LeafCritical],Tasks[[#This Row],[_Row]]+1):INDEX(Tasks[_LeafCritical],Tasks[[#This Row],[_Row]]+Tasks[[#This Row],[_Descendants]]),TRUE())&gt;0,Tasks[[#This Row],[_LeafCritical]]),"Yes",""))</f>
        <v/>
      </c>
      <c r="AQ20" s="61">
        <f>IF(Tasks[[#This Row],[Task Name]]="","",IF(N(Tasks[[#This Row],[Baseline Start]])&gt;0,Tasks[[#This Row],[Baseline Start]],Tasks[[#This Row],[_CalcStart]]))</f>
        <v/>
      </c>
      <c r="AR20" s="61">
        <f>IF(Tasks[[#This Row],[Task Name]]="","",IF(N(Tasks[[#This Row],[Baseline Finish]])&gt;0,Tasks[[#This Row],[Baseline Finish]],Tasks[[#This Row],[_CalcFinish]]))</f>
        <v/>
      </c>
      <c r="AS20" s="21">
        <f>IF(Tasks[[#This Row],[Task Name]]="","",IF(Tasks[[#This Row],[Start]]&gt;=Tasks[[#This Row],[Planned Start]],NETWORKDAYS.INTL(Tasks[[#This Row],[Planned Start]],Tasks[[#This Row],[Start]],WorkWeek,Holidays)-1,1-NETWORKDAYS.INTL(Tasks[[#This Row],[Start]],Tasks[[#This Row],[Planned Start]],WorkWeek,Holidays)))</f>
        <v/>
      </c>
      <c r="AT20" s="61">
        <f>IF(Tasks[[#This Row],[Task Name]]="","",IF(Tasks[[#This Row],[_IsSummary]],MIN(INDEX(Tasks[_LeafLateStart],Tasks[[#This Row],[_Row]]+1):INDEX(Tasks[_LeafLateStart],Tasks[[#This Row],[_Row]]+Tasks[[#This Row],[_Descendants]])),Tasks[[#This Row],[_LeafLateStart]]))</f>
        <v/>
      </c>
      <c r="AU20" s="61">
        <f>IF(Tasks[[#This Row],[Task Name]]="","",IF(Tasks[[#This Row],[_IsSummary]],MAX(INDEX(Tasks[_LeafLateFinish],Tasks[[#This Row],[_Row]]+1):INDEX(Tasks[_LeafLateFinish],Tasks[[#This Row],[_Row]]+Tasks[[#This Row],[_Descendants]])),Tasks[[#This Row],[_LeafLateFinish]]))</f>
        <v/>
      </c>
      <c r="AV20" s="21">
        <f>IF(Tasks[[#This Row],[Task Name]]="","",IF(Tasks[[#This Row],[_IsSummary]],MIN(INDEX(Tasks[_LeafTotalSlack],Tasks[[#This Row],[_Row]]+1):INDEX(Tasks[_LeafTotalSlack],Tasks[[#This Row],[_Row]]+Tasks[[#This Row],[_Descendants]])),Tasks[[#This Row],[_LeafTotalSlack]]))</f>
        <v/>
      </c>
      <c r="AW2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3" t="n"/>
      <c r="BA2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f>IF(Tasks[[#This Row],[Task Name]]="","",IF(Tasks[[#This Row],[_Level]]&lt;=OutlineShowLevel,"Yes","No"))</f>
        <v/>
      </c>
      <c r="BE20" s="84">
        <f>IF(Tasks[[#This Row],[Task Name]]="","",IF(Tasks[[#This Row],[_IsSummary]],SUM(INDEX(Tasks[_LeafTotalWork],Tasks[[#This Row],[_Row]]+1):INDEX(Tasks[_LeafTotalWork],Tasks[[#This Row],[_Row]]+Tasks[[#This Row],[_Descendants]])),Tasks[[#This Row],[_LeafTotalWork]]))</f>
        <v/>
      </c>
      <c r="BF20" s="23" t="n"/>
      <c r="BG2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f>""</f>
        <v/>
      </c>
      <c r="BI20" s="85" t="n"/>
      <c r="BJ20" s="22" t="n"/>
      <c r="BK20" s="21">
        <f>IF(OR(Tasks[[#This Row],[Task Name]]="",Tasks[[#This Row],[Baseline Duration]]=""),"",Tasks[[#This Row],[_SpanDays]]-N(Tasks[[#This Row],[Baseline Duration]]))</f>
        <v/>
      </c>
      <c r="BL20" s="84">
        <f>IF(OR(Tasks[[#This Row],[Task Name]]="",Tasks[[#This Row],[Baseline Work]]=""),"",Tasks[[#This Row],[Work]]-N(Tasks[[#This Row],[Baseline Work]]))</f>
        <v/>
      </c>
      <c r="BM20" s="61">
        <f>IF(Tasks[[#This Row],[Task Name]]="","",IF(OR(TakeBaseline="Yes",N(Tasks[[#This Row],[Baseline Start]])=0),Tasks[[#This Row],[Start]],Tasks[[#This Row],[Baseline Start]]))</f>
        <v/>
      </c>
      <c r="BN20" s="61">
        <f>IF(Tasks[[#This Row],[Task Name]]="","",IF(OR(TakeBaseline="Yes",N(Tasks[[#This Row],[Baseline Finish]])=0),Tasks[[#This Row],[Finish]],Tasks[[#This Row],[Baseline Finish]]))</f>
        <v/>
      </c>
      <c r="BO20" s="21">
        <f>IF(Tasks[[#This Row],[Task Name]]="","",IF(OR(TakeBaseline="Yes",N(Tasks[[#This Row],[Baseline Duration]])=0),Tasks[[#This Row],[_SpanDays]],Tasks[[#This Row],[Baseline Duration]]))</f>
        <v/>
      </c>
      <c r="BP20" s="84">
        <f>IF(Tasks[[#This Row],[Task Name]]="","",IF(OR(TakeBaseline="Yes",N(Tasks[[#This Row],[Baseline Work]])=0),Tasks[[#This Row],[Work]],Tasks[[#This Row],[Baseline Work]]))</f>
        <v/>
      </c>
      <c r="BQ20" s="7" t="n"/>
      <c r="BR20" s="7" t="n"/>
      <c r="BS20" s="22" t="n"/>
      <c r="BT20" s="86" t="n"/>
      <c r="BU20" s="23" t="n"/>
      <c r="BV20" s="23" t="n"/>
      <c r="BW20" s="23" t="n"/>
      <c r="BX20" s="87">
        <f>IF(AND(Tasks[[#This Row],[_IsLeaf]]=1,ISNUMBER(Tasks[[#This Row],[Optimistic]]),ISNUMBER(Tasks[[#This Row],[Pessimistic]])),ROUND((Tasks[[#This Row],[Optimistic]]+4*N(Tasks[[#This Row],[_Days]])+Tasks[[#This Row],[Pessimistic]])/6,1),"")</f>
        <v/>
      </c>
      <c r="BY20" s="85" t="n"/>
      <c r="BZ20" s="85" t="n"/>
      <c r="CA20" s="22" t="n"/>
      <c r="CB20" s="42">
        <f>IF(Tasks[[#This Row],[Task Name]]="","",MAX(1,N(Tasks[[#This Row],[Level]])))</f>
        <v/>
      </c>
      <c r="CC20" s="42">
        <f>ROW()-ROW(Tasks[[#Headers],[ID]])</f>
        <v/>
      </c>
      <c r="CD20" s="42">
        <f>IF(OR(Tasks[[#This Row],[Task Name]]="",Tasks[[#This Row],[_Level]]&lt;=1),0,IFERROR(LOOKUP(2,1/(Tasks[[#Headers],[_Level]]:Tasks[[#This Row],[_Level]]=Tasks[[#This Row],[_Level]]-1),ROW(Tasks[[#Headers],[_Level]]:Tasks[[#This Row],[_Level]])),0))</f>
        <v/>
      </c>
      <c r="CE20" s="42">
        <f>IFERROR(N(INDEX(Tasks[_Level],Tasks[[#This Row],[_Row]]+1)),0)</f>
        <v/>
      </c>
      <c r="CF20" s="42">
        <f>AND(Tasks[[#This Row],[Task Name]]&lt;&gt;"",Tasks[[#This Row],[_NextLevel]]&gt;Tasks[[#This Row],[_Level]])</f>
        <v/>
      </c>
      <c r="CG20" s="42">
        <f>IF(Tasks[[#This Row],[_IsSummary]],COUNTIF(Tasks[WBS],Tasks[[#This Row],[WBS]]&amp;".*"),0)</f>
        <v/>
      </c>
      <c r="CH20" s="42">
        <f>IF(AND(Tasks[[#This Row],[Task Name]]&lt;&gt;"",NOT(Tasks[[#This Row],[_IsSummary]])),1,0)</f>
        <v/>
      </c>
      <c r="CI20" s="42">
        <f>IF(N(Tasks[[#This Row],[_Pred1UID]])=0,0,IFERROR(MATCH(Tasks[[#This Row],[_Pred1UID]],Tasks[UID],0),-1))</f>
        <v/>
      </c>
      <c r="CJ20" s="42">
        <f>IF(N(Tasks[[#This Row],[_Pred2UID]])=0,0,IFERROR(MATCH(Tasks[[#This Row],[_Pred2UID]],Tasks[UID],0),-1))</f>
        <v/>
      </c>
      <c r="CK20" s="42">
        <f>IF(N(Tasks[[#This Row],[_Pred3UID]])=0,0,IFERROR(MATCH(Tasks[[#This Row],[_Pred3UID]],Tasks[UID],0),-1))</f>
        <v/>
      </c>
      <c r="CL20" s="42">
        <f>IF(N(Tasks[[#This Row],[_Pred4UID]])=0,0,IFERROR(MATCH(Tasks[[#This Row],[_Pred4UID]],Tasks[UID],0),-1))</f>
        <v/>
      </c>
      <c r="CM2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 s="88">
        <f>IF(N(Tasks[[#This Row],[Constraint Date]])=0,0,IF(AND(OR(Tasks[[#This Row],[_ConstraintCode]]=3,Tasks[[#This Row],[_ConstraintCode]]=6,Tasks[[#This Row],[_ConstraintCode]]=7),N(Tasks[[#This Row],[_Days]])&gt;1),WORKDAY.INTL(N(Tasks[[#This Row],[Constraint Date]]),-(N(Tasks[[#This Row],[_Days]])-1),WorkWeek,Holidays),N(Tasks[[#This Row],[Constraint Date]])))</f>
        <v/>
      </c>
      <c r="CO20" s="88">
        <f>IF(OR(Tasks[[#This Row],[_ConstraintCode]]=2,Tasks[[#This Row],[_ConstraintCode]]=3,Tasks[[#This Row],[_ConstraintCode]]=4,Tasks[[#This Row],[_ConstraintCode]]=6),Tasks[[#This Row],[_ConstraintStart]],0)</f>
        <v/>
      </c>
      <c r="CP20" s="88">
        <f>IF(OR(Tasks[[#This Row],[_ConstraintCode]]=2,Tasks[[#This Row],[_ConstraintCode]]=3,Tasks[[#This Row],[_ConstraintCode]]=5,Tasks[[#This Row],[_ConstraintCode]]=7),Tasks[[#This Row],[_ConstraintStart]],2958465)</f>
        <v/>
      </c>
      <c r="CQ2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 s="88">
        <f>IF(NOT(Tasks[[#This Row],[_IsLeaf]]=1),"",IF(N(Tasks[[#This Row],[_Days]])&lt;=0,Tasks[[#This Row],[_LeafCalcStart]],WORKDAY.INTL(Tasks[[#This Row],[_LeafCalcStart]],Tasks[[#This Row],[_Days]]-1,WorkWeek,Holidays)))</f>
        <v/>
      </c>
      <c r="CS2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 s="42">
        <f>IF(Tasks[[#This Row],[_Predecessors]]="","",TRIM(MID(SUBSTITUTE(SUBSTITUTE(SUBSTITUTE(UPPER(Tasks[[#This Row],[_Predecessors]]),";",",")," ",""),",",REPT(" ",99)),1,99)))</f>
        <v/>
      </c>
      <c r="CV20" s="42">
        <f>IF(Tasks[[#This Row],[_Pred1Text]]="","",IFERROR(VALUE(LEFT(Tasks[[#This Row],[_Pred1Text]],MIN(FIND("F",Tasks[[#This Row],[_Pred1Text]]&amp;"F"),FIND("S",Tasks[[#This Row],[_Pred1Text]]&amp;"S"),FIND("+",Tasks[[#This Row],[_Pred1Text]]&amp;"+"),FIND("-",Tasks[[#This Row],[_Pred1Text]]&amp;"-"))-1)),""))</f>
        <v/>
      </c>
      <c r="CW2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 s="42">
        <f>IF(Tasks[[#This Row],[_Pred1Text]]="","",TRIM(MID(SUBSTITUTE(SUBSTITUTE(SUBSTITUTE(UPPER(Tasks[[#This Row],[_Predecessors]]),";",",")," ",""),",",REPT(" ",99)),100,99)))</f>
        <v/>
      </c>
      <c r="CZ20" s="42">
        <f>IF(Tasks[[#This Row],[_Pred2Text]]="","",IFERROR(VALUE(LEFT(Tasks[[#This Row],[_Pred2Text]],MIN(FIND("F",Tasks[[#This Row],[_Pred2Text]]&amp;"F"),FIND("S",Tasks[[#This Row],[_Pred2Text]]&amp;"S"),FIND("+",Tasks[[#This Row],[_Pred2Text]]&amp;"+"),FIND("-",Tasks[[#This Row],[_Pred2Text]]&amp;"-"))-1)),""))</f>
        <v/>
      </c>
      <c r="DA2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 s="42">
        <f>IF(Tasks[[#This Row],[_Pred2Text]]="","",TRIM(MID(SUBSTITUTE(SUBSTITUTE(SUBSTITUTE(UPPER(Tasks[[#This Row],[_Predecessors]]),";",",")," ",""),",",REPT(" ",99)),199,99)))</f>
        <v/>
      </c>
      <c r="DD20" s="42">
        <f>IF(Tasks[[#This Row],[_Pred3Text]]="","",IFERROR(VALUE(LEFT(Tasks[[#This Row],[_Pred3Text]],MIN(FIND("F",Tasks[[#This Row],[_Pred3Text]]&amp;"F"),FIND("S",Tasks[[#This Row],[_Pred3Text]]&amp;"S"),FIND("+",Tasks[[#This Row],[_Pred3Text]]&amp;"+"),FIND("-",Tasks[[#This Row],[_Pred3Text]]&amp;"-"))-1)),""))</f>
        <v/>
      </c>
      <c r="DE2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 s="42">
        <f>IF(Tasks[[#This Row],[_Pred3Text]]="","",TRIM(MID(SUBSTITUTE(SUBSTITUTE(SUBSTITUTE(UPPER(Tasks[[#This Row],[_Predecessors]]),";",",")," ",""),",",REPT(" ",99)),298,99)))</f>
        <v/>
      </c>
      <c r="DH20" s="42">
        <f>IF(Tasks[[#This Row],[_Pred4Text]]="","",IFERROR(VALUE(LEFT(Tasks[[#This Row],[_Pred4Text]],MIN(FIND("F",Tasks[[#This Row],[_Pred4Text]]&amp;"F"),FIND("S",Tasks[[#This Row],[_Pred4Text]]&amp;"S"),FIND("+",Tasks[[#This Row],[_Pred4Text]]&amp;"+"),FIND("-",Tasks[[#This Row],[_Pred4Text]]&amp;"-"))-1)),""))</f>
        <v/>
      </c>
      <c r="DI2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 s="42">
        <f>IF(OR(Tasks[[#This Row],[Task Name]]="",Tasks[[#This Row],[_Resources]]=""),"",TRIM(MID(SUBSTITUTE(Tasks[[#This Row],[_Resources]],",",REPT(" ",99)),1,99)))</f>
        <v/>
      </c>
      <c r="DL20" s="42">
        <f>IF(Tasks[[#This Row],[_Res1Text]]="","",TRIM(MID(SUBSTITUTE(Tasks[[#This Row],[_Resources]],",",REPT(" ",99)),100,99)))</f>
        <v/>
      </c>
      <c r="DM20" s="42">
        <f>IF(Tasks[[#This Row],[_Res2Text]]="","",TRIM(MID(SUBSTITUTE(Tasks[[#This Row],[_Resources]],",",REPT(" ",99)),199,99)))</f>
        <v/>
      </c>
      <c r="DN20" s="42">
        <f>IF(Tasks[[#This Row],[_Res3Text]]="","",TRIM(MID(SUBSTITUTE(Tasks[[#This Row],[_Resources]],",",REPT(" ",99)),298,99)))</f>
        <v/>
      </c>
      <c r="DO20" s="42">
        <f>IF(Tasks[[#This Row],[_Res1Text]]="",0,IFERROR(MATCH(TRIM(LEFT(Tasks[[#This Row],[_Res1Text]],FIND("[",Tasks[[#This Row],[_Res1Text]]&amp;"[")-1)),res_Name,0),IFERROR(MATCH(TRIM(LEFT(Tasks[[#This Row],[_Res1Text]],FIND("[",Tasks[[#This Row],[_Res1Text]]&amp;"[")-1)),res_Initials,0),0)))</f>
        <v/>
      </c>
      <c r="DP20" s="42">
        <f>IF(Tasks[[#This Row],[_Res2Text]]="",0,IFERROR(MATCH(TRIM(LEFT(Tasks[[#This Row],[_Res2Text]],FIND("[",Tasks[[#This Row],[_Res2Text]]&amp;"[")-1)),res_Name,0),IFERROR(MATCH(TRIM(LEFT(Tasks[[#This Row],[_Res2Text]],FIND("[",Tasks[[#This Row],[_Res2Text]]&amp;"[")-1)),res_Initials,0),0)))</f>
        <v/>
      </c>
      <c r="DQ20" s="42">
        <f>IF(Tasks[[#This Row],[_Res3Text]]="",0,IFERROR(MATCH(TRIM(LEFT(Tasks[[#This Row],[_Res3Text]],FIND("[",Tasks[[#This Row],[_Res3Text]]&amp;"[")-1)),res_Name,0),IFERROR(MATCH(TRIM(LEFT(Tasks[[#This Row],[_Res3Text]],FIND("[",Tasks[[#This Row],[_Res3Text]]&amp;"[")-1)),res_Initials,0),0)))</f>
        <v/>
      </c>
      <c r="DR20" s="42">
        <f>IF(Tasks[[#This Row],[_Res4Text]]="",0,IFERROR(MATCH(TRIM(LEFT(Tasks[[#This Row],[_Res4Text]],FIND("[",Tasks[[#This Row],[_Res4Text]]&amp;"[")-1)),res_Name,0),IFERROR(MATCH(TRIM(LEFT(Tasks[[#This Row],[_Res4Text]],FIND("[",Tasks[[#This Row],[_Res4Text]]&amp;"[")-1)),res_Initials,0),0)))</f>
        <v/>
      </c>
      <c r="DS20" s="42">
        <f>IF(Tasks[[#This Row],[_Res1Text]]="","",IF(Tasks[[#This Row],[_Res1Row]]&gt;0,INDEX(res_Name,Tasks[[#This Row],[_Res1Row]]),TRIM(LEFT(Tasks[[#This Row],[_Res1Text]],FIND("[",Tasks[[#This Row],[_Res1Text]]&amp;"[")-1))))</f>
        <v/>
      </c>
      <c r="DT2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 s="42">
        <f>IF(NOT(Tasks[[#This Row],[_IsLeaf]]=1),0,(Tasks[[#This Row],[_Resource1]]&lt;&gt;"")+(Tasks[[#This Row],[_Res2]]&lt;&gt;"")+(Tasks[[#This Row],[_Res3]]&lt;&gt;"")+(Tasks[[#This Row],[_Res4]]&lt;&gt;""))</f>
        <v/>
      </c>
      <c r="DV20" s="42">
        <f>IF(Tasks[[#This Row],[_Res2Text]]="","",IF(Tasks[[#This Row],[_Res2Row]]&gt;0,INDEX(res_Name,Tasks[[#This Row],[_Res2Row]]),TRIM(LEFT(Tasks[[#This Row],[_Res2Text]],FIND("[",Tasks[[#This Row],[_Res2Text]]&amp;"[")-1))))</f>
        <v/>
      </c>
      <c r="DW2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 s="42">
        <f>IF(OR(NOT(Tasks[[#This Row],[_IsLeaf]]=1),Tasks[[#This Row],[_Res2Row]]=0),0,N(Tasks[[#This Row],[_Days]])*HoursPerDay*IF(Tasks[[#This Row],[_Res2Units]]="",DefaultUnits,Tasks[[#This Row],[_Res2Units]]))</f>
        <v/>
      </c>
      <c r="DY20" s="42">
        <f>IF(AND(AND(Tasks[[#This Row],[_IsLeaf]]=1,Tasks[[#This Row],[_LeafTotalWork]]&gt;0),Tasks[[#This Row],[_Res2Work]]&gt;0),Tasks[[#This Row],[_Res2Work]]/(Tasks[[#This Row],[_FinishWorkday]]-Tasks[[#This Row],[_StartWorkday]]+1),0)</f>
        <v/>
      </c>
      <c r="DZ20" s="42">
        <f>Tasks[[#This Row],[_Res2WorkPerWD]]*MAX(0,Tasks[[#This Row],[_StartWorkday]]-1)</f>
        <v/>
      </c>
      <c r="EA20" s="42">
        <f>Tasks[[#This Row],[_Res2Work]]*Tasks[[#This Row],[_LeafProgress]]</f>
        <v/>
      </c>
      <c r="EB20" s="42">
        <f>IF(Tasks[[#This Row],[_Res3Text]]="","",IF(Tasks[[#This Row],[_Res3Row]]&gt;0,INDEX(res_Name,Tasks[[#This Row],[_Res3Row]]),TRIM(LEFT(Tasks[[#This Row],[_Res3Text]],FIND("[",Tasks[[#This Row],[_Res3Text]]&amp;"[")-1))))</f>
        <v/>
      </c>
      <c r="EC2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 s="42">
        <f>IF(OR(NOT(Tasks[[#This Row],[_IsLeaf]]=1),Tasks[[#This Row],[_Res3Row]]=0),0,N(Tasks[[#This Row],[_Days]])*HoursPerDay*IF(Tasks[[#This Row],[_Res3Units]]="",DefaultUnits,Tasks[[#This Row],[_Res3Units]]))</f>
        <v/>
      </c>
      <c r="EE20" s="42">
        <f>IF(AND(AND(Tasks[[#This Row],[_IsLeaf]]=1,Tasks[[#This Row],[_LeafTotalWork]]&gt;0),Tasks[[#This Row],[_Res3Work]]&gt;0),Tasks[[#This Row],[_Res3Work]]/(Tasks[[#This Row],[_FinishWorkday]]-Tasks[[#This Row],[_StartWorkday]]+1),0)</f>
        <v/>
      </c>
      <c r="EF20" s="42">
        <f>Tasks[[#This Row],[_Res3WorkPerWD]]*MAX(0,Tasks[[#This Row],[_StartWorkday]]-1)</f>
        <v/>
      </c>
      <c r="EG20" s="42">
        <f>Tasks[[#This Row],[_Res3Work]]*Tasks[[#This Row],[_LeafProgress]]</f>
        <v/>
      </c>
      <c r="EH20" s="42">
        <f>IF(Tasks[[#This Row],[_Res4Text]]="","",IF(Tasks[[#This Row],[_Res4Row]]&gt;0,INDEX(res_Name,Tasks[[#This Row],[_Res4Row]]),TRIM(LEFT(Tasks[[#This Row],[_Res4Text]],FIND("[",Tasks[[#This Row],[_Res4Text]]&amp;"[")-1))))</f>
        <v/>
      </c>
      <c r="EI2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 s="42">
        <f>IF(OR(NOT(Tasks[[#This Row],[_IsLeaf]]=1),Tasks[[#This Row],[_Res4Row]]=0),0,N(Tasks[[#This Row],[_Days]])*HoursPerDay*IF(Tasks[[#This Row],[_Res4Units]]="",DefaultUnits,Tasks[[#This Row],[_Res4Units]]))</f>
        <v/>
      </c>
      <c r="EK20" s="42">
        <f>IF(AND(AND(Tasks[[#This Row],[_IsLeaf]]=1,Tasks[[#This Row],[_LeafTotalWork]]&gt;0),Tasks[[#This Row],[_Res4Work]]&gt;0),Tasks[[#This Row],[_Res4Work]]/(Tasks[[#This Row],[_FinishWorkday]]-Tasks[[#This Row],[_StartWorkday]]+1),0)</f>
        <v/>
      </c>
      <c r="EL20" s="42">
        <f>Tasks[[#This Row],[_Res4WorkPerWD]]*MAX(0,Tasks[[#This Row],[_StartWorkday]]-1)</f>
        <v/>
      </c>
      <c r="EM20" s="42">
        <f>Tasks[[#This Row],[_Res4Work]]*Tasks[[#This Row],[_LeafProgress]]</f>
        <v/>
      </c>
      <c r="EN20" s="42">
        <f>IF(ISNUMBER(Tasks[[#This Row],[% Complete]]),Tasks[[#This Row],[% Complete]],IF(Tasks[[#This Row],[Stage]]="",0,IFERROR(INDEX(stg_Pct,MATCH(Tasks[[#This Row],[Stage]],stg_Name,0)),0)))</f>
        <v/>
      </c>
      <c r="EO20" s="42">
        <f>IF(NOT(Tasks[[#This Row],[_IsLeaf]]=1),0,IF(N(Tasks[[#This Row],[Actual Finish]])&gt;0,1,MIN(1,Tasks[[#This Row],[_Pct]])))</f>
        <v/>
      </c>
      <c r="EP20" s="42">
        <f>IF(OR(NOT(Tasks[[#This Row],[_IsLeaf]]=1),Tasks[[#This Row],[_Res1Row]]=0),0,N(Tasks[[#This Row],[_Days]])*HoursPerDay*IF(Tasks[[#This Row],[_Units1]]="",DefaultUnits,Tasks[[#This Row],[_Units1]]))</f>
        <v/>
      </c>
      <c r="EQ20" s="42">
        <f>Tasks[[#This Row],[_LeafWork]]+Tasks[[#This Row],[_Res2Work]]+Tasks[[#This Row],[_Res3Work]]+Tasks[[#This Row],[_Res4Work]]</f>
        <v/>
      </c>
      <c r="ER2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 s="42">
        <f>IF(NOT(Tasks[[#This Row],[_IsLeaf]]=1),0,MAX(_xlfn.MAXIFS(Tasks[_Row],Tasks[_Pred1UID],Tasks[[#This Row],[UID]]),_xlfn.MAXIFS(Tasks[_Row],Tasks[_Pred2UID],Tasks[[#This Row],[UID]]),_xlfn.MAXIFS(Tasks[_Row],Tasks[_Pred3UID],Tasks[[#This Row],[UID]]),_xlfn.MAXIFS(Tasks[_Row],Tasks[_Pred4UID],Tasks[[#This Row],[UID]])))</f>
        <v/>
      </c>
      <c r="FA2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 s="88">
        <f>IF(NOT(Tasks[[#This Row],[_IsLeaf]]=1),"",IF(N(Tasks[[#This Row],[_Days]])&lt;=0,Tasks[[#This Row],[_LeafLateFinish]],WORKDAY.INTL(Tasks[[#This Row],[_LeafLateFinish]],-(Tasks[[#This Row],[_Days]]-1),WorkWeek,Holidays)))</f>
        <v/>
      </c>
      <c r="FD2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 s="42">
        <f>AND(Tasks[[#This Row],[_IsLeaf]]=1,Tasks[[#This Row],[_LeafProgress]]&lt;1,N(Tasks[[#This Row],[_LeafTotalSlack]])&lt;=CriticalSlackDays)</f>
        <v/>
      </c>
      <c r="FF20" s="42">
        <f>IF(AND(Tasks[[#This Row],[_IsLeaf]]=1,Tasks[[#This Row],[_ConstraintCode]]=1,Tasks[[#This Row],[Mode]]&lt;&gt;"Manual",N(Tasks[[#This Row],[Actual Start]])=0),MAX(0,N(Tasks[[#This Row],[Free Slack]])),0)</f>
        <v/>
      </c>
      <c r="FG20" s="88">
        <f>IF(NOT(Tasks[[#This Row],[_IsLeaf]]=1),"",IF(Tasks[[#This Row],[_AlapShift]]=0,Tasks[[#This Row],[_LeafCalcStart]],WORKDAY.INTL(Tasks[[#This Row],[_LeafCalcStart]],Tasks[[#This Row],[_AlapShift]],WorkWeek,Holidays)))</f>
        <v/>
      </c>
      <c r="FH20" s="88">
        <f>IF(NOT(Tasks[[#This Row],[_IsLeaf]]=1),"",IF(Tasks[[#This Row],[_AlapShift]]=0,Tasks[[#This Row],[_LeafCalcFinish]],WORKDAY.INTL(Tasks[[#This Row],[_LeafCalcFinish]],Tasks[[#This Row],[_AlapShift]],WorkWeek,Holidays)))</f>
        <v/>
      </c>
      <c r="FI20" s="88">
        <f>IF(NOT(Tasks[[#This Row],[_IsLeaf]]=1),"",IF(Tasks[[#This Row],[_AlapShift]]=0,Tasks[[#This Row],[_LeafFcstStart]],WORKDAY.INTL(Tasks[[#This Row],[_LeafFcstStart]],Tasks[[#This Row],[_AlapShift]],WorkWeek,Holidays)))</f>
        <v/>
      </c>
      <c r="FJ20" s="88">
        <f>IF(NOT(Tasks[[#This Row],[_IsLeaf]]=1),"",IF(Tasks[[#This Row],[_AlapShift]]=0,Tasks[[#This Row],[_LeafFcstFinish]],WORKDAY.INTL(Tasks[[#This Row],[_LeafFcstFinish]],Tasks[[#This Row],[_AlapShift]],WorkWeek,Holidays)))</f>
        <v/>
      </c>
      <c r="FK20" s="88">
        <f>IF(Tasks[[#This Row],[Task Name]]="","",IF(Tasks[[#This Row],[_IsSummary]],MIN(INDEX(Tasks[_ShownCalcStart],Tasks[[#This Row],[_Row]]+1):INDEX(Tasks[_ShownCalcStart],Tasks[[#This Row],[_Row]]+Tasks[[#This Row],[_Descendants]])),Tasks[[#This Row],[_ShownCalcStart]]))</f>
        <v/>
      </c>
      <c r="FL20" s="88">
        <f>IF(Tasks[[#This Row],[Task Name]]="","",IF(Tasks[[#This Row],[_IsSummary]],MAX(INDEX(Tasks[_ShownCalcFinish],Tasks[[#This Row],[_Row]]+1):INDEX(Tasks[_ShownCalcFinish],Tasks[[#This Row],[_Row]]+Tasks[[#This Row],[_Descendants]])),Tasks[[#This Row],[_ShownCalcFinish]]))</f>
        <v/>
      </c>
      <c r="FM2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 s="42">
        <f>IF(AND(Tasks[[#This Row],[_IsLeaf]]=1,Tasks[[#This Row],[_LeafTotalWork]]&gt;0),NETWORKDAYS.INTL(ProjectStart,Tasks[[#This Row],[_ShownFcstStart]],WorkWeek,Holidays),0)</f>
        <v/>
      </c>
      <c r="FZ20" s="42">
        <f>IF(AND(Tasks[[#This Row],[_IsLeaf]]=1,Tasks[[#This Row],[_LeafTotalWork]]&gt;0),MAX(Tasks[[#This Row],[_StartWorkday]],NETWORKDAYS.INTL(ProjectStart,Tasks[[#This Row],[_ShownFcstFinish]],WorkWeek,Holidays)),0)</f>
        <v/>
      </c>
      <c r="GA20" s="42">
        <f>IF(AND(Tasks[[#This Row],[_IsLeaf]]=1,Tasks[[#This Row],[_LeafTotalWork]]&gt;0),Tasks[[#This Row],[_LeafWork]]/(Tasks[[#This Row],[_FinishWorkday]]-Tasks[[#This Row],[_StartWorkday]]+1),0)</f>
        <v/>
      </c>
      <c r="GB20" s="42">
        <f>Tasks[[#This Row],[_WorkPerWorkday]]*(Tasks[[#This Row],[_StartWorkday]]-1)</f>
        <v/>
      </c>
      <c r="GC20" s="42">
        <f>IF(Tasks[[#This Row],[_IsLeaf]]=1,MAX(N(Tasks[[#This Row],[_Days]]),0.1),0)</f>
        <v/>
      </c>
      <c r="GD20" s="42">
        <f>Tasks[[#This Row],[_WeightDur]]*Tasks[[#This Row],[_LeafProgress]]</f>
        <v/>
      </c>
      <c r="GE20" s="42">
        <f>Tasks[[#This Row],[_WeightDur]]*Tasks[[#This Row],[_PlannedPct]]</f>
        <v/>
      </c>
      <c r="GF2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 s="42">
        <f>IF(AND(Tasks[[#This Row],[_IsLeaf]]=1,N(Tasks[[#This Row],[_Days]])=0,Tasks[[#This Row],[_LeafProgress]]&lt;1),Tasks[[#This Row],[_ShownFcstFinish]]+Tasks[[#This Row],[_Row]]/100000,"")</f>
        <v/>
      </c>
      <c r="GH2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 s="42">
        <f>IF(Tasks[[#This Row],[Task Name]]="","",LEFT(Tasks[[#This Row],[WBS]],FIND(".",Tasks[[#This Row],[WBS]]&amp;".")-1))</f>
        <v/>
      </c>
      <c r="GJ20" s="42">
        <f>IF(AND(Tasks[[#This Row],[Task Name]]&lt;&gt;"",Tasks[[#This Row],[_Level]]=1),Tasks[[#This Row],[_Row]],"")</f>
        <v/>
      </c>
      <c r="GK20" s="42">
        <f>IF(AND(Tasks[[#This Row],[_IsLeaf]]=1,N(Tasks[[#This Row],[_Days]])=0),Tasks[[#This Row],[Planned Finish]]+Tasks[[#This Row],[_Row]]/100000,"")</f>
        <v/>
      </c>
      <c r="GL20" s="42">
        <f>IF(AND(Tasks[[#This Row],[_IsLeaf]]=1,Tasks[[#This Row],[_LeafProgress]]&lt;1,OR(N(Tasks[[#This Row],[Finish Var]])&gt;0,Tasks[[#This Row],[Status]]="Late Start")),MAX(0,Tasks[[#This Row],[Finish Var]])+1-Tasks[[#This Row],[_Row]]/1000000,"")</f>
        <v/>
      </c>
      <c r="GM20" s="42">
        <f>IF(AND(Tasks[[#This Row],[_IsLeaf]]=1,N(Tasks[[#This Row],[Actual Start]])=0,Tasks[[#This Row],[_ShownFcstStart]]&gt;=StatusDate,Tasks[[#This Row],[_ShownFcstStart]]&lt;=LookaheadEnd),Tasks[[#This Row],[_ShownFcstStart]]+Tasks[[#This Row],[_Row]]/100000,"")</f>
        <v/>
      </c>
      <c r="GN20" s="42">
        <f>IF(AND(Tasks[[#This Row],[_IsLeaf]]=1,Tasks[[#This Row],[_LeafProgress]]&lt;1,Tasks[[#This Row],[_ShownFcstFinish]]&gt;=StatusDate,Tasks[[#This Row],[_ShownFcstFinish]]&lt;=LookaheadEnd),Tasks[[#This Row],[_ShownFcstFinish]]+Tasks[[#This Row],[_Row]]/100000,"")</f>
        <v/>
      </c>
      <c r="GO20" s="42">
        <f>IF(Tasks[[#This Row],[_LeafCritical]],Tasks[[#This Row],[_ShownFcstStart]]+Tasks[[#This Row],[_Row]]/100000,"")</f>
        <v/>
      </c>
      <c r="GP20" s="42">
        <f>Tasks[[#This Row],[_LeafWork]]*Tasks[[#This Row],[_LeafProgress]]</f>
        <v/>
      </c>
      <c r="GQ20" s="88">
        <f>IF(AND(Tasks[[#This Row],[_IsLeaf]]=1,Tasks[[#This Row],[_LeafProgress]]&gt;=1),IF(N(Tasks[[#This Row],[Actual Finish]])&gt;0,Tasks[[#This Row],[Actual Finish]],Tasks[[#This Row],[_ShownFcstFinish]]),"")</f>
        <v/>
      </c>
      <c r="GR20" s="42">
        <f>IF(Tasks[[#This Row],[_IsLeaf]]=1,N(Tasks[[#This Row],[Story Points]]),0)</f>
        <v/>
      </c>
      <c r="GS20" s="42">
        <f>""</f>
        <v/>
      </c>
      <c r="GT20" s="42">
        <f>IF(Tasks[[#This Row],[Task Name]]="",FALSE(),AND(Tasks[[#This Row],[_IsLeaf]]=1,N(Tasks[[#This Row],[_Days]])=0))</f>
        <v/>
      </c>
      <c r="GU20" s="88">
        <f>IF(Tasks[[#This Row],[Task Name]]="",0,IF(AND(Tasks[[#This Row],[_IsLeaf]]=1,NOT(Tasks[[#This Row],[_IsMilestone]]),N(Tasks[[#This Row],[Progress]])&gt;0),Tasks[[#This Row],[Start]],0))</f>
        <v/>
      </c>
      <c r="GV20" s="88">
        <f>IF(Tasks[[#This Row],[_DoneFrom]]=0,0,IF(Tasks[[#This Row],[Progress]]&gt;=1,Tasks[[#This Row],[Finish]],MAX(Tasks[[#This Row],[_DoneFrom]],Tasks[[#This Row],[Start]]+ROUND((Tasks[[#This Row],[Finish]]-Tasks[[#This Row],[Start]]+1)*Tasks[[#This Row],[Progress]],0)-1)))</f>
        <v/>
      </c>
      <c r="GW20" s="88">
        <f>IF(Tasks[[#This Row],[Task Name]]="",0,IF(OR(NOT(Tasks[[#This Row],[_IsLeaf]]=1),Tasks[[#This Row],[_IsMilestone]],N(Tasks[[#This Row],[Progress]])&gt;=1),0,IF(Tasks[[#This Row],[_DoneTo]]&gt;0,Tasks[[#This Row],[_DoneTo]]+1,Tasks[[#This Row],[Start]])))</f>
        <v/>
      </c>
      <c r="GX20" s="88">
        <f>IF(Tasks[[#This Row],[_RemFrom]]=0,0,Tasks[[#This Row],[Finish]])</f>
        <v/>
      </c>
      <c r="GY20" s="42">
        <f>IF(Tasks[[#This Row],[Task Name]]="",FALSE(),OR(NOT(BaselineSet),N(Tasks[[#This Row],[Baseline Start]])&gt;0))</f>
        <v/>
      </c>
      <c r="GZ20" s="42">
        <f>IF(AND(Sandbox="Yes",L_PARSE_DURATION(Tasks[[#This Row],[Sandbox Duration]])&lt;&gt;""),L_PARSE_DURATION(Tasks[[#This Row],[Sandbox Duration]]),L_PARSE_DURATION(Tasks[[#This Row],[Duration]]))</f>
        <v/>
      </c>
      <c r="HA2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 s="42">
        <f>IF(Tasks[[#This Row],[_IsLeaf]]=1,Tasks[[#This Row],[_Row]],"")</f>
        <v/>
      </c>
      <c r="HD20" s="42">
        <f>IFERROR(INDEX(Tasks[UID],SMALL(Tasks[_PickKey],Tasks[[#This Row],[_Row]]))&amp;" "&amp;INDEX(Tasks[Task Name],SMALL(Tasks[_PickKey],Tasks[[#This Row],[_Row]])),"")</f>
        <v/>
      </c>
      <c r="HE20" s="42">
        <f>IF(Tasks[[#This Row],[Task Name]]="","",IF(Tasks[[#This Row],[_IsSummary]],NETWORKDAYS.INTL(Tasks[[#This Row],[Start]],Tasks[[#This Row],[Finish]],WorkWeek,Holidays),N(Tasks[[#This Row],[_Days]])))</f>
        <v/>
      </c>
      <c r="HF20" s="42">
        <f>IF(Tasks[[#This Row],[Expected]]="",0,((Tasks[[#This Row],[Pessimistic]]-Tasks[[#This Row],[Optimistic]])/6)^2)</f>
        <v/>
      </c>
      <c r="HG20" s="42">
        <f>IF(Tasks[[#This Row],[Expected]]="",0,Tasks[[#This Row],[Expected]]-N(Tasks[[#This Row],[_Days]]))</f>
        <v/>
      </c>
    </row>
    <row r="21">
      <c r="A21" s="21">
        <f>IF(Tasks[[#This Row],[Task Name]]="","",COUNTA(Tasks[[#Headers],[Task Name]]:Tasks[[#This Row],[Task Name]])-1)</f>
        <v/>
      </c>
      <c r="B21" s="22" t="n">
        <v>29</v>
      </c>
      <c r="C21" s="22" t="n"/>
      <c r="D21" s="23" t="n"/>
      <c r="E21" s="22" t="n"/>
      <c r="F21" s="23" t="n"/>
      <c r="G21" s="22" t="n"/>
      <c r="H21" s="22" t="n"/>
      <c r="I21" s="23" t="n"/>
      <c r="J21" s="22" t="n"/>
      <c r="K21" s="22" t="n"/>
      <c r="L21" s="23" t="n"/>
      <c r="M21" s="22" t="n"/>
      <c r="N21" s="22" t="n"/>
      <c r="O21" s="23" t="n"/>
      <c r="P21" s="22" t="n"/>
      <c r="Q21" s="22" t="n"/>
      <c r="R21" s="23" t="n"/>
      <c r="S21" s="23" t="n"/>
      <c r="T21" s="82" t="n"/>
      <c r="U21" s="23" t="n"/>
      <c r="V21" s="82" t="n"/>
      <c r="W21" s="23" t="n"/>
      <c r="X21" s="82" t="n"/>
      <c r="Y21" s="23" t="n"/>
      <c r="Z21" s="82" t="n"/>
      <c r="AA21" s="23" t="n"/>
      <c r="AB21" s="23" t="n"/>
      <c r="AC21" s="7" t="n"/>
      <c r="AD21" s="7" t="n"/>
      <c r="AE21" s="61">
        <f>IF(Tasks[[#This Row],[Task Name]]="","",IF(Tasks[[#This Row],[_IsSummary]],MIN(INDEX(Tasks[_ShownFcstStart],Tasks[[#This Row],[_Row]]+1):INDEX(Tasks[_ShownFcstStart],Tasks[[#This Row],[_Row]]+Tasks[[#This Row],[_Descendants]])),Tasks[[#This Row],[_ShownFcstStart]]))</f>
        <v/>
      </c>
      <c r="AF21" s="61">
        <f>IF(Tasks[[#This Row],[Task Name]]="","",IF(Tasks[[#This Row],[_IsSummary]],MAX(INDEX(Tasks[_ShownFcstFinish],Tasks[[#This Row],[_Row]]+1):INDEX(Tasks[_ShownFcstFinish],Tasks[[#This Row],[_Row]]+Tasks[[#This Row],[_Descendants]])),Tasks[[#This Row],[_ShownFcstFinish]]))</f>
        <v/>
      </c>
      <c r="AG21" s="21">
        <f>""</f>
        <v/>
      </c>
      <c r="AH21" s="23" t="n"/>
      <c r="AI2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1" s="7" t="n"/>
      <c r="AK21" s="22" t="n"/>
      <c r="AL21" s="23" t="n"/>
      <c r="AM21" s="7" t="n"/>
      <c r="AN21" s="21">
        <f>IF(Tasks[[#This Row],[Task Name]]="","",IF(Tasks[[#This Row],[Finish]]&gt;=Tasks[[#This Row],[Planned Finish]],NETWORKDAYS.INTL(Tasks[[#This Row],[Planned Finish]],Tasks[[#This Row],[Finish]],WorkWeek,Holidays)-1,1-NETWORKDAYS.INTL(Tasks[[#This Row],[Finish]],Tasks[[#This Row],[Planned Finish]],WorkWeek,Holidays)))</f>
        <v/>
      </c>
      <c r="AO21" s="21">
        <f>IF(Tasks[[#This Row],[Task Name]]="","",IF(Tasks[[#This Row],[Progress]]&gt;=1,"Complete",IF(OR(N(Tasks[[#This Row],[Actual Start]])&gt;0,Tasks[[#This Row],[Progress]]&gt;0),IF(Tasks[[#This Row],[Finish Var]]&gt;0,"Behind","In Progress"),IF(Tasks[[#This Row],[Planned Start]]&lt;StatusDate,"Late Start","Not Started"))))</f>
        <v/>
      </c>
      <c r="AP21" s="21">
        <f>IF(Tasks[[#This Row],[Task Name]]="","",IF(IF(Tasks[[#This Row],[_IsSummary]],COUNTIF(INDEX(Tasks[_LeafCritical],Tasks[[#This Row],[_Row]]+1):INDEX(Tasks[_LeafCritical],Tasks[[#This Row],[_Row]]+Tasks[[#This Row],[_Descendants]]),TRUE())&gt;0,Tasks[[#This Row],[_LeafCritical]]),"Yes",""))</f>
        <v/>
      </c>
      <c r="AQ21" s="61">
        <f>IF(Tasks[[#This Row],[Task Name]]="","",IF(N(Tasks[[#This Row],[Baseline Start]])&gt;0,Tasks[[#This Row],[Baseline Start]],Tasks[[#This Row],[_CalcStart]]))</f>
        <v/>
      </c>
      <c r="AR21" s="61">
        <f>IF(Tasks[[#This Row],[Task Name]]="","",IF(N(Tasks[[#This Row],[Baseline Finish]])&gt;0,Tasks[[#This Row],[Baseline Finish]],Tasks[[#This Row],[_CalcFinish]]))</f>
        <v/>
      </c>
      <c r="AS21" s="21">
        <f>IF(Tasks[[#This Row],[Task Name]]="","",IF(Tasks[[#This Row],[Start]]&gt;=Tasks[[#This Row],[Planned Start]],NETWORKDAYS.INTL(Tasks[[#This Row],[Planned Start]],Tasks[[#This Row],[Start]],WorkWeek,Holidays)-1,1-NETWORKDAYS.INTL(Tasks[[#This Row],[Start]],Tasks[[#This Row],[Planned Start]],WorkWeek,Holidays)))</f>
        <v/>
      </c>
      <c r="AT21" s="61">
        <f>IF(Tasks[[#This Row],[Task Name]]="","",IF(Tasks[[#This Row],[_IsSummary]],MIN(INDEX(Tasks[_LeafLateStart],Tasks[[#This Row],[_Row]]+1):INDEX(Tasks[_LeafLateStart],Tasks[[#This Row],[_Row]]+Tasks[[#This Row],[_Descendants]])),Tasks[[#This Row],[_LeafLateStart]]))</f>
        <v/>
      </c>
      <c r="AU21" s="61">
        <f>IF(Tasks[[#This Row],[Task Name]]="","",IF(Tasks[[#This Row],[_IsSummary]],MAX(INDEX(Tasks[_LeafLateFinish],Tasks[[#This Row],[_Row]]+1):INDEX(Tasks[_LeafLateFinish],Tasks[[#This Row],[_Row]]+Tasks[[#This Row],[_Descendants]])),Tasks[[#This Row],[_LeafLateFinish]]))</f>
        <v/>
      </c>
      <c r="AV21" s="21">
        <f>IF(Tasks[[#This Row],[Task Name]]="","",IF(Tasks[[#This Row],[_IsSummary]],MIN(INDEX(Tasks[_LeafTotalSlack],Tasks[[#This Row],[_Row]]+1):INDEX(Tasks[_LeafTotalSlack],Tasks[[#This Row],[_Row]]+Tasks[[#This Row],[_Descendants]])),Tasks[[#This Row],[_LeafTotalSlack]]))</f>
        <v/>
      </c>
      <c r="AW2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3" t="n"/>
      <c r="BA2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f>IF(Tasks[[#This Row],[Task Name]]="","",IF(Tasks[[#This Row],[_Level]]&lt;=OutlineShowLevel,"Yes","No"))</f>
        <v/>
      </c>
      <c r="BE21" s="84">
        <f>IF(Tasks[[#This Row],[Task Name]]="","",IF(Tasks[[#This Row],[_IsSummary]],SUM(INDEX(Tasks[_LeafTotalWork],Tasks[[#This Row],[_Row]]+1):INDEX(Tasks[_LeafTotalWork],Tasks[[#This Row],[_Row]]+Tasks[[#This Row],[_Descendants]])),Tasks[[#This Row],[_LeafTotalWork]]))</f>
        <v/>
      </c>
      <c r="BF21" s="23" t="n"/>
      <c r="BG2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f>""</f>
        <v/>
      </c>
      <c r="BI21" s="85" t="n"/>
      <c r="BJ21" s="22" t="n"/>
      <c r="BK21" s="21">
        <f>IF(OR(Tasks[[#This Row],[Task Name]]="",Tasks[[#This Row],[Baseline Duration]]=""),"",Tasks[[#This Row],[_SpanDays]]-N(Tasks[[#This Row],[Baseline Duration]]))</f>
        <v/>
      </c>
      <c r="BL21" s="84">
        <f>IF(OR(Tasks[[#This Row],[Task Name]]="",Tasks[[#This Row],[Baseline Work]]=""),"",Tasks[[#This Row],[Work]]-N(Tasks[[#This Row],[Baseline Work]]))</f>
        <v/>
      </c>
      <c r="BM21" s="61">
        <f>IF(Tasks[[#This Row],[Task Name]]="","",IF(OR(TakeBaseline="Yes",N(Tasks[[#This Row],[Baseline Start]])=0),Tasks[[#This Row],[Start]],Tasks[[#This Row],[Baseline Start]]))</f>
        <v/>
      </c>
      <c r="BN21" s="61">
        <f>IF(Tasks[[#This Row],[Task Name]]="","",IF(OR(TakeBaseline="Yes",N(Tasks[[#This Row],[Baseline Finish]])=0),Tasks[[#This Row],[Finish]],Tasks[[#This Row],[Baseline Finish]]))</f>
        <v/>
      </c>
      <c r="BO21" s="21">
        <f>IF(Tasks[[#This Row],[Task Name]]="","",IF(OR(TakeBaseline="Yes",N(Tasks[[#This Row],[Baseline Duration]])=0),Tasks[[#This Row],[_SpanDays]],Tasks[[#This Row],[Baseline Duration]]))</f>
        <v/>
      </c>
      <c r="BP21" s="84">
        <f>IF(Tasks[[#This Row],[Task Name]]="","",IF(OR(TakeBaseline="Yes",N(Tasks[[#This Row],[Baseline Work]])=0),Tasks[[#This Row],[Work]],Tasks[[#This Row],[Baseline Work]]))</f>
        <v/>
      </c>
      <c r="BQ21" s="7" t="n"/>
      <c r="BR21" s="7" t="n"/>
      <c r="BS21" s="22" t="n"/>
      <c r="BT21" s="86" t="n"/>
      <c r="BU21" s="23" t="n"/>
      <c r="BV21" s="23" t="n"/>
      <c r="BW21" s="23" t="n"/>
      <c r="BX21" s="87">
        <f>IF(AND(Tasks[[#This Row],[_IsLeaf]]=1,ISNUMBER(Tasks[[#This Row],[Optimistic]]),ISNUMBER(Tasks[[#This Row],[Pessimistic]])),ROUND((Tasks[[#This Row],[Optimistic]]+4*N(Tasks[[#This Row],[_Days]])+Tasks[[#This Row],[Pessimistic]])/6,1),"")</f>
        <v/>
      </c>
      <c r="BY21" s="85" t="n"/>
      <c r="BZ21" s="85" t="n"/>
      <c r="CA21" s="22" t="n"/>
      <c r="CB21" s="42">
        <f>IF(Tasks[[#This Row],[Task Name]]="","",MAX(1,N(Tasks[[#This Row],[Level]])))</f>
        <v/>
      </c>
      <c r="CC21" s="42">
        <f>ROW()-ROW(Tasks[[#Headers],[ID]])</f>
        <v/>
      </c>
      <c r="CD21" s="42">
        <f>IF(OR(Tasks[[#This Row],[Task Name]]="",Tasks[[#This Row],[_Level]]&lt;=1),0,IFERROR(LOOKUP(2,1/(Tasks[[#Headers],[_Level]]:Tasks[[#This Row],[_Level]]=Tasks[[#This Row],[_Level]]-1),ROW(Tasks[[#Headers],[_Level]]:Tasks[[#This Row],[_Level]])),0))</f>
        <v/>
      </c>
      <c r="CE21" s="42">
        <f>IFERROR(N(INDEX(Tasks[_Level],Tasks[[#This Row],[_Row]]+1)),0)</f>
        <v/>
      </c>
      <c r="CF21" s="42">
        <f>AND(Tasks[[#This Row],[Task Name]]&lt;&gt;"",Tasks[[#This Row],[_NextLevel]]&gt;Tasks[[#This Row],[_Level]])</f>
        <v/>
      </c>
      <c r="CG21" s="42">
        <f>IF(Tasks[[#This Row],[_IsSummary]],COUNTIF(Tasks[WBS],Tasks[[#This Row],[WBS]]&amp;".*"),0)</f>
        <v/>
      </c>
      <c r="CH21" s="42">
        <f>IF(AND(Tasks[[#This Row],[Task Name]]&lt;&gt;"",NOT(Tasks[[#This Row],[_IsSummary]])),1,0)</f>
        <v/>
      </c>
      <c r="CI21" s="42">
        <f>IF(N(Tasks[[#This Row],[_Pred1UID]])=0,0,IFERROR(MATCH(Tasks[[#This Row],[_Pred1UID]],Tasks[UID],0),-1))</f>
        <v/>
      </c>
      <c r="CJ21" s="42">
        <f>IF(N(Tasks[[#This Row],[_Pred2UID]])=0,0,IFERROR(MATCH(Tasks[[#This Row],[_Pred2UID]],Tasks[UID],0),-1))</f>
        <v/>
      </c>
      <c r="CK21" s="42">
        <f>IF(N(Tasks[[#This Row],[_Pred3UID]])=0,0,IFERROR(MATCH(Tasks[[#This Row],[_Pred3UID]],Tasks[UID],0),-1))</f>
        <v/>
      </c>
      <c r="CL21" s="42">
        <f>IF(N(Tasks[[#This Row],[_Pred4UID]])=0,0,IFERROR(MATCH(Tasks[[#This Row],[_Pred4UID]],Tasks[UID],0),-1))</f>
        <v/>
      </c>
      <c r="CM2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1" s="88">
        <f>IF(N(Tasks[[#This Row],[Constraint Date]])=0,0,IF(AND(OR(Tasks[[#This Row],[_ConstraintCode]]=3,Tasks[[#This Row],[_ConstraintCode]]=6,Tasks[[#This Row],[_ConstraintCode]]=7),N(Tasks[[#This Row],[_Days]])&gt;1),WORKDAY.INTL(N(Tasks[[#This Row],[Constraint Date]]),-(N(Tasks[[#This Row],[_Days]])-1),WorkWeek,Holidays),N(Tasks[[#This Row],[Constraint Date]])))</f>
        <v/>
      </c>
      <c r="CO21" s="88">
        <f>IF(OR(Tasks[[#This Row],[_ConstraintCode]]=2,Tasks[[#This Row],[_ConstraintCode]]=3,Tasks[[#This Row],[_ConstraintCode]]=4,Tasks[[#This Row],[_ConstraintCode]]=6),Tasks[[#This Row],[_ConstraintStart]],0)</f>
        <v/>
      </c>
      <c r="CP21" s="88">
        <f>IF(OR(Tasks[[#This Row],[_ConstraintCode]]=2,Tasks[[#This Row],[_ConstraintCode]]=3,Tasks[[#This Row],[_ConstraintCode]]=5,Tasks[[#This Row],[_ConstraintCode]]=7),Tasks[[#This Row],[_ConstraintStart]],2958465)</f>
        <v/>
      </c>
      <c r="CQ2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1" s="88">
        <f>IF(NOT(Tasks[[#This Row],[_IsLeaf]]=1),"",IF(N(Tasks[[#This Row],[_Days]])&lt;=0,Tasks[[#This Row],[_LeafCalcStart]],WORKDAY.INTL(Tasks[[#This Row],[_LeafCalcStart]],Tasks[[#This Row],[_Days]]-1,WorkWeek,Holidays)))</f>
        <v/>
      </c>
      <c r="CS2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1" s="42">
        <f>IF(Tasks[[#This Row],[_Predecessors]]="","",TRIM(MID(SUBSTITUTE(SUBSTITUTE(SUBSTITUTE(UPPER(Tasks[[#This Row],[_Predecessors]]),";",",")," ",""),",",REPT(" ",99)),1,99)))</f>
        <v/>
      </c>
      <c r="CV21" s="42">
        <f>IF(Tasks[[#This Row],[_Pred1Text]]="","",IFERROR(VALUE(LEFT(Tasks[[#This Row],[_Pred1Text]],MIN(FIND("F",Tasks[[#This Row],[_Pred1Text]]&amp;"F"),FIND("S",Tasks[[#This Row],[_Pred1Text]]&amp;"S"),FIND("+",Tasks[[#This Row],[_Pred1Text]]&amp;"+"),FIND("-",Tasks[[#This Row],[_Pred1Text]]&amp;"-"))-1)),""))</f>
        <v/>
      </c>
      <c r="CW2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1" s="42">
        <f>IF(Tasks[[#This Row],[_Pred1Text]]="","",TRIM(MID(SUBSTITUTE(SUBSTITUTE(SUBSTITUTE(UPPER(Tasks[[#This Row],[_Predecessors]]),";",",")," ",""),",",REPT(" ",99)),100,99)))</f>
        <v/>
      </c>
      <c r="CZ21" s="42">
        <f>IF(Tasks[[#This Row],[_Pred2Text]]="","",IFERROR(VALUE(LEFT(Tasks[[#This Row],[_Pred2Text]],MIN(FIND("F",Tasks[[#This Row],[_Pred2Text]]&amp;"F"),FIND("S",Tasks[[#This Row],[_Pred2Text]]&amp;"S"),FIND("+",Tasks[[#This Row],[_Pred2Text]]&amp;"+"),FIND("-",Tasks[[#This Row],[_Pred2Text]]&amp;"-"))-1)),""))</f>
        <v/>
      </c>
      <c r="DA2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1" s="42">
        <f>IF(Tasks[[#This Row],[_Pred2Text]]="","",TRIM(MID(SUBSTITUTE(SUBSTITUTE(SUBSTITUTE(UPPER(Tasks[[#This Row],[_Predecessors]]),";",",")," ",""),",",REPT(" ",99)),199,99)))</f>
        <v/>
      </c>
      <c r="DD21" s="42">
        <f>IF(Tasks[[#This Row],[_Pred3Text]]="","",IFERROR(VALUE(LEFT(Tasks[[#This Row],[_Pred3Text]],MIN(FIND("F",Tasks[[#This Row],[_Pred3Text]]&amp;"F"),FIND("S",Tasks[[#This Row],[_Pred3Text]]&amp;"S"),FIND("+",Tasks[[#This Row],[_Pred3Text]]&amp;"+"),FIND("-",Tasks[[#This Row],[_Pred3Text]]&amp;"-"))-1)),""))</f>
        <v/>
      </c>
      <c r="DE2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1" s="42">
        <f>IF(Tasks[[#This Row],[_Pred3Text]]="","",TRIM(MID(SUBSTITUTE(SUBSTITUTE(SUBSTITUTE(UPPER(Tasks[[#This Row],[_Predecessors]]),";",",")," ",""),",",REPT(" ",99)),298,99)))</f>
        <v/>
      </c>
      <c r="DH21" s="42">
        <f>IF(Tasks[[#This Row],[_Pred4Text]]="","",IFERROR(VALUE(LEFT(Tasks[[#This Row],[_Pred4Text]],MIN(FIND("F",Tasks[[#This Row],[_Pred4Text]]&amp;"F"),FIND("S",Tasks[[#This Row],[_Pred4Text]]&amp;"S"),FIND("+",Tasks[[#This Row],[_Pred4Text]]&amp;"+"),FIND("-",Tasks[[#This Row],[_Pred4Text]]&amp;"-"))-1)),""))</f>
        <v/>
      </c>
      <c r="DI2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1" s="42">
        <f>IF(OR(Tasks[[#This Row],[Task Name]]="",Tasks[[#This Row],[_Resources]]=""),"",TRIM(MID(SUBSTITUTE(Tasks[[#This Row],[_Resources]],",",REPT(" ",99)),1,99)))</f>
        <v/>
      </c>
      <c r="DL21" s="42">
        <f>IF(Tasks[[#This Row],[_Res1Text]]="","",TRIM(MID(SUBSTITUTE(Tasks[[#This Row],[_Resources]],",",REPT(" ",99)),100,99)))</f>
        <v/>
      </c>
      <c r="DM21" s="42">
        <f>IF(Tasks[[#This Row],[_Res2Text]]="","",TRIM(MID(SUBSTITUTE(Tasks[[#This Row],[_Resources]],",",REPT(" ",99)),199,99)))</f>
        <v/>
      </c>
      <c r="DN21" s="42">
        <f>IF(Tasks[[#This Row],[_Res3Text]]="","",TRIM(MID(SUBSTITUTE(Tasks[[#This Row],[_Resources]],",",REPT(" ",99)),298,99)))</f>
        <v/>
      </c>
      <c r="DO21" s="42">
        <f>IF(Tasks[[#This Row],[_Res1Text]]="",0,IFERROR(MATCH(TRIM(LEFT(Tasks[[#This Row],[_Res1Text]],FIND("[",Tasks[[#This Row],[_Res1Text]]&amp;"[")-1)),res_Name,0),IFERROR(MATCH(TRIM(LEFT(Tasks[[#This Row],[_Res1Text]],FIND("[",Tasks[[#This Row],[_Res1Text]]&amp;"[")-1)),res_Initials,0),0)))</f>
        <v/>
      </c>
      <c r="DP21" s="42">
        <f>IF(Tasks[[#This Row],[_Res2Text]]="",0,IFERROR(MATCH(TRIM(LEFT(Tasks[[#This Row],[_Res2Text]],FIND("[",Tasks[[#This Row],[_Res2Text]]&amp;"[")-1)),res_Name,0),IFERROR(MATCH(TRIM(LEFT(Tasks[[#This Row],[_Res2Text]],FIND("[",Tasks[[#This Row],[_Res2Text]]&amp;"[")-1)),res_Initials,0),0)))</f>
        <v/>
      </c>
      <c r="DQ21" s="42">
        <f>IF(Tasks[[#This Row],[_Res3Text]]="",0,IFERROR(MATCH(TRIM(LEFT(Tasks[[#This Row],[_Res3Text]],FIND("[",Tasks[[#This Row],[_Res3Text]]&amp;"[")-1)),res_Name,0),IFERROR(MATCH(TRIM(LEFT(Tasks[[#This Row],[_Res3Text]],FIND("[",Tasks[[#This Row],[_Res3Text]]&amp;"[")-1)),res_Initials,0),0)))</f>
        <v/>
      </c>
      <c r="DR21" s="42">
        <f>IF(Tasks[[#This Row],[_Res4Text]]="",0,IFERROR(MATCH(TRIM(LEFT(Tasks[[#This Row],[_Res4Text]],FIND("[",Tasks[[#This Row],[_Res4Text]]&amp;"[")-1)),res_Name,0),IFERROR(MATCH(TRIM(LEFT(Tasks[[#This Row],[_Res4Text]],FIND("[",Tasks[[#This Row],[_Res4Text]]&amp;"[")-1)),res_Initials,0),0)))</f>
        <v/>
      </c>
      <c r="DS21" s="42">
        <f>IF(Tasks[[#This Row],[_Res1Text]]="","",IF(Tasks[[#This Row],[_Res1Row]]&gt;0,INDEX(res_Name,Tasks[[#This Row],[_Res1Row]]),TRIM(LEFT(Tasks[[#This Row],[_Res1Text]],FIND("[",Tasks[[#This Row],[_Res1Text]]&amp;"[")-1))))</f>
        <v/>
      </c>
      <c r="DT2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1" s="42">
        <f>IF(NOT(Tasks[[#This Row],[_IsLeaf]]=1),0,(Tasks[[#This Row],[_Resource1]]&lt;&gt;"")+(Tasks[[#This Row],[_Res2]]&lt;&gt;"")+(Tasks[[#This Row],[_Res3]]&lt;&gt;"")+(Tasks[[#This Row],[_Res4]]&lt;&gt;""))</f>
        <v/>
      </c>
      <c r="DV21" s="42">
        <f>IF(Tasks[[#This Row],[_Res2Text]]="","",IF(Tasks[[#This Row],[_Res2Row]]&gt;0,INDEX(res_Name,Tasks[[#This Row],[_Res2Row]]),TRIM(LEFT(Tasks[[#This Row],[_Res2Text]],FIND("[",Tasks[[#This Row],[_Res2Text]]&amp;"[")-1))))</f>
        <v/>
      </c>
      <c r="DW2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1" s="42">
        <f>IF(OR(NOT(Tasks[[#This Row],[_IsLeaf]]=1),Tasks[[#This Row],[_Res2Row]]=0),0,N(Tasks[[#This Row],[_Days]])*HoursPerDay*IF(Tasks[[#This Row],[_Res2Units]]="",DefaultUnits,Tasks[[#This Row],[_Res2Units]]))</f>
        <v/>
      </c>
      <c r="DY21" s="42">
        <f>IF(AND(AND(Tasks[[#This Row],[_IsLeaf]]=1,Tasks[[#This Row],[_LeafTotalWork]]&gt;0),Tasks[[#This Row],[_Res2Work]]&gt;0),Tasks[[#This Row],[_Res2Work]]/(Tasks[[#This Row],[_FinishWorkday]]-Tasks[[#This Row],[_StartWorkday]]+1),0)</f>
        <v/>
      </c>
      <c r="DZ21" s="42">
        <f>Tasks[[#This Row],[_Res2WorkPerWD]]*MAX(0,Tasks[[#This Row],[_StartWorkday]]-1)</f>
        <v/>
      </c>
      <c r="EA21" s="42">
        <f>Tasks[[#This Row],[_Res2Work]]*Tasks[[#This Row],[_LeafProgress]]</f>
        <v/>
      </c>
      <c r="EB21" s="42">
        <f>IF(Tasks[[#This Row],[_Res3Text]]="","",IF(Tasks[[#This Row],[_Res3Row]]&gt;0,INDEX(res_Name,Tasks[[#This Row],[_Res3Row]]),TRIM(LEFT(Tasks[[#This Row],[_Res3Text]],FIND("[",Tasks[[#This Row],[_Res3Text]]&amp;"[")-1))))</f>
        <v/>
      </c>
      <c r="EC2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1" s="42">
        <f>IF(OR(NOT(Tasks[[#This Row],[_IsLeaf]]=1),Tasks[[#This Row],[_Res3Row]]=0),0,N(Tasks[[#This Row],[_Days]])*HoursPerDay*IF(Tasks[[#This Row],[_Res3Units]]="",DefaultUnits,Tasks[[#This Row],[_Res3Units]]))</f>
        <v/>
      </c>
      <c r="EE21" s="42">
        <f>IF(AND(AND(Tasks[[#This Row],[_IsLeaf]]=1,Tasks[[#This Row],[_LeafTotalWork]]&gt;0),Tasks[[#This Row],[_Res3Work]]&gt;0),Tasks[[#This Row],[_Res3Work]]/(Tasks[[#This Row],[_FinishWorkday]]-Tasks[[#This Row],[_StartWorkday]]+1),0)</f>
        <v/>
      </c>
      <c r="EF21" s="42">
        <f>Tasks[[#This Row],[_Res3WorkPerWD]]*MAX(0,Tasks[[#This Row],[_StartWorkday]]-1)</f>
        <v/>
      </c>
      <c r="EG21" s="42">
        <f>Tasks[[#This Row],[_Res3Work]]*Tasks[[#This Row],[_LeafProgress]]</f>
        <v/>
      </c>
      <c r="EH21" s="42">
        <f>IF(Tasks[[#This Row],[_Res4Text]]="","",IF(Tasks[[#This Row],[_Res4Row]]&gt;0,INDEX(res_Name,Tasks[[#This Row],[_Res4Row]]),TRIM(LEFT(Tasks[[#This Row],[_Res4Text]],FIND("[",Tasks[[#This Row],[_Res4Text]]&amp;"[")-1))))</f>
        <v/>
      </c>
      <c r="EI2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1" s="42">
        <f>IF(OR(NOT(Tasks[[#This Row],[_IsLeaf]]=1),Tasks[[#This Row],[_Res4Row]]=0),0,N(Tasks[[#This Row],[_Days]])*HoursPerDay*IF(Tasks[[#This Row],[_Res4Units]]="",DefaultUnits,Tasks[[#This Row],[_Res4Units]]))</f>
        <v/>
      </c>
      <c r="EK21" s="42">
        <f>IF(AND(AND(Tasks[[#This Row],[_IsLeaf]]=1,Tasks[[#This Row],[_LeafTotalWork]]&gt;0),Tasks[[#This Row],[_Res4Work]]&gt;0),Tasks[[#This Row],[_Res4Work]]/(Tasks[[#This Row],[_FinishWorkday]]-Tasks[[#This Row],[_StartWorkday]]+1),0)</f>
        <v/>
      </c>
      <c r="EL21" s="42">
        <f>Tasks[[#This Row],[_Res4WorkPerWD]]*MAX(0,Tasks[[#This Row],[_StartWorkday]]-1)</f>
        <v/>
      </c>
      <c r="EM21" s="42">
        <f>Tasks[[#This Row],[_Res4Work]]*Tasks[[#This Row],[_LeafProgress]]</f>
        <v/>
      </c>
      <c r="EN21" s="42">
        <f>IF(ISNUMBER(Tasks[[#This Row],[% Complete]]),Tasks[[#This Row],[% Complete]],IF(Tasks[[#This Row],[Stage]]="",0,IFERROR(INDEX(stg_Pct,MATCH(Tasks[[#This Row],[Stage]],stg_Name,0)),0)))</f>
        <v/>
      </c>
      <c r="EO21" s="42">
        <f>IF(NOT(Tasks[[#This Row],[_IsLeaf]]=1),0,IF(N(Tasks[[#This Row],[Actual Finish]])&gt;0,1,MIN(1,Tasks[[#This Row],[_Pct]])))</f>
        <v/>
      </c>
      <c r="EP21" s="42">
        <f>IF(OR(NOT(Tasks[[#This Row],[_IsLeaf]]=1),Tasks[[#This Row],[_Res1Row]]=0),0,N(Tasks[[#This Row],[_Days]])*HoursPerDay*IF(Tasks[[#This Row],[_Units1]]="",DefaultUnits,Tasks[[#This Row],[_Units1]]))</f>
        <v/>
      </c>
      <c r="EQ21" s="42">
        <f>Tasks[[#This Row],[_LeafWork]]+Tasks[[#This Row],[_Res2Work]]+Tasks[[#This Row],[_Res3Work]]+Tasks[[#This Row],[_Res4Work]]</f>
        <v/>
      </c>
      <c r="ER2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1" s="42">
        <f>IF(NOT(Tasks[[#This Row],[_IsLeaf]]=1),0,MAX(_xlfn.MAXIFS(Tasks[_Row],Tasks[_Pred1UID],Tasks[[#This Row],[UID]]),_xlfn.MAXIFS(Tasks[_Row],Tasks[_Pred2UID],Tasks[[#This Row],[UID]]),_xlfn.MAXIFS(Tasks[_Row],Tasks[_Pred3UID],Tasks[[#This Row],[UID]]),_xlfn.MAXIFS(Tasks[_Row],Tasks[_Pred4UID],Tasks[[#This Row],[UID]])))</f>
        <v/>
      </c>
      <c r="FA2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1" s="88">
        <f>IF(NOT(Tasks[[#This Row],[_IsLeaf]]=1),"",IF(N(Tasks[[#This Row],[_Days]])&lt;=0,Tasks[[#This Row],[_LeafLateFinish]],WORKDAY.INTL(Tasks[[#This Row],[_LeafLateFinish]],-(Tasks[[#This Row],[_Days]]-1),WorkWeek,Holidays)))</f>
        <v/>
      </c>
      <c r="FD2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1" s="42">
        <f>AND(Tasks[[#This Row],[_IsLeaf]]=1,Tasks[[#This Row],[_LeafProgress]]&lt;1,N(Tasks[[#This Row],[_LeafTotalSlack]])&lt;=CriticalSlackDays)</f>
        <v/>
      </c>
      <c r="FF21" s="42">
        <f>IF(AND(Tasks[[#This Row],[_IsLeaf]]=1,Tasks[[#This Row],[_ConstraintCode]]=1,Tasks[[#This Row],[Mode]]&lt;&gt;"Manual",N(Tasks[[#This Row],[Actual Start]])=0),MAX(0,N(Tasks[[#This Row],[Free Slack]])),0)</f>
        <v/>
      </c>
      <c r="FG21" s="88">
        <f>IF(NOT(Tasks[[#This Row],[_IsLeaf]]=1),"",IF(Tasks[[#This Row],[_AlapShift]]=0,Tasks[[#This Row],[_LeafCalcStart]],WORKDAY.INTL(Tasks[[#This Row],[_LeafCalcStart]],Tasks[[#This Row],[_AlapShift]],WorkWeek,Holidays)))</f>
        <v/>
      </c>
      <c r="FH21" s="88">
        <f>IF(NOT(Tasks[[#This Row],[_IsLeaf]]=1),"",IF(Tasks[[#This Row],[_AlapShift]]=0,Tasks[[#This Row],[_LeafCalcFinish]],WORKDAY.INTL(Tasks[[#This Row],[_LeafCalcFinish]],Tasks[[#This Row],[_AlapShift]],WorkWeek,Holidays)))</f>
        <v/>
      </c>
      <c r="FI21" s="88">
        <f>IF(NOT(Tasks[[#This Row],[_IsLeaf]]=1),"",IF(Tasks[[#This Row],[_AlapShift]]=0,Tasks[[#This Row],[_LeafFcstStart]],WORKDAY.INTL(Tasks[[#This Row],[_LeafFcstStart]],Tasks[[#This Row],[_AlapShift]],WorkWeek,Holidays)))</f>
        <v/>
      </c>
      <c r="FJ21" s="88">
        <f>IF(NOT(Tasks[[#This Row],[_IsLeaf]]=1),"",IF(Tasks[[#This Row],[_AlapShift]]=0,Tasks[[#This Row],[_LeafFcstFinish]],WORKDAY.INTL(Tasks[[#This Row],[_LeafFcstFinish]],Tasks[[#This Row],[_AlapShift]],WorkWeek,Holidays)))</f>
        <v/>
      </c>
      <c r="FK21" s="88">
        <f>IF(Tasks[[#This Row],[Task Name]]="","",IF(Tasks[[#This Row],[_IsSummary]],MIN(INDEX(Tasks[_ShownCalcStart],Tasks[[#This Row],[_Row]]+1):INDEX(Tasks[_ShownCalcStart],Tasks[[#This Row],[_Row]]+Tasks[[#This Row],[_Descendants]])),Tasks[[#This Row],[_ShownCalcStart]]))</f>
        <v/>
      </c>
      <c r="FL21" s="88">
        <f>IF(Tasks[[#This Row],[Task Name]]="","",IF(Tasks[[#This Row],[_IsSummary]],MAX(INDEX(Tasks[_ShownCalcFinish],Tasks[[#This Row],[_Row]]+1):INDEX(Tasks[_ShownCalcFinish],Tasks[[#This Row],[_Row]]+Tasks[[#This Row],[_Descendants]])),Tasks[[#This Row],[_ShownCalcFinish]]))</f>
        <v/>
      </c>
      <c r="FM2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1" s="42">
        <f>IF(AND(Tasks[[#This Row],[_IsLeaf]]=1,Tasks[[#This Row],[_LeafTotalWork]]&gt;0),NETWORKDAYS.INTL(ProjectStart,Tasks[[#This Row],[_ShownFcstStart]],WorkWeek,Holidays),0)</f>
        <v/>
      </c>
      <c r="FZ21" s="42">
        <f>IF(AND(Tasks[[#This Row],[_IsLeaf]]=1,Tasks[[#This Row],[_LeafTotalWork]]&gt;0),MAX(Tasks[[#This Row],[_StartWorkday]],NETWORKDAYS.INTL(ProjectStart,Tasks[[#This Row],[_ShownFcstFinish]],WorkWeek,Holidays)),0)</f>
        <v/>
      </c>
      <c r="GA21" s="42">
        <f>IF(AND(Tasks[[#This Row],[_IsLeaf]]=1,Tasks[[#This Row],[_LeafTotalWork]]&gt;0),Tasks[[#This Row],[_LeafWork]]/(Tasks[[#This Row],[_FinishWorkday]]-Tasks[[#This Row],[_StartWorkday]]+1),0)</f>
        <v/>
      </c>
      <c r="GB21" s="42">
        <f>Tasks[[#This Row],[_WorkPerWorkday]]*(Tasks[[#This Row],[_StartWorkday]]-1)</f>
        <v/>
      </c>
      <c r="GC21" s="42">
        <f>IF(Tasks[[#This Row],[_IsLeaf]]=1,MAX(N(Tasks[[#This Row],[_Days]]),0.1),0)</f>
        <v/>
      </c>
      <c r="GD21" s="42">
        <f>Tasks[[#This Row],[_WeightDur]]*Tasks[[#This Row],[_LeafProgress]]</f>
        <v/>
      </c>
      <c r="GE21" s="42">
        <f>Tasks[[#This Row],[_WeightDur]]*Tasks[[#This Row],[_PlannedPct]]</f>
        <v/>
      </c>
      <c r="GF2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1" s="42">
        <f>IF(AND(Tasks[[#This Row],[_IsLeaf]]=1,N(Tasks[[#This Row],[_Days]])=0,Tasks[[#This Row],[_LeafProgress]]&lt;1),Tasks[[#This Row],[_ShownFcstFinish]]+Tasks[[#This Row],[_Row]]/100000,"")</f>
        <v/>
      </c>
      <c r="GH2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1" s="42">
        <f>IF(Tasks[[#This Row],[Task Name]]="","",LEFT(Tasks[[#This Row],[WBS]],FIND(".",Tasks[[#This Row],[WBS]]&amp;".")-1))</f>
        <v/>
      </c>
      <c r="GJ21" s="42">
        <f>IF(AND(Tasks[[#This Row],[Task Name]]&lt;&gt;"",Tasks[[#This Row],[_Level]]=1),Tasks[[#This Row],[_Row]],"")</f>
        <v/>
      </c>
      <c r="GK21" s="42">
        <f>IF(AND(Tasks[[#This Row],[_IsLeaf]]=1,N(Tasks[[#This Row],[_Days]])=0),Tasks[[#This Row],[Planned Finish]]+Tasks[[#This Row],[_Row]]/100000,"")</f>
        <v/>
      </c>
      <c r="GL21" s="42">
        <f>IF(AND(Tasks[[#This Row],[_IsLeaf]]=1,Tasks[[#This Row],[_LeafProgress]]&lt;1,OR(N(Tasks[[#This Row],[Finish Var]])&gt;0,Tasks[[#This Row],[Status]]="Late Start")),MAX(0,Tasks[[#This Row],[Finish Var]])+1-Tasks[[#This Row],[_Row]]/1000000,"")</f>
        <v/>
      </c>
      <c r="GM21" s="42">
        <f>IF(AND(Tasks[[#This Row],[_IsLeaf]]=1,N(Tasks[[#This Row],[Actual Start]])=0,Tasks[[#This Row],[_ShownFcstStart]]&gt;=StatusDate,Tasks[[#This Row],[_ShownFcstStart]]&lt;=LookaheadEnd),Tasks[[#This Row],[_ShownFcstStart]]+Tasks[[#This Row],[_Row]]/100000,"")</f>
        <v/>
      </c>
      <c r="GN21" s="42">
        <f>IF(AND(Tasks[[#This Row],[_IsLeaf]]=1,Tasks[[#This Row],[_LeafProgress]]&lt;1,Tasks[[#This Row],[_ShownFcstFinish]]&gt;=StatusDate,Tasks[[#This Row],[_ShownFcstFinish]]&lt;=LookaheadEnd),Tasks[[#This Row],[_ShownFcstFinish]]+Tasks[[#This Row],[_Row]]/100000,"")</f>
        <v/>
      </c>
      <c r="GO21" s="42">
        <f>IF(Tasks[[#This Row],[_LeafCritical]],Tasks[[#This Row],[_ShownFcstStart]]+Tasks[[#This Row],[_Row]]/100000,"")</f>
        <v/>
      </c>
      <c r="GP21" s="42">
        <f>Tasks[[#This Row],[_LeafWork]]*Tasks[[#This Row],[_LeafProgress]]</f>
        <v/>
      </c>
      <c r="GQ21" s="88">
        <f>IF(AND(Tasks[[#This Row],[_IsLeaf]]=1,Tasks[[#This Row],[_LeafProgress]]&gt;=1),IF(N(Tasks[[#This Row],[Actual Finish]])&gt;0,Tasks[[#This Row],[Actual Finish]],Tasks[[#This Row],[_ShownFcstFinish]]),"")</f>
        <v/>
      </c>
      <c r="GR21" s="42">
        <f>IF(Tasks[[#This Row],[_IsLeaf]]=1,N(Tasks[[#This Row],[Story Points]]),0)</f>
        <v/>
      </c>
      <c r="GS21" s="42">
        <f>""</f>
        <v/>
      </c>
      <c r="GT21" s="42">
        <f>IF(Tasks[[#This Row],[Task Name]]="",FALSE(),AND(Tasks[[#This Row],[_IsLeaf]]=1,N(Tasks[[#This Row],[_Days]])=0))</f>
        <v/>
      </c>
      <c r="GU21" s="88">
        <f>IF(Tasks[[#This Row],[Task Name]]="",0,IF(AND(Tasks[[#This Row],[_IsLeaf]]=1,NOT(Tasks[[#This Row],[_IsMilestone]]),N(Tasks[[#This Row],[Progress]])&gt;0),Tasks[[#This Row],[Start]],0))</f>
        <v/>
      </c>
      <c r="GV21" s="88">
        <f>IF(Tasks[[#This Row],[_DoneFrom]]=0,0,IF(Tasks[[#This Row],[Progress]]&gt;=1,Tasks[[#This Row],[Finish]],MAX(Tasks[[#This Row],[_DoneFrom]],Tasks[[#This Row],[Start]]+ROUND((Tasks[[#This Row],[Finish]]-Tasks[[#This Row],[Start]]+1)*Tasks[[#This Row],[Progress]],0)-1)))</f>
        <v/>
      </c>
      <c r="GW21" s="88">
        <f>IF(Tasks[[#This Row],[Task Name]]="",0,IF(OR(NOT(Tasks[[#This Row],[_IsLeaf]]=1),Tasks[[#This Row],[_IsMilestone]],N(Tasks[[#This Row],[Progress]])&gt;=1),0,IF(Tasks[[#This Row],[_DoneTo]]&gt;0,Tasks[[#This Row],[_DoneTo]]+1,Tasks[[#This Row],[Start]])))</f>
        <v/>
      </c>
      <c r="GX21" s="88">
        <f>IF(Tasks[[#This Row],[_RemFrom]]=0,0,Tasks[[#This Row],[Finish]])</f>
        <v/>
      </c>
      <c r="GY21" s="42">
        <f>IF(Tasks[[#This Row],[Task Name]]="",FALSE(),OR(NOT(BaselineSet),N(Tasks[[#This Row],[Baseline Start]])&gt;0))</f>
        <v/>
      </c>
      <c r="GZ21" s="42">
        <f>IF(AND(Sandbox="Yes",L_PARSE_DURATION(Tasks[[#This Row],[Sandbox Duration]])&lt;&gt;""),L_PARSE_DURATION(Tasks[[#This Row],[Sandbox Duration]]),L_PARSE_DURATION(Tasks[[#This Row],[Duration]]))</f>
        <v/>
      </c>
      <c r="HA2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1" s="42">
        <f>IF(Tasks[[#This Row],[_IsLeaf]]=1,Tasks[[#This Row],[_Row]],"")</f>
        <v/>
      </c>
      <c r="HD21" s="42">
        <f>IFERROR(INDEX(Tasks[UID],SMALL(Tasks[_PickKey],Tasks[[#This Row],[_Row]]))&amp;" "&amp;INDEX(Tasks[Task Name],SMALL(Tasks[_PickKey],Tasks[[#This Row],[_Row]])),"")</f>
        <v/>
      </c>
      <c r="HE21" s="42">
        <f>IF(Tasks[[#This Row],[Task Name]]="","",IF(Tasks[[#This Row],[_IsSummary]],NETWORKDAYS.INTL(Tasks[[#This Row],[Start]],Tasks[[#This Row],[Finish]],WorkWeek,Holidays),N(Tasks[[#This Row],[_Days]])))</f>
        <v/>
      </c>
      <c r="HF21" s="42">
        <f>IF(Tasks[[#This Row],[Expected]]="",0,((Tasks[[#This Row],[Pessimistic]]-Tasks[[#This Row],[Optimistic]])/6)^2)</f>
        <v/>
      </c>
      <c r="HG21" s="42">
        <f>IF(Tasks[[#This Row],[Expected]]="",0,Tasks[[#This Row],[Expected]]-N(Tasks[[#This Row],[_Days]]))</f>
        <v/>
      </c>
    </row>
    <row r="22">
      <c r="A22" s="21">
        <f>IF(Tasks[[#This Row],[Task Name]]="","",COUNTA(Tasks[[#Headers],[Task Name]]:Tasks[[#This Row],[Task Name]])-1)</f>
        <v/>
      </c>
      <c r="B22" s="22" t="n">
        <v>30</v>
      </c>
      <c r="C22" s="22" t="n"/>
      <c r="D22" s="23" t="n"/>
      <c r="E22" s="22" t="n"/>
      <c r="F22" s="23" t="n"/>
      <c r="G22" s="22" t="n"/>
      <c r="H22" s="22" t="n"/>
      <c r="I22" s="23" t="n"/>
      <c r="J22" s="22" t="n"/>
      <c r="K22" s="22" t="n"/>
      <c r="L22" s="23" t="n"/>
      <c r="M22" s="22" t="n"/>
      <c r="N22" s="22" t="n"/>
      <c r="O22" s="23" t="n"/>
      <c r="P22" s="22" t="n"/>
      <c r="Q22" s="22" t="n"/>
      <c r="R22" s="23" t="n"/>
      <c r="S22" s="23" t="n"/>
      <c r="T22" s="82" t="n"/>
      <c r="U22" s="23" t="n"/>
      <c r="V22" s="82" t="n"/>
      <c r="W22" s="23" t="n"/>
      <c r="X22" s="82" t="n"/>
      <c r="Y22" s="23" t="n"/>
      <c r="Z22" s="82" t="n"/>
      <c r="AA22" s="23" t="n"/>
      <c r="AB22" s="23" t="n"/>
      <c r="AC22" s="7" t="n"/>
      <c r="AD22" s="7" t="n"/>
      <c r="AE22" s="61">
        <f>IF(Tasks[[#This Row],[Task Name]]="","",IF(Tasks[[#This Row],[_IsSummary]],MIN(INDEX(Tasks[_ShownFcstStart],Tasks[[#This Row],[_Row]]+1):INDEX(Tasks[_ShownFcstStart],Tasks[[#This Row],[_Row]]+Tasks[[#This Row],[_Descendants]])),Tasks[[#This Row],[_ShownFcstStart]]))</f>
        <v/>
      </c>
      <c r="AF22" s="61">
        <f>IF(Tasks[[#This Row],[Task Name]]="","",IF(Tasks[[#This Row],[_IsSummary]],MAX(INDEX(Tasks[_ShownFcstFinish],Tasks[[#This Row],[_Row]]+1):INDEX(Tasks[_ShownFcstFinish],Tasks[[#This Row],[_Row]]+Tasks[[#This Row],[_Descendants]])),Tasks[[#This Row],[_ShownFcstFinish]]))</f>
        <v/>
      </c>
      <c r="AG22" s="21">
        <f>""</f>
        <v/>
      </c>
      <c r="AH22" s="23" t="n"/>
      <c r="AI2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2" s="7" t="n"/>
      <c r="AK22" s="22" t="n"/>
      <c r="AL22" s="23" t="n"/>
      <c r="AM22" s="7" t="n"/>
      <c r="AN22" s="21">
        <f>IF(Tasks[[#This Row],[Task Name]]="","",IF(Tasks[[#This Row],[Finish]]&gt;=Tasks[[#This Row],[Planned Finish]],NETWORKDAYS.INTL(Tasks[[#This Row],[Planned Finish]],Tasks[[#This Row],[Finish]],WorkWeek,Holidays)-1,1-NETWORKDAYS.INTL(Tasks[[#This Row],[Finish]],Tasks[[#This Row],[Planned Finish]],WorkWeek,Holidays)))</f>
        <v/>
      </c>
      <c r="AO22" s="21">
        <f>IF(Tasks[[#This Row],[Task Name]]="","",IF(Tasks[[#This Row],[Progress]]&gt;=1,"Complete",IF(OR(N(Tasks[[#This Row],[Actual Start]])&gt;0,Tasks[[#This Row],[Progress]]&gt;0),IF(Tasks[[#This Row],[Finish Var]]&gt;0,"Behind","In Progress"),IF(Tasks[[#This Row],[Planned Start]]&lt;StatusDate,"Late Start","Not Started"))))</f>
        <v/>
      </c>
      <c r="AP22" s="21">
        <f>IF(Tasks[[#This Row],[Task Name]]="","",IF(IF(Tasks[[#This Row],[_IsSummary]],COUNTIF(INDEX(Tasks[_LeafCritical],Tasks[[#This Row],[_Row]]+1):INDEX(Tasks[_LeafCritical],Tasks[[#This Row],[_Row]]+Tasks[[#This Row],[_Descendants]]),TRUE())&gt;0,Tasks[[#This Row],[_LeafCritical]]),"Yes",""))</f>
        <v/>
      </c>
      <c r="AQ22" s="61">
        <f>IF(Tasks[[#This Row],[Task Name]]="","",IF(N(Tasks[[#This Row],[Baseline Start]])&gt;0,Tasks[[#This Row],[Baseline Start]],Tasks[[#This Row],[_CalcStart]]))</f>
        <v/>
      </c>
      <c r="AR22" s="61">
        <f>IF(Tasks[[#This Row],[Task Name]]="","",IF(N(Tasks[[#This Row],[Baseline Finish]])&gt;0,Tasks[[#This Row],[Baseline Finish]],Tasks[[#This Row],[_CalcFinish]]))</f>
        <v/>
      </c>
      <c r="AS22" s="21">
        <f>IF(Tasks[[#This Row],[Task Name]]="","",IF(Tasks[[#This Row],[Start]]&gt;=Tasks[[#This Row],[Planned Start]],NETWORKDAYS.INTL(Tasks[[#This Row],[Planned Start]],Tasks[[#This Row],[Start]],WorkWeek,Holidays)-1,1-NETWORKDAYS.INTL(Tasks[[#This Row],[Start]],Tasks[[#This Row],[Planned Start]],WorkWeek,Holidays)))</f>
        <v/>
      </c>
      <c r="AT22" s="61">
        <f>IF(Tasks[[#This Row],[Task Name]]="","",IF(Tasks[[#This Row],[_IsSummary]],MIN(INDEX(Tasks[_LeafLateStart],Tasks[[#This Row],[_Row]]+1):INDEX(Tasks[_LeafLateStart],Tasks[[#This Row],[_Row]]+Tasks[[#This Row],[_Descendants]])),Tasks[[#This Row],[_LeafLateStart]]))</f>
        <v/>
      </c>
      <c r="AU22" s="61">
        <f>IF(Tasks[[#This Row],[Task Name]]="","",IF(Tasks[[#This Row],[_IsSummary]],MAX(INDEX(Tasks[_LeafLateFinish],Tasks[[#This Row],[_Row]]+1):INDEX(Tasks[_LeafLateFinish],Tasks[[#This Row],[_Row]]+Tasks[[#This Row],[_Descendants]])),Tasks[[#This Row],[_LeafLateFinish]]))</f>
        <v/>
      </c>
      <c r="AV22" s="21">
        <f>IF(Tasks[[#This Row],[Task Name]]="","",IF(Tasks[[#This Row],[_IsSummary]],MIN(INDEX(Tasks[_LeafTotalSlack],Tasks[[#This Row],[_Row]]+1):INDEX(Tasks[_LeafTotalSlack],Tasks[[#This Row],[_Row]]+Tasks[[#This Row],[_Descendants]])),Tasks[[#This Row],[_LeafTotalSlack]]))</f>
        <v/>
      </c>
      <c r="AW2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3" t="n"/>
      <c r="BA2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f>IF(Tasks[[#This Row],[Task Name]]="","",IF(Tasks[[#This Row],[_Level]]&lt;=OutlineShowLevel,"Yes","No"))</f>
        <v/>
      </c>
      <c r="BE22" s="84">
        <f>IF(Tasks[[#This Row],[Task Name]]="","",IF(Tasks[[#This Row],[_IsSummary]],SUM(INDEX(Tasks[_LeafTotalWork],Tasks[[#This Row],[_Row]]+1):INDEX(Tasks[_LeafTotalWork],Tasks[[#This Row],[_Row]]+Tasks[[#This Row],[_Descendants]])),Tasks[[#This Row],[_LeafTotalWork]]))</f>
        <v/>
      </c>
      <c r="BF22" s="23" t="n"/>
      <c r="BG2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f>""</f>
        <v/>
      </c>
      <c r="BI22" s="85" t="n"/>
      <c r="BJ22" s="22" t="n"/>
      <c r="BK22" s="21">
        <f>IF(OR(Tasks[[#This Row],[Task Name]]="",Tasks[[#This Row],[Baseline Duration]]=""),"",Tasks[[#This Row],[_SpanDays]]-N(Tasks[[#This Row],[Baseline Duration]]))</f>
        <v/>
      </c>
      <c r="BL22" s="84">
        <f>IF(OR(Tasks[[#This Row],[Task Name]]="",Tasks[[#This Row],[Baseline Work]]=""),"",Tasks[[#This Row],[Work]]-N(Tasks[[#This Row],[Baseline Work]]))</f>
        <v/>
      </c>
      <c r="BM22" s="61">
        <f>IF(Tasks[[#This Row],[Task Name]]="","",IF(OR(TakeBaseline="Yes",N(Tasks[[#This Row],[Baseline Start]])=0),Tasks[[#This Row],[Start]],Tasks[[#This Row],[Baseline Start]]))</f>
        <v/>
      </c>
      <c r="BN22" s="61">
        <f>IF(Tasks[[#This Row],[Task Name]]="","",IF(OR(TakeBaseline="Yes",N(Tasks[[#This Row],[Baseline Finish]])=0),Tasks[[#This Row],[Finish]],Tasks[[#This Row],[Baseline Finish]]))</f>
        <v/>
      </c>
      <c r="BO22" s="21">
        <f>IF(Tasks[[#This Row],[Task Name]]="","",IF(OR(TakeBaseline="Yes",N(Tasks[[#This Row],[Baseline Duration]])=0),Tasks[[#This Row],[_SpanDays]],Tasks[[#This Row],[Baseline Duration]]))</f>
        <v/>
      </c>
      <c r="BP22" s="84">
        <f>IF(Tasks[[#This Row],[Task Name]]="","",IF(OR(TakeBaseline="Yes",N(Tasks[[#This Row],[Baseline Work]])=0),Tasks[[#This Row],[Work]],Tasks[[#This Row],[Baseline Work]]))</f>
        <v/>
      </c>
      <c r="BQ22" s="7" t="n"/>
      <c r="BR22" s="7" t="n"/>
      <c r="BS22" s="22" t="n"/>
      <c r="BT22" s="86" t="n"/>
      <c r="BU22" s="23" t="n"/>
      <c r="BV22" s="23" t="n"/>
      <c r="BW22" s="23" t="n"/>
      <c r="BX22" s="87">
        <f>IF(AND(Tasks[[#This Row],[_IsLeaf]]=1,ISNUMBER(Tasks[[#This Row],[Optimistic]]),ISNUMBER(Tasks[[#This Row],[Pessimistic]])),ROUND((Tasks[[#This Row],[Optimistic]]+4*N(Tasks[[#This Row],[_Days]])+Tasks[[#This Row],[Pessimistic]])/6,1),"")</f>
        <v/>
      </c>
      <c r="BY22" s="85" t="n"/>
      <c r="BZ22" s="85" t="n"/>
      <c r="CA22" s="22" t="n"/>
      <c r="CB22" s="42">
        <f>IF(Tasks[[#This Row],[Task Name]]="","",MAX(1,N(Tasks[[#This Row],[Level]])))</f>
        <v/>
      </c>
      <c r="CC22" s="42">
        <f>ROW()-ROW(Tasks[[#Headers],[ID]])</f>
        <v/>
      </c>
      <c r="CD22" s="42">
        <f>IF(OR(Tasks[[#This Row],[Task Name]]="",Tasks[[#This Row],[_Level]]&lt;=1),0,IFERROR(LOOKUP(2,1/(Tasks[[#Headers],[_Level]]:Tasks[[#This Row],[_Level]]=Tasks[[#This Row],[_Level]]-1),ROW(Tasks[[#Headers],[_Level]]:Tasks[[#This Row],[_Level]])),0))</f>
        <v/>
      </c>
      <c r="CE22" s="42">
        <f>IFERROR(N(INDEX(Tasks[_Level],Tasks[[#This Row],[_Row]]+1)),0)</f>
        <v/>
      </c>
      <c r="CF22" s="42">
        <f>AND(Tasks[[#This Row],[Task Name]]&lt;&gt;"",Tasks[[#This Row],[_NextLevel]]&gt;Tasks[[#This Row],[_Level]])</f>
        <v/>
      </c>
      <c r="CG22" s="42">
        <f>IF(Tasks[[#This Row],[_IsSummary]],COUNTIF(Tasks[WBS],Tasks[[#This Row],[WBS]]&amp;".*"),0)</f>
        <v/>
      </c>
      <c r="CH22" s="42">
        <f>IF(AND(Tasks[[#This Row],[Task Name]]&lt;&gt;"",NOT(Tasks[[#This Row],[_IsSummary]])),1,0)</f>
        <v/>
      </c>
      <c r="CI22" s="42">
        <f>IF(N(Tasks[[#This Row],[_Pred1UID]])=0,0,IFERROR(MATCH(Tasks[[#This Row],[_Pred1UID]],Tasks[UID],0),-1))</f>
        <v/>
      </c>
      <c r="CJ22" s="42">
        <f>IF(N(Tasks[[#This Row],[_Pred2UID]])=0,0,IFERROR(MATCH(Tasks[[#This Row],[_Pred2UID]],Tasks[UID],0),-1))</f>
        <v/>
      </c>
      <c r="CK22" s="42">
        <f>IF(N(Tasks[[#This Row],[_Pred3UID]])=0,0,IFERROR(MATCH(Tasks[[#This Row],[_Pred3UID]],Tasks[UID],0),-1))</f>
        <v/>
      </c>
      <c r="CL22" s="42">
        <f>IF(N(Tasks[[#This Row],[_Pred4UID]])=0,0,IFERROR(MATCH(Tasks[[#This Row],[_Pred4UID]],Tasks[UID],0),-1))</f>
        <v/>
      </c>
      <c r="CM2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2" s="88">
        <f>IF(N(Tasks[[#This Row],[Constraint Date]])=0,0,IF(AND(OR(Tasks[[#This Row],[_ConstraintCode]]=3,Tasks[[#This Row],[_ConstraintCode]]=6,Tasks[[#This Row],[_ConstraintCode]]=7),N(Tasks[[#This Row],[_Days]])&gt;1),WORKDAY.INTL(N(Tasks[[#This Row],[Constraint Date]]),-(N(Tasks[[#This Row],[_Days]])-1),WorkWeek,Holidays),N(Tasks[[#This Row],[Constraint Date]])))</f>
        <v/>
      </c>
      <c r="CO22" s="88">
        <f>IF(OR(Tasks[[#This Row],[_ConstraintCode]]=2,Tasks[[#This Row],[_ConstraintCode]]=3,Tasks[[#This Row],[_ConstraintCode]]=4,Tasks[[#This Row],[_ConstraintCode]]=6),Tasks[[#This Row],[_ConstraintStart]],0)</f>
        <v/>
      </c>
      <c r="CP22" s="88">
        <f>IF(OR(Tasks[[#This Row],[_ConstraintCode]]=2,Tasks[[#This Row],[_ConstraintCode]]=3,Tasks[[#This Row],[_ConstraintCode]]=5,Tasks[[#This Row],[_ConstraintCode]]=7),Tasks[[#This Row],[_ConstraintStart]],2958465)</f>
        <v/>
      </c>
      <c r="CQ2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2" s="88">
        <f>IF(NOT(Tasks[[#This Row],[_IsLeaf]]=1),"",IF(N(Tasks[[#This Row],[_Days]])&lt;=0,Tasks[[#This Row],[_LeafCalcStart]],WORKDAY.INTL(Tasks[[#This Row],[_LeafCalcStart]],Tasks[[#This Row],[_Days]]-1,WorkWeek,Holidays)))</f>
        <v/>
      </c>
      <c r="CS2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2" s="42">
        <f>IF(Tasks[[#This Row],[_Predecessors]]="","",TRIM(MID(SUBSTITUTE(SUBSTITUTE(SUBSTITUTE(UPPER(Tasks[[#This Row],[_Predecessors]]),";",",")," ",""),",",REPT(" ",99)),1,99)))</f>
        <v/>
      </c>
      <c r="CV22" s="42">
        <f>IF(Tasks[[#This Row],[_Pred1Text]]="","",IFERROR(VALUE(LEFT(Tasks[[#This Row],[_Pred1Text]],MIN(FIND("F",Tasks[[#This Row],[_Pred1Text]]&amp;"F"),FIND("S",Tasks[[#This Row],[_Pred1Text]]&amp;"S"),FIND("+",Tasks[[#This Row],[_Pred1Text]]&amp;"+"),FIND("-",Tasks[[#This Row],[_Pred1Text]]&amp;"-"))-1)),""))</f>
        <v/>
      </c>
      <c r="CW2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2" s="42">
        <f>IF(Tasks[[#This Row],[_Pred1Text]]="","",TRIM(MID(SUBSTITUTE(SUBSTITUTE(SUBSTITUTE(UPPER(Tasks[[#This Row],[_Predecessors]]),";",",")," ",""),",",REPT(" ",99)),100,99)))</f>
        <v/>
      </c>
      <c r="CZ22" s="42">
        <f>IF(Tasks[[#This Row],[_Pred2Text]]="","",IFERROR(VALUE(LEFT(Tasks[[#This Row],[_Pred2Text]],MIN(FIND("F",Tasks[[#This Row],[_Pred2Text]]&amp;"F"),FIND("S",Tasks[[#This Row],[_Pred2Text]]&amp;"S"),FIND("+",Tasks[[#This Row],[_Pred2Text]]&amp;"+"),FIND("-",Tasks[[#This Row],[_Pred2Text]]&amp;"-"))-1)),""))</f>
        <v/>
      </c>
      <c r="DA2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2" s="42">
        <f>IF(Tasks[[#This Row],[_Pred2Text]]="","",TRIM(MID(SUBSTITUTE(SUBSTITUTE(SUBSTITUTE(UPPER(Tasks[[#This Row],[_Predecessors]]),";",",")," ",""),",",REPT(" ",99)),199,99)))</f>
        <v/>
      </c>
      <c r="DD22" s="42">
        <f>IF(Tasks[[#This Row],[_Pred3Text]]="","",IFERROR(VALUE(LEFT(Tasks[[#This Row],[_Pred3Text]],MIN(FIND("F",Tasks[[#This Row],[_Pred3Text]]&amp;"F"),FIND("S",Tasks[[#This Row],[_Pred3Text]]&amp;"S"),FIND("+",Tasks[[#This Row],[_Pred3Text]]&amp;"+"),FIND("-",Tasks[[#This Row],[_Pred3Text]]&amp;"-"))-1)),""))</f>
        <v/>
      </c>
      <c r="DE2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2" s="42">
        <f>IF(Tasks[[#This Row],[_Pred3Text]]="","",TRIM(MID(SUBSTITUTE(SUBSTITUTE(SUBSTITUTE(UPPER(Tasks[[#This Row],[_Predecessors]]),";",",")," ",""),",",REPT(" ",99)),298,99)))</f>
        <v/>
      </c>
      <c r="DH22" s="42">
        <f>IF(Tasks[[#This Row],[_Pred4Text]]="","",IFERROR(VALUE(LEFT(Tasks[[#This Row],[_Pred4Text]],MIN(FIND("F",Tasks[[#This Row],[_Pred4Text]]&amp;"F"),FIND("S",Tasks[[#This Row],[_Pred4Text]]&amp;"S"),FIND("+",Tasks[[#This Row],[_Pred4Text]]&amp;"+"),FIND("-",Tasks[[#This Row],[_Pred4Text]]&amp;"-"))-1)),""))</f>
        <v/>
      </c>
      <c r="DI2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2" s="42">
        <f>IF(OR(Tasks[[#This Row],[Task Name]]="",Tasks[[#This Row],[_Resources]]=""),"",TRIM(MID(SUBSTITUTE(Tasks[[#This Row],[_Resources]],",",REPT(" ",99)),1,99)))</f>
        <v/>
      </c>
      <c r="DL22" s="42">
        <f>IF(Tasks[[#This Row],[_Res1Text]]="","",TRIM(MID(SUBSTITUTE(Tasks[[#This Row],[_Resources]],",",REPT(" ",99)),100,99)))</f>
        <v/>
      </c>
      <c r="DM22" s="42">
        <f>IF(Tasks[[#This Row],[_Res2Text]]="","",TRIM(MID(SUBSTITUTE(Tasks[[#This Row],[_Resources]],",",REPT(" ",99)),199,99)))</f>
        <v/>
      </c>
      <c r="DN22" s="42">
        <f>IF(Tasks[[#This Row],[_Res3Text]]="","",TRIM(MID(SUBSTITUTE(Tasks[[#This Row],[_Resources]],",",REPT(" ",99)),298,99)))</f>
        <v/>
      </c>
      <c r="DO22" s="42">
        <f>IF(Tasks[[#This Row],[_Res1Text]]="",0,IFERROR(MATCH(TRIM(LEFT(Tasks[[#This Row],[_Res1Text]],FIND("[",Tasks[[#This Row],[_Res1Text]]&amp;"[")-1)),res_Name,0),IFERROR(MATCH(TRIM(LEFT(Tasks[[#This Row],[_Res1Text]],FIND("[",Tasks[[#This Row],[_Res1Text]]&amp;"[")-1)),res_Initials,0),0)))</f>
        <v/>
      </c>
      <c r="DP22" s="42">
        <f>IF(Tasks[[#This Row],[_Res2Text]]="",0,IFERROR(MATCH(TRIM(LEFT(Tasks[[#This Row],[_Res2Text]],FIND("[",Tasks[[#This Row],[_Res2Text]]&amp;"[")-1)),res_Name,0),IFERROR(MATCH(TRIM(LEFT(Tasks[[#This Row],[_Res2Text]],FIND("[",Tasks[[#This Row],[_Res2Text]]&amp;"[")-1)),res_Initials,0),0)))</f>
        <v/>
      </c>
      <c r="DQ22" s="42">
        <f>IF(Tasks[[#This Row],[_Res3Text]]="",0,IFERROR(MATCH(TRIM(LEFT(Tasks[[#This Row],[_Res3Text]],FIND("[",Tasks[[#This Row],[_Res3Text]]&amp;"[")-1)),res_Name,0),IFERROR(MATCH(TRIM(LEFT(Tasks[[#This Row],[_Res3Text]],FIND("[",Tasks[[#This Row],[_Res3Text]]&amp;"[")-1)),res_Initials,0),0)))</f>
        <v/>
      </c>
      <c r="DR22" s="42">
        <f>IF(Tasks[[#This Row],[_Res4Text]]="",0,IFERROR(MATCH(TRIM(LEFT(Tasks[[#This Row],[_Res4Text]],FIND("[",Tasks[[#This Row],[_Res4Text]]&amp;"[")-1)),res_Name,0),IFERROR(MATCH(TRIM(LEFT(Tasks[[#This Row],[_Res4Text]],FIND("[",Tasks[[#This Row],[_Res4Text]]&amp;"[")-1)),res_Initials,0),0)))</f>
        <v/>
      </c>
      <c r="DS22" s="42">
        <f>IF(Tasks[[#This Row],[_Res1Text]]="","",IF(Tasks[[#This Row],[_Res1Row]]&gt;0,INDEX(res_Name,Tasks[[#This Row],[_Res1Row]]),TRIM(LEFT(Tasks[[#This Row],[_Res1Text]],FIND("[",Tasks[[#This Row],[_Res1Text]]&amp;"[")-1))))</f>
        <v/>
      </c>
      <c r="DT2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2" s="42">
        <f>IF(NOT(Tasks[[#This Row],[_IsLeaf]]=1),0,(Tasks[[#This Row],[_Resource1]]&lt;&gt;"")+(Tasks[[#This Row],[_Res2]]&lt;&gt;"")+(Tasks[[#This Row],[_Res3]]&lt;&gt;"")+(Tasks[[#This Row],[_Res4]]&lt;&gt;""))</f>
        <v/>
      </c>
      <c r="DV22" s="42">
        <f>IF(Tasks[[#This Row],[_Res2Text]]="","",IF(Tasks[[#This Row],[_Res2Row]]&gt;0,INDEX(res_Name,Tasks[[#This Row],[_Res2Row]]),TRIM(LEFT(Tasks[[#This Row],[_Res2Text]],FIND("[",Tasks[[#This Row],[_Res2Text]]&amp;"[")-1))))</f>
        <v/>
      </c>
      <c r="DW2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2" s="42">
        <f>IF(OR(NOT(Tasks[[#This Row],[_IsLeaf]]=1),Tasks[[#This Row],[_Res2Row]]=0),0,N(Tasks[[#This Row],[_Days]])*HoursPerDay*IF(Tasks[[#This Row],[_Res2Units]]="",DefaultUnits,Tasks[[#This Row],[_Res2Units]]))</f>
        <v/>
      </c>
      <c r="DY22" s="42">
        <f>IF(AND(AND(Tasks[[#This Row],[_IsLeaf]]=1,Tasks[[#This Row],[_LeafTotalWork]]&gt;0),Tasks[[#This Row],[_Res2Work]]&gt;0),Tasks[[#This Row],[_Res2Work]]/(Tasks[[#This Row],[_FinishWorkday]]-Tasks[[#This Row],[_StartWorkday]]+1),0)</f>
        <v/>
      </c>
      <c r="DZ22" s="42">
        <f>Tasks[[#This Row],[_Res2WorkPerWD]]*MAX(0,Tasks[[#This Row],[_StartWorkday]]-1)</f>
        <v/>
      </c>
      <c r="EA22" s="42">
        <f>Tasks[[#This Row],[_Res2Work]]*Tasks[[#This Row],[_LeafProgress]]</f>
        <v/>
      </c>
      <c r="EB22" s="42">
        <f>IF(Tasks[[#This Row],[_Res3Text]]="","",IF(Tasks[[#This Row],[_Res3Row]]&gt;0,INDEX(res_Name,Tasks[[#This Row],[_Res3Row]]),TRIM(LEFT(Tasks[[#This Row],[_Res3Text]],FIND("[",Tasks[[#This Row],[_Res3Text]]&amp;"[")-1))))</f>
        <v/>
      </c>
      <c r="EC2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2" s="42">
        <f>IF(OR(NOT(Tasks[[#This Row],[_IsLeaf]]=1),Tasks[[#This Row],[_Res3Row]]=0),0,N(Tasks[[#This Row],[_Days]])*HoursPerDay*IF(Tasks[[#This Row],[_Res3Units]]="",DefaultUnits,Tasks[[#This Row],[_Res3Units]]))</f>
        <v/>
      </c>
      <c r="EE22" s="42">
        <f>IF(AND(AND(Tasks[[#This Row],[_IsLeaf]]=1,Tasks[[#This Row],[_LeafTotalWork]]&gt;0),Tasks[[#This Row],[_Res3Work]]&gt;0),Tasks[[#This Row],[_Res3Work]]/(Tasks[[#This Row],[_FinishWorkday]]-Tasks[[#This Row],[_StartWorkday]]+1),0)</f>
        <v/>
      </c>
      <c r="EF22" s="42">
        <f>Tasks[[#This Row],[_Res3WorkPerWD]]*MAX(0,Tasks[[#This Row],[_StartWorkday]]-1)</f>
        <v/>
      </c>
      <c r="EG22" s="42">
        <f>Tasks[[#This Row],[_Res3Work]]*Tasks[[#This Row],[_LeafProgress]]</f>
        <v/>
      </c>
      <c r="EH22" s="42">
        <f>IF(Tasks[[#This Row],[_Res4Text]]="","",IF(Tasks[[#This Row],[_Res4Row]]&gt;0,INDEX(res_Name,Tasks[[#This Row],[_Res4Row]]),TRIM(LEFT(Tasks[[#This Row],[_Res4Text]],FIND("[",Tasks[[#This Row],[_Res4Text]]&amp;"[")-1))))</f>
        <v/>
      </c>
      <c r="EI2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2" s="42">
        <f>IF(OR(NOT(Tasks[[#This Row],[_IsLeaf]]=1),Tasks[[#This Row],[_Res4Row]]=0),0,N(Tasks[[#This Row],[_Days]])*HoursPerDay*IF(Tasks[[#This Row],[_Res4Units]]="",DefaultUnits,Tasks[[#This Row],[_Res4Units]]))</f>
        <v/>
      </c>
      <c r="EK22" s="42">
        <f>IF(AND(AND(Tasks[[#This Row],[_IsLeaf]]=1,Tasks[[#This Row],[_LeafTotalWork]]&gt;0),Tasks[[#This Row],[_Res4Work]]&gt;0),Tasks[[#This Row],[_Res4Work]]/(Tasks[[#This Row],[_FinishWorkday]]-Tasks[[#This Row],[_StartWorkday]]+1),0)</f>
        <v/>
      </c>
      <c r="EL22" s="42">
        <f>Tasks[[#This Row],[_Res4WorkPerWD]]*MAX(0,Tasks[[#This Row],[_StartWorkday]]-1)</f>
        <v/>
      </c>
      <c r="EM22" s="42">
        <f>Tasks[[#This Row],[_Res4Work]]*Tasks[[#This Row],[_LeafProgress]]</f>
        <v/>
      </c>
      <c r="EN22" s="42">
        <f>IF(ISNUMBER(Tasks[[#This Row],[% Complete]]),Tasks[[#This Row],[% Complete]],IF(Tasks[[#This Row],[Stage]]="",0,IFERROR(INDEX(stg_Pct,MATCH(Tasks[[#This Row],[Stage]],stg_Name,0)),0)))</f>
        <v/>
      </c>
      <c r="EO22" s="42">
        <f>IF(NOT(Tasks[[#This Row],[_IsLeaf]]=1),0,IF(N(Tasks[[#This Row],[Actual Finish]])&gt;0,1,MIN(1,Tasks[[#This Row],[_Pct]])))</f>
        <v/>
      </c>
      <c r="EP22" s="42">
        <f>IF(OR(NOT(Tasks[[#This Row],[_IsLeaf]]=1),Tasks[[#This Row],[_Res1Row]]=0),0,N(Tasks[[#This Row],[_Days]])*HoursPerDay*IF(Tasks[[#This Row],[_Units1]]="",DefaultUnits,Tasks[[#This Row],[_Units1]]))</f>
        <v/>
      </c>
      <c r="EQ22" s="42">
        <f>Tasks[[#This Row],[_LeafWork]]+Tasks[[#This Row],[_Res2Work]]+Tasks[[#This Row],[_Res3Work]]+Tasks[[#This Row],[_Res4Work]]</f>
        <v/>
      </c>
      <c r="ER2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2" s="42">
        <f>IF(NOT(Tasks[[#This Row],[_IsLeaf]]=1),0,MAX(_xlfn.MAXIFS(Tasks[_Row],Tasks[_Pred1UID],Tasks[[#This Row],[UID]]),_xlfn.MAXIFS(Tasks[_Row],Tasks[_Pred2UID],Tasks[[#This Row],[UID]]),_xlfn.MAXIFS(Tasks[_Row],Tasks[_Pred3UID],Tasks[[#This Row],[UID]]),_xlfn.MAXIFS(Tasks[_Row],Tasks[_Pred4UID],Tasks[[#This Row],[UID]])))</f>
        <v/>
      </c>
      <c r="FA2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2" s="88">
        <f>IF(NOT(Tasks[[#This Row],[_IsLeaf]]=1),"",IF(N(Tasks[[#This Row],[_Days]])&lt;=0,Tasks[[#This Row],[_LeafLateFinish]],WORKDAY.INTL(Tasks[[#This Row],[_LeafLateFinish]],-(Tasks[[#This Row],[_Days]]-1),WorkWeek,Holidays)))</f>
        <v/>
      </c>
      <c r="FD2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2" s="42">
        <f>AND(Tasks[[#This Row],[_IsLeaf]]=1,Tasks[[#This Row],[_LeafProgress]]&lt;1,N(Tasks[[#This Row],[_LeafTotalSlack]])&lt;=CriticalSlackDays)</f>
        <v/>
      </c>
      <c r="FF22" s="42">
        <f>IF(AND(Tasks[[#This Row],[_IsLeaf]]=1,Tasks[[#This Row],[_ConstraintCode]]=1,Tasks[[#This Row],[Mode]]&lt;&gt;"Manual",N(Tasks[[#This Row],[Actual Start]])=0),MAX(0,N(Tasks[[#This Row],[Free Slack]])),0)</f>
        <v/>
      </c>
      <c r="FG22" s="88">
        <f>IF(NOT(Tasks[[#This Row],[_IsLeaf]]=1),"",IF(Tasks[[#This Row],[_AlapShift]]=0,Tasks[[#This Row],[_LeafCalcStart]],WORKDAY.INTL(Tasks[[#This Row],[_LeafCalcStart]],Tasks[[#This Row],[_AlapShift]],WorkWeek,Holidays)))</f>
        <v/>
      </c>
      <c r="FH22" s="88">
        <f>IF(NOT(Tasks[[#This Row],[_IsLeaf]]=1),"",IF(Tasks[[#This Row],[_AlapShift]]=0,Tasks[[#This Row],[_LeafCalcFinish]],WORKDAY.INTL(Tasks[[#This Row],[_LeafCalcFinish]],Tasks[[#This Row],[_AlapShift]],WorkWeek,Holidays)))</f>
        <v/>
      </c>
      <c r="FI22" s="88">
        <f>IF(NOT(Tasks[[#This Row],[_IsLeaf]]=1),"",IF(Tasks[[#This Row],[_AlapShift]]=0,Tasks[[#This Row],[_LeafFcstStart]],WORKDAY.INTL(Tasks[[#This Row],[_LeafFcstStart]],Tasks[[#This Row],[_AlapShift]],WorkWeek,Holidays)))</f>
        <v/>
      </c>
      <c r="FJ22" s="88">
        <f>IF(NOT(Tasks[[#This Row],[_IsLeaf]]=1),"",IF(Tasks[[#This Row],[_AlapShift]]=0,Tasks[[#This Row],[_LeafFcstFinish]],WORKDAY.INTL(Tasks[[#This Row],[_LeafFcstFinish]],Tasks[[#This Row],[_AlapShift]],WorkWeek,Holidays)))</f>
        <v/>
      </c>
      <c r="FK22" s="88">
        <f>IF(Tasks[[#This Row],[Task Name]]="","",IF(Tasks[[#This Row],[_IsSummary]],MIN(INDEX(Tasks[_ShownCalcStart],Tasks[[#This Row],[_Row]]+1):INDEX(Tasks[_ShownCalcStart],Tasks[[#This Row],[_Row]]+Tasks[[#This Row],[_Descendants]])),Tasks[[#This Row],[_ShownCalcStart]]))</f>
        <v/>
      </c>
      <c r="FL22" s="88">
        <f>IF(Tasks[[#This Row],[Task Name]]="","",IF(Tasks[[#This Row],[_IsSummary]],MAX(INDEX(Tasks[_ShownCalcFinish],Tasks[[#This Row],[_Row]]+1):INDEX(Tasks[_ShownCalcFinish],Tasks[[#This Row],[_Row]]+Tasks[[#This Row],[_Descendants]])),Tasks[[#This Row],[_ShownCalcFinish]]))</f>
        <v/>
      </c>
      <c r="FM2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2" s="42">
        <f>IF(AND(Tasks[[#This Row],[_IsLeaf]]=1,Tasks[[#This Row],[_LeafTotalWork]]&gt;0),NETWORKDAYS.INTL(ProjectStart,Tasks[[#This Row],[_ShownFcstStart]],WorkWeek,Holidays),0)</f>
        <v/>
      </c>
      <c r="FZ22" s="42">
        <f>IF(AND(Tasks[[#This Row],[_IsLeaf]]=1,Tasks[[#This Row],[_LeafTotalWork]]&gt;0),MAX(Tasks[[#This Row],[_StartWorkday]],NETWORKDAYS.INTL(ProjectStart,Tasks[[#This Row],[_ShownFcstFinish]],WorkWeek,Holidays)),0)</f>
        <v/>
      </c>
      <c r="GA22" s="42">
        <f>IF(AND(Tasks[[#This Row],[_IsLeaf]]=1,Tasks[[#This Row],[_LeafTotalWork]]&gt;0),Tasks[[#This Row],[_LeafWork]]/(Tasks[[#This Row],[_FinishWorkday]]-Tasks[[#This Row],[_StartWorkday]]+1),0)</f>
        <v/>
      </c>
      <c r="GB22" s="42">
        <f>Tasks[[#This Row],[_WorkPerWorkday]]*(Tasks[[#This Row],[_StartWorkday]]-1)</f>
        <v/>
      </c>
      <c r="GC22" s="42">
        <f>IF(Tasks[[#This Row],[_IsLeaf]]=1,MAX(N(Tasks[[#This Row],[_Days]]),0.1),0)</f>
        <v/>
      </c>
      <c r="GD22" s="42">
        <f>Tasks[[#This Row],[_WeightDur]]*Tasks[[#This Row],[_LeafProgress]]</f>
        <v/>
      </c>
      <c r="GE22" s="42">
        <f>Tasks[[#This Row],[_WeightDur]]*Tasks[[#This Row],[_PlannedPct]]</f>
        <v/>
      </c>
      <c r="GF2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2" s="42">
        <f>IF(AND(Tasks[[#This Row],[_IsLeaf]]=1,N(Tasks[[#This Row],[_Days]])=0,Tasks[[#This Row],[_LeafProgress]]&lt;1),Tasks[[#This Row],[_ShownFcstFinish]]+Tasks[[#This Row],[_Row]]/100000,"")</f>
        <v/>
      </c>
      <c r="GH2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2" s="42">
        <f>IF(Tasks[[#This Row],[Task Name]]="","",LEFT(Tasks[[#This Row],[WBS]],FIND(".",Tasks[[#This Row],[WBS]]&amp;".")-1))</f>
        <v/>
      </c>
      <c r="GJ22" s="42">
        <f>IF(AND(Tasks[[#This Row],[Task Name]]&lt;&gt;"",Tasks[[#This Row],[_Level]]=1),Tasks[[#This Row],[_Row]],"")</f>
        <v/>
      </c>
      <c r="GK22" s="42">
        <f>IF(AND(Tasks[[#This Row],[_IsLeaf]]=1,N(Tasks[[#This Row],[_Days]])=0),Tasks[[#This Row],[Planned Finish]]+Tasks[[#This Row],[_Row]]/100000,"")</f>
        <v/>
      </c>
      <c r="GL22" s="42">
        <f>IF(AND(Tasks[[#This Row],[_IsLeaf]]=1,Tasks[[#This Row],[_LeafProgress]]&lt;1,OR(N(Tasks[[#This Row],[Finish Var]])&gt;0,Tasks[[#This Row],[Status]]="Late Start")),MAX(0,Tasks[[#This Row],[Finish Var]])+1-Tasks[[#This Row],[_Row]]/1000000,"")</f>
        <v/>
      </c>
      <c r="GM22" s="42">
        <f>IF(AND(Tasks[[#This Row],[_IsLeaf]]=1,N(Tasks[[#This Row],[Actual Start]])=0,Tasks[[#This Row],[_ShownFcstStart]]&gt;=StatusDate,Tasks[[#This Row],[_ShownFcstStart]]&lt;=LookaheadEnd),Tasks[[#This Row],[_ShownFcstStart]]+Tasks[[#This Row],[_Row]]/100000,"")</f>
        <v/>
      </c>
      <c r="GN22" s="42">
        <f>IF(AND(Tasks[[#This Row],[_IsLeaf]]=1,Tasks[[#This Row],[_LeafProgress]]&lt;1,Tasks[[#This Row],[_ShownFcstFinish]]&gt;=StatusDate,Tasks[[#This Row],[_ShownFcstFinish]]&lt;=LookaheadEnd),Tasks[[#This Row],[_ShownFcstFinish]]+Tasks[[#This Row],[_Row]]/100000,"")</f>
        <v/>
      </c>
      <c r="GO22" s="42">
        <f>IF(Tasks[[#This Row],[_LeafCritical]],Tasks[[#This Row],[_ShownFcstStart]]+Tasks[[#This Row],[_Row]]/100000,"")</f>
        <v/>
      </c>
      <c r="GP22" s="42">
        <f>Tasks[[#This Row],[_LeafWork]]*Tasks[[#This Row],[_LeafProgress]]</f>
        <v/>
      </c>
      <c r="GQ22" s="88">
        <f>IF(AND(Tasks[[#This Row],[_IsLeaf]]=1,Tasks[[#This Row],[_LeafProgress]]&gt;=1),IF(N(Tasks[[#This Row],[Actual Finish]])&gt;0,Tasks[[#This Row],[Actual Finish]],Tasks[[#This Row],[_ShownFcstFinish]]),"")</f>
        <v/>
      </c>
      <c r="GR22" s="42">
        <f>IF(Tasks[[#This Row],[_IsLeaf]]=1,N(Tasks[[#This Row],[Story Points]]),0)</f>
        <v/>
      </c>
      <c r="GS22" s="42">
        <f>""</f>
        <v/>
      </c>
      <c r="GT22" s="42">
        <f>IF(Tasks[[#This Row],[Task Name]]="",FALSE(),AND(Tasks[[#This Row],[_IsLeaf]]=1,N(Tasks[[#This Row],[_Days]])=0))</f>
        <v/>
      </c>
      <c r="GU22" s="88">
        <f>IF(Tasks[[#This Row],[Task Name]]="",0,IF(AND(Tasks[[#This Row],[_IsLeaf]]=1,NOT(Tasks[[#This Row],[_IsMilestone]]),N(Tasks[[#This Row],[Progress]])&gt;0),Tasks[[#This Row],[Start]],0))</f>
        <v/>
      </c>
      <c r="GV22" s="88">
        <f>IF(Tasks[[#This Row],[_DoneFrom]]=0,0,IF(Tasks[[#This Row],[Progress]]&gt;=1,Tasks[[#This Row],[Finish]],MAX(Tasks[[#This Row],[_DoneFrom]],Tasks[[#This Row],[Start]]+ROUND((Tasks[[#This Row],[Finish]]-Tasks[[#This Row],[Start]]+1)*Tasks[[#This Row],[Progress]],0)-1)))</f>
        <v/>
      </c>
      <c r="GW22" s="88">
        <f>IF(Tasks[[#This Row],[Task Name]]="",0,IF(OR(NOT(Tasks[[#This Row],[_IsLeaf]]=1),Tasks[[#This Row],[_IsMilestone]],N(Tasks[[#This Row],[Progress]])&gt;=1),0,IF(Tasks[[#This Row],[_DoneTo]]&gt;0,Tasks[[#This Row],[_DoneTo]]+1,Tasks[[#This Row],[Start]])))</f>
        <v/>
      </c>
      <c r="GX22" s="88">
        <f>IF(Tasks[[#This Row],[_RemFrom]]=0,0,Tasks[[#This Row],[Finish]])</f>
        <v/>
      </c>
      <c r="GY22" s="42">
        <f>IF(Tasks[[#This Row],[Task Name]]="",FALSE(),OR(NOT(BaselineSet),N(Tasks[[#This Row],[Baseline Start]])&gt;0))</f>
        <v/>
      </c>
      <c r="GZ22" s="42">
        <f>IF(AND(Sandbox="Yes",L_PARSE_DURATION(Tasks[[#This Row],[Sandbox Duration]])&lt;&gt;""),L_PARSE_DURATION(Tasks[[#This Row],[Sandbox Duration]]),L_PARSE_DURATION(Tasks[[#This Row],[Duration]]))</f>
        <v/>
      </c>
      <c r="HA2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2" s="42">
        <f>IF(Tasks[[#This Row],[_IsLeaf]]=1,Tasks[[#This Row],[_Row]],"")</f>
        <v/>
      </c>
      <c r="HD22" s="42">
        <f>IFERROR(INDEX(Tasks[UID],SMALL(Tasks[_PickKey],Tasks[[#This Row],[_Row]]))&amp;" "&amp;INDEX(Tasks[Task Name],SMALL(Tasks[_PickKey],Tasks[[#This Row],[_Row]])),"")</f>
        <v/>
      </c>
      <c r="HE22" s="42">
        <f>IF(Tasks[[#This Row],[Task Name]]="","",IF(Tasks[[#This Row],[_IsSummary]],NETWORKDAYS.INTL(Tasks[[#This Row],[Start]],Tasks[[#This Row],[Finish]],WorkWeek,Holidays),N(Tasks[[#This Row],[_Days]])))</f>
        <v/>
      </c>
      <c r="HF22" s="42">
        <f>IF(Tasks[[#This Row],[Expected]]="",0,((Tasks[[#This Row],[Pessimistic]]-Tasks[[#This Row],[Optimistic]])/6)^2)</f>
        <v/>
      </c>
      <c r="HG22" s="42">
        <f>IF(Tasks[[#This Row],[Expected]]="",0,Tasks[[#This Row],[Expected]]-N(Tasks[[#This Row],[_Days]]))</f>
        <v/>
      </c>
    </row>
    <row r="23">
      <c r="A23" s="21">
        <f>IF(Tasks[[#This Row],[Task Name]]="","",COUNTA(Tasks[[#Headers],[Task Name]]:Tasks[[#This Row],[Task Name]])-1)</f>
        <v/>
      </c>
      <c r="B23" s="22" t="n">
        <v>31</v>
      </c>
      <c r="C23" s="22" t="n"/>
      <c r="D23" s="23" t="n"/>
      <c r="E23" s="22" t="n"/>
      <c r="F23" s="23" t="n"/>
      <c r="G23" s="22" t="n"/>
      <c r="H23" s="22" t="n"/>
      <c r="I23" s="23" t="n"/>
      <c r="J23" s="22" t="n"/>
      <c r="K23" s="22" t="n"/>
      <c r="L23" s="23" t="n"/>
      <c r="M23" s="22" t="n"/>
      <c r="N23" s="22" t="n"/>
      <c r="O23" s="23" t="n"/>
      <c r="P23" s="22" t="n"/>
      <c r="Q23" s="22" t="n"/>
      <c r="R23" s="23" t="n"/>
      <c r="S23" s="23" t="n"/>
      <c r="T23" s="82" t="n"/>
      <c r="U23" s="23" t="n"/>
      <c r="V23" s="82" t="n"/>
      <c r="W23" s="23" t="n"/>
      <c r="X23" s="82" t="n"/>
      <c r="Y23" s="23" t="n"/>
      <c r="Z23" s="82" t="n"/>
      <c r="AA23" s="23" t="n"/>
      <c r="AB23" s="23" t="n"/>
      <c r="AC23" s="7" t="n"/>
      <c r="AD23" s="7" t="n"/>
      <c r="AE23" s="61">
        <f>IF(Tasks[[#This Row],[Task Name]]="","",IF(Tasks[[#This Row],[_IsSummary]],MIN(INDEX(Tasks[_ShownFcstStart],Tasks[[#This Row],[_Row]]+1):INDEX(Tasks[_ShownFcstStart],Tasks[[#This Row],[_Row]]+Tasks[[#This Row],[_Descendants]])),Tasks[[#This Row],[_ShownFcstStart]]))</f>
        <v/>
      </c>
      <c r="AF23" s="61">
        <f>IF(Tasks[[#This Row],[Task Name]]="","",IF(Tasks[[#This Row],[_IsSummary]],MAX(INDEX(Tasks[_ShownFcstFinish],Tasks[[#This Row],[_Row]]+1):INDEX(Tasks[_ShownFcstFinish],Tasks[[#This Row],[_Row]]+Tasks[[#This Row],[_Descendants]])),Tasks[[#This Row],[_ShownFcstFinish]]))</f>
        <v/>
      </c>
      <c r="AG23" s="21">
        <f>""</f>
        <v/>
      </c>
      <c r="AH23" s="23" t="n"/>
      <c r="AI2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3" s="7" t="n"/>
      <c r="AK23" s="22" t="n"/>
      <c r="AL23" s="23" t="n"/>
      <c r="AM23" s="7" t="n"/>
      <c r="AN23" s="21">
        <f>IF(Tasks[[#This Row],[Task Name]]="","",IF(Tasks[[#This Row],[Finish]]&gt;=Tasks[[#This Row],[Planned Finish]],NETWORKDAYS.INTL(Tasks[[#This Row],[Planned Finish]],Tasks[[#This Row],[Finish]],WorkWeek,Holidays)-1,1-NETWORKDAYS.INTL(Tasks[[#This Row],[Finish]],Tasks[[#This Row],[Planned Finish]],WorkWeek,Holidays)))</f>
        <v/>
      </c>
      <c r="AO23" s="21">
        <f>IF(Tasks[[#This Row],[Task Name]]="","",IF(Tasks[[#This Row],[Progress]]&gt;=1,"Complete",IF(OR(N(Tasks[[#This Row],[Actual Start]])&gt;0,Tasks[[#This Row],[Progress]]&gt;0),IF(Tasks[[#This Row],[Finish Var]]&gt;0,"Behind","In Progress"),IF(Tasks[[#This Row],[Planned Start]]&lt;StatusDate,"Late Start","Not Started"))))</f>
        <v/>
      </c>
      <c r="AP23" s="21">
        <f>IF(Tasks[[#This Row],[Task Name]]="","",IF(IF(Tasks[[#This Row],[_IsSummary]],COUNTIF(INDEX(Tasks[_LeafCritical],Tasks[[#This Row],[_Row]]+1):INDEX(Tasks[_LeafCritical],Tasks[[#This Row],[_Row]]+Tasks[[#This Row],[_Descendants]]),TRUE())&gt;0,Tasks[[#This Row],[_LeafCritical]]),"Yes",""))</f>
        <v/>
      </c>
      <c r="AQ23" s="61">
        <f>IF(Tasks[[#This Row],[Task Name]]="","",IF(N(Tasks[[#This Row],[Baseline Start]])&gt;0,Tasks[[#This Row],[Baseline Start]],Tasks[[#This Row],[_CalcStart]]))</f>
        <v/>
      </c>
      <c r="AR23" s="61">
        <f>IF(Tasks[[#This Row],[Task Name]]="","",IF(N(Tasks[[#This Row],[Baseline Finish]])&gt;0,Tasks[[#This Row],[Baseline Finish]],Tasks[[#This Row],[_CalcFinish]]))</f>
        <v/>
      </c>
      <c r="AS23" s="21">
        <f>IF(Tasks[[#This Row],[Task Name]]="","",IF(Tasks[[#This Row],[Start]]&gt;=Tasks[[#This Row],[Planned Start]],NETWORKDAYS.INTL(Tasks[[#This Row],[Planned Start]],Tasks[[#This Row],[Start]],WorkWeek,Holidays)-1,1-NETWORKDAYS.INTL(Tasks[[#This Row],[Start]],Tasks[[#This Row],[Planned Start]],WorkWeek,Holidays)))</f>
        <v/>
      </c>
      <c r="AT23" s="61">
        <f>IF(Tasks[[#This Row],[Task Name]]="","",IF(Tasks[[#This Row],[_IsSummary]],MIN(INDEX(Tasks[_LeafLateStart],Tasks[[#This Row],[_Row]]+1):INDEX(Tasks[_LeafLateStart],Tasks[[#This Row],[_Row]]+Tasks[[#This Row],[_Descendants]])),Tasks[[#This Row],[_LeafLateStart]]))</f>
        <v/>
      </c>
      <c r="AU23" s="61">
        <f>IF(Tasks[[#This Row],[Task Name]]="","",IF(Tasks[[#This Row],[_IsSummary]],MAX(INDEX(Tasks[_LeafLateFinish],Tasks[[#This Row],[_Row]]+1):INDEX(Tasks[_LeafLateFinish],Tasks[[#This Row],[_Row]]+Tasks[[#This Row],[_Descendants]])),Tasks[[#This Row],[_LeafLateFinish]]))</f>
        <v/>
      </c>
      <c r="AV23" s="21">
        <f>IF(Tasks[[#This Row],[Task Name]]="","",IF(Tasks[[#This Row],[_IsSummary]],MIN(INDEX(Tasks[_LeafTotalSlack],Tasks[[#This Row],[_Row]]+1):INDEX(Tasks[_LeafTotalSlack],Tasks[[#This Row],[_Row]]+Tasks[[#This Row],[_Descendants]])),Tasks[[#This Row],[_LeafTotalSlack]]))</f>
        <v/>
      </c>
      <c r="AW2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3" t="n"/>
      <c r="BA2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f>IF(Tasks[[#This Row],[Task Name]]="","",IF(Tasks[[#This Row],[_Level]]&lt;=OutlineShowLevel,"Yes","No"))</f>
        <v/>
      </c>
      <c r="BE23" s="84">
        <f>IF(Tasks[[#This Row],[Task Name]]="","",IF(Tasks[[#This Row],[_IsSummary]],SUM(INDEX(Tasks[_LeafTotalWork],Tasks[[#This Row],[_Row]]+1):INDEX(Tasks[_LeafTotalWork],Tasks[[#This Row],[_Row]]+Tasks[[#This Row],[_Descendants]])),Tasks[[#This Row],[_LeafTotalWork]]))</f>
        <v/>
      </c>
      <c r="BF23" s="23" t="n"/>
      <c r="BG2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f>""</f>
        <v/>
      </c>
      <c r="BI23" s="85" t="n"/>
      <c r="BJ23" s="22" t="n"/>
      <c r="BK23" s="21">
        <f>IF(OR(Tasks[[#This Row],[Task Name]]="",Tasks[[#This Row],[Baseline Duration]]=""),"",Tasks[[#This Row],[_SpanDays]]-N(Tasks[[#This Row],[Baseline Duration]]))</f>
        <v/>
      </c>
      <c r="BL23" s="84">
        <f>IF(OR(Tasks[[#This Row],[Task Name]]="",Tasks[[#This Row],[Baseline Work]]=""),"",Tasks[[#This Row],[Work]]-N(Tasks[[#This Row],[Baseline Work]]))</f>
        <v/>
      </c>
      <c r="BM23" s="61">
        <f>IF(Tasks[[#This Row],[Task Name]]="","",IF(OR(TakeBaseline="Yes",N(Tasks[[#This Row],[Baseline Start]])=0),Tasks[[#This Row],[Start]],Tasks[[#This Row],[Baseline Start]]))</f>
        <v/>
      </c>
      <c r="BN23" s="61">
        <f>IF(Tasks[[#This Row],[Task Name]]="","",IF(OR(TakeBaseline="Yes",N(Tasks[[#This Row],[Baseline Finish]])=0),Tasks[[#This Row],[Finish]],Tasks[[#This Row],[Baseline Finish]]))</f>
        <v/>
      </c>
      <c r="BO23" s="21">
        <f>IF(Tasks[[#This Row],[Task Name]]="","",IF(OR(TakeBaseline="Yes",N(Tasks[[#This Row],[Baseline Duration]])=0),Tasks[[#This Row],[_SpanDays]],Tasks[[#This Row],[Baseline Duration]]))</f>
        <v/>
      </c>
      <c r="BP23" s="84">
        <f>IF(Tasks[[#This Row],[Task Name]]="","",IF(OR(TakeBaseline="Yes",N(Tasks[[#This Row],[Baseline Work]])=0),Tasks[[#This Row],[Work]],Tasks[[#This Row],[Baseline Work]]))</f>
        <v/>
      </c>
      <c r="BQ23" s="7" t="n"/>
      <c r="BR23" s="7" t="n"/>
      <c r="BS23" s="22" t="n"/>
      <c r="BT23" s="86" t="n"/>
      <c r="BU23" s="23" t="n"/>
      <c r="BV23" s="23" t="n"/>
      <c r="BW23" s="23" t="n"/>
      <c r="BX23" s="87">
        <f>IF(AND(Tasks[[#This Row],[_IsLeaf]]=1,ISNUMBER(Tasks[[#This Row],[Optimistic]]),ISNUMBER(Tasks[[#This Row],[Pessimistic]])),ROUND((Tasks[[#This Row],[Optimistic]]+4*N(Tasks[[#This Row],[_Days]])+Tasks[[#This Row],[Pessimistic]])/6,1),"")</f>
        <v/>
      </c>
      <c r="BY23" s="85" t="n"/>
      <c r="BZ23" s="85" t="n"/>
      <c r="CA23" s="22" t="n"/>
      <c r="CB23" s="42">
        <f>IF(Tasks[[#This Row],[Task Name]]="","",MAX(1,N(Tasks[[#This Row],[Level]])))</f>
        <v/>
      </c>
      <c r="CC23" s="42">
        <f>ROW()-ROW(Tasks[[#Headers],[ID]])</f>
        <v/>
      </c>
      <c r="CD23" s="42">
        <f>IF(OR(Tasks[[#This Row],[Task Name]]="",Tasks[[#This Row],[_Level]]&lt;=1),0,IFERROR(LOOKUP(2,1/(Tasks[[#Headers],[_Level]]:Tasks[[#This Row],[_Level]]=Tasks[[#This Row],[_Level]]-1),ROW(Tasks[[#Headers],[_Level]]:Tasks[[#This Row],[_Level]])),0))</f>
        <v/>
      </c>
      <c r="CE23" s="42">
        <f>IFERROR(N(INDEX(Tasks[_Level],Tasks[[#This Row],[_Row]]+1)),0)</f>
        <v/>
      </c>
      <c r="CF23" s="42">
        <f>AND(Tasks[[#This Row],[Task Name]]&lt;&gt;"",Tasks[[#This Row],[_NextLevel]]&gt;Tasks[[#This Row],[_Level]])</f>
        <v/>
      </c>
      <c r="CG23" s="42">
        <f>IF(Tasks[[#This Row],[_IsSummary]],COUNTIF(Tasks[WBS],Tasks[[#This Row],[WBS]]&amp;".*"),0)</f>
        <v/>
      </c>
      <c r="CH23" s="42">
        <f>IF(AND(Tasks[[#This Row],[Task Name]]&lt;&gt;"",NOT(Tasks[[#This Row],[_IsSummary]])),1,0)</f>
        <v/>
      </c>
      <c r="CI23" s="42">
        <f>IF(N(Tasks[[#This Row],[_Pred1UID]])=0,0,IFERROR(MATCH(Tasks[[#This Row],[_Pred1UID]],Tasks[UID],0),-1))</f>
        <v/>
      </c>
      <c r="CJ23" s="42">
        <f>IF(N(Tasks[[#This Row],[_Pred2UID]])=0,0,IFERROR(MATCH(Tasks[[#This Row],[_Pred2UID]],Tasks[UID],0),-1))</f>
        <v/>
      </c>
      <c r="CK23" s="42">
        <f>IF(N(Tasks[[#This Row],[_Pred3UID]])=0,0,IFERROR(MATCH(Tasks[[#This Row],[_Pred3UID]],Tasks[UID],0),-1))</f>
        <v/>
      </c>
      <c r="CL23" s="42">
        <f>IF(N(Tasks[[#This Row],[_Pred4UID]])=0,0,IFERROR(MATCH(Tasks[[#This Row],[_Pred4UID]],Tasks[UID],0),-1))</f>
        <v/>
      </c>
      <c r="CM2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3" s="88">
        <f>IF(N(Tasks[[#This Row],[Constraint Date]])=0,0,IF(AND(OR(Tasks[[#This Row],[_ConstraintCode]]=3,Tasks[[#This Row],[_ConstraintCode]]=6,Tasks[[#This Row],[_ConstraintCode]]=7),N(Tasks[[#This Row],[_Days]])&gt;1),WORKDAY.INTL(N(Tasks[[#This Row],[Constraint Date]]),-(N(Tasks[[#This Row],[_Days]])-1),WorkWeek,Holidays),N(Tasks[[#This Row],[Constraint Date]])))</f>
        <v/>
      </c>
      <c r="CO23" s="88">
        <f>IF(OR(Tasks[[#This Row],[_ConstraintCode]]=2,Tasks[[#This Row],[_ConstraintCode]]=3,Tasks[[#This Row],[_ConstraintCode]]=4,Tasks[[#This Row],[_ConstraintCode]]=6),Tasks[[#This Row],[_ConstraintStart]],0)</f>
        <v/>
      </c>
      <c r="CP23" s="88">
        <f>IF(OR(Tasks[[#This Row],[_ConstraintCode]]=2,Tasks[[#This Row],[_ConstraintCode]]=3,Tasks[[#This Row],[_ConstraintCode]]=5,Tasks[[#This Row],[_ConstraintCode]]=7),Tasks[[#This Row],[_ConstraintStart]],2958465)</f>
        <v/>
      </c>
      <c r="CQ2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3" s="88">
        <f>IF(NOT(Tasks[[#This Row],[_IsLeaf]]=1),"",IF(N(Tasks[[#This Row],[_Days]])&lt;=0,Tasks[[#This Row],[_LeafCalcStart]],WORKDAY.INTL(Tasks[[#This Row],[_LeafCalcStart]],Tasks[[#This Row],[_Days]]-1,WorkWeek,Holidays)))</f>
        <v/>
      </c>
      <c r="CS2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3" s="42">
        <f>IF(Tasks[[#This Row],[_Predecessors]]="","",TRIM(MID(SUBSTITUTE(SUBSTITUTE(SUBSTITUTE(UPPER(Tasks[[#This Row],[_Predecessors]]),";",",")," ",""),",",REPT(" ",99)),1,99)))</f>
        <v/>
      </c>
      <c r="CV23" s="42">
        <f>IF(Tasks[[#This Row],[_Pred1Text]]="","",IFERROR(VALUE(LEFT(Tasks[[#This Row],[_Pred1Text]],MIN(FIND("F",Tasks[[#This Row],[_Pred1Text]]&amp;"F"),FIND("S",Tasks[[#This Row],[_Pred1Text]]&amp;"S"),FIND("+",Tasks[[#This Row],[_Pred1Text]]&amp;"+"),FIND("-",Tasks[[#This Row],[_Pred1Text]]&amp;"-"))-1)),""))</f>
        <v/>
      </c>
      <c r="CW2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3" s="42">
        <f>IF(Tasks[[#This Row],[_Pred1Text]]="","",TRIM(MID(SUBSTITUTE(SUBSTITUTE(SUBSTITUTE(UPPER(Tasks[[#This Row],[_Predecessors]]),";",",")," ",""),",",REPT(" ",99)),100,99)))</f>
        <v/>
      </c>
      <c r="CZ23" s="42">
        <f>IF(Tasks[[#This Row],[_Pred2Text]]="","",IFERROR(VALUE(LEFT(Tasks[[#This Row],[_Pred2Text]],MIN(FIND("F",Tasks[[#This Row],[_Pred2Text]]&amp;"F"),FIND("S",Tasks[[#This Row],[_Pred2Text]]&amp;"S"),FIND("+",Tasks[[#This Row],[_Pred2Text]]&amp;"+"),FIND("-",Tasks[[#This Row],[_Pred2Text]]&amp;"-"))-1)),""))</f>
        <v/>
      </c>
      <c r="DA2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3" s="42">
        <f>IF(Tasks[[#This Row],[_Pred2Text]]="","",TRIM(MID(SUBSTITUTE(SUBSTITUTE(SUBSTITUTE(UPPER(Tasks[[#This Row],[_Predecessors]]),";",",")," ",""),",",REPT(" ",99)),199,99)))</f>
        <v/>
      </c>
      <c r="DD23" s="42">
        <f>IF(Tasks[[#This Row],[_Pred3Text]]="","",IFERROR(VALUE(LEFT(Tasks[[#This Row],[_Pred3Text]],MIN(FIND("F",Tasks[[#This Row],[_Pred3Text]]&amp;"F"),FIND("S",Tasks[[#This Row],[_Pred3Text]]&amp;"S"),FIND("+",Tasks[[#This Row],[_Pred3Text]]&amp;"+"),FIND("-",Tasks[[#This Row],[_Pred3Text]]&amp;"-"))-1)),""))</f>
        <v/>
      </c>
      <c r="DE2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3" s="42">
        <f>IF(Tasks[[#This Row],[_Pred3Text]]="","",TRIM(MID(SUBSTITUTE(SUBSTITUTE(SUBSTITUTE(UPPER(Tasks[[#This Row],[_Predecessors]]),";",",")," ",""),",",REPT(" ",99)),298,99)))</f>
        <v/>
      </c>
      <c r="DH23" s="42">
        <f>IF(Tasks[[#This Row],[_Pred4Text]]="","",IFERROR(VALUE(LEFT(Tasks[[#This Row],[_Pred4Text]],MIN(FIND("F",Tasks[[#This Row],[_Pred4Text]]&amp;"F"),FIND("S",Tasks[[#This Row],[_Pred4Text]]&amp;"S"),FIND("+",Tasks[[#This Row],[_Pred4Text]]&amp;"+"),FIND("-",Tasks[[#This Row],[_Pred4Text]]&amp;"-"))-1)),""))</f>
        <v/>
      </c>
      <c r="DI2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3" s="42">
        <f>IF(OR(Tasks[[#This Row],[Task Name]]="",Tasks[[#This Row],[_Resources]]=""),"",TRIM(MID(SUBSTITUTE(Tasks[[#This Row],[_Resources]],",",REPT(" ",99)),1,99)))</f>
        <v/>
      </c>
      <c r="DL23" s="42">
        <f>IF(Tasks[[#This Row],[_Res1Text]]="","",TRIM(MID(SUBSTITUTE(Tasks[[#This Row],[_Resources]],",",REPT(" ",99)),100,99)))</f>
        <v/>
      </c>
      <c r="DM23" s="42">
        <f>IF(Tasks[[#This Row],[_Res2Text]]="","",TRIM(MID(SUBSTITUTE(Tasks[[#This Row],[_Resources]],",",REPT(" ",99)),199,99)))</f>
        <v/>
      </c>
      <c r="DN23" s="42">
        <f>IF(Tasks[[#This Row],[_Res3Text]]="","",TRIM(MID(SUBSTITUTE(Tasks[[#This Row],[_Resources]],",",REPT(" ",99)),298,99)))</f>
        <v/>
      </c>
      <c r="DO23" s="42">
        <f>IF(Tasks[[#This Row],[_Res1Text]]="",0,IFERROR(MATCH(TRIM(LEFT(Tasks[[#This Row],[_Res1Text]],FIND("[",Tasks[[#This Row],[_Res1Text]]&amp;"[")-1)),res_Name,0),IFERROR(MATCH(TRIM(LEFT(Tasks[[#This Row],[_Res1Text]],FIND("[",Tasks[[#This Row],[_Res1Text]]&amp;"[")-1)),res_Initials,0),0)))</f>
        <v/>
      </c>
      <c r="DP23" s="42">
        <f>IF(Tasks[[#This Row],[_Res2Text]]="",0,IFERROR(MATCH(TRIM(LEFT(Tasks[[#This Row],[_Res2Text]],FIND("[",Tasks[[#This Row],[_Res2Text]]&amp;"[")-1)),res_Name,0),IFERROR(MATCH(TRIM(LEFT(Tasks[[#This Row],[_Res2Text]],FIND("[",Tasks[[#This Row],[_Res2Text]]&amp;"[")-1)),res_Initials,0),0)))</f>
        <v/>
      </c>
      <c r="DQ23" s="42">
        <f>IF(Tasks[[#This Row],[_Res3Text]]="",0,IFERROR(MATCH(TRIM(LEFT(Tasks[[#This Row],[_Res3Text]],FIND("[",Tasks[[#This Row],[_Res3Text]]&amp;"[")-1)),res_Name,0),IFERROR(MATCH(TRIM(LEFT(Tasks[[#This Row],[_Res3Text]],FIND("[",Tasks[[#This Row],[_Res3Text]]&amp;"[")-1)),res_Initials,0),0)))</f>
        <v/>
      </c>
      <c r="DR23" s="42">
        <f>IF(Tasks[[#This Row],[_Res4Text]]="",0,IFERROR(MATCH(TRIM(LEFT(Tasks[[#This Row],[_Res4Text]],FIND("[",Tasks[[#This Row],[_Res4Text]]&amp;"[")-1)),res_Name,0),IFERROR(MATCH(TRIM(LEFT(Tasks[[#This Row],[_Res4Text]],FIND("[",Tasks[[#This Row],[_Res4Text]]&amp;"[")-1)),res_Initials,0),0)))</f>
        <v/>
      </c>
      <c r="DS23" s="42">
        <f>IF(Tasks[[#This Row],[_Res1Text]]="","",IF(Tasks[[#This Row],[_Res1Row]]&gt;0,INDEX(res_Name,Tasks[[#This Row],[_Res1Row]]),TRIM(LEFT(Tasks[[#This Row],[_Res1Text]],FIND("[",Tasks[[#This Row],[_Res1Text]]&amp;"[")-1))))</f>
        <v/>
      </c>
      <c r="DT2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3" s="42">
        <f>IF(NOT(Tasks[[#This Row],[_IsLeaf]]=1),0,(Tasks[[#This Row],[_Resource1]]&lt;&gt;"")+(Tasks[[#This Row],[_Res2]]&lt;&gt;"")+(Tasks[[#This Row],[_Res3]]&lt;&gt;"")+(Tasks[[#This Row],[_Res4]]&lt;&gt;""))</f>
        <v/>
      </c>
      <c r="DV23" s="42">
        <f>IF(Tasks[[#This Row],[_Res2Text]]="","",IF(Tasks[[#This Row],[_Res2Row]]&gt;0,INDEX(res_Name,Tasks[[#This Row],[_Res2Row]]),TRIM(LEFT(Tasks[[#This Row],[_Res2Text]],FIND("[",Tasks[[#This Row],[_Res2Text]]&amp;"[")-1))))</f>
        <v/>
      </c>
      <c r="DW2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3" s="42">
        <f>IF(OR(NOT(Tasks[[#This Row],[_IsLeaf]]=1),Tasks[[#This Row],[_Res2Row]]=0),0,N(Tasks[[#This Row],[_Days]])*HoursPerDay*IF(Tasks[[#This Row],[_Res2Units]]="",DefaultUnits,Tasks[[#This Row],[_Res2Units]]))</f>
        <v/>
      </c>
      <c r="DY23" s="42">
        <f>IF(AND(AND(Tasks[[#This Row],[_IsLeaf]]=1,Tasks[[#This Row],[_LeafTotalWork]]&gt;0),Tasks[[#This Row],[_Res2Work]]&gt;0),Tasks[[#This Row],[_Res2Work]]/(Tasks[[#This Row],[_FinishWorkday]]-Tasks[[#This Row],[_StartWorkday]]+1),0)</f>
        <v/>
      </c>
      <c r="DZ23" s="42">
        <f>Tasks[[#This Row],[_Res2WorkPerWD]]*MAX(0,Tasks[[#This Row],[_StartWorkday]]-1)</f>
        <v/>
      </c>
      <c r="EA23" s="42">
        <f>Tasks[[#This Row],[_Res2Work]]*Tasks[[#This Row],[_LeafProgress]]</f>
        <v/>
      </c>
      <c r="EB23" s="42">
        <f>IF(Tasks[[#This Row],[_Res3Text]]="","",IF(Tasks[[#This Row],[_Res3Row]]&gt;0,INDEX(res_Name,Tasks[[#This Row],[_Res3Row]]),TRIM(LEFT(Tasks[[#This Row],[_Res3Text]],FIND("[",Tasks[[#This Row],[_Res3Text]]&amp;"[")-1))))</f>
        <v/>
      </c>
      <c r="EC2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3" s="42">
        <f>IF(OR(NOT(Tasks[[#This Row],[_IsLeaf]]=1),Tasks[[#This Row],[_Res3Row]]=0),0,N(Tasks[[#This Row],[_Days]])*HoursPerDay*IF(Tasks[[#This Row],[_Res3Units]]="",DefaultUnits,Tasks[[#This Row],[_Res3Units]]))</f>
        <v/>
      </c>
      <c r="EE23" s="42">
        <f>IF(AND(AND(Tasks[[#This Row],[_IsLeaf]]=1,Tasks[[#This Row],[_LeafTotalWork]]&gt;0),Tasks[[#This Row],[_Res3Work]]&gt;0),Tasks[[#This Row],[_Res3Work]]/(Tasks[[#This Row],[_FinishWorkday]]-Tasks[[#This Row],[_StartWorkday]]+1),0)</f>
        <v/>
      </c>
      <c r="EF23" s="42">
        <f>Tasks[[#This Row],[_Res3WorkPerWD]]*MAX(0,Tasks[[#This Row],[_StartWorkday]]-1)</f>
        <v/>
      </c>
      <c r="EG23" s="42">
        <f>Tasks[[#This Row],[_Res3Work]]*Tasks[[#This Row],[_LeafProgress]]</f>
        <v/>
      </c>
      <c r="EH23" s="42">
        <f>IF(Tasks[[#This Row],[_Res4Text]]="","",IF(Tasks[[#This Row],[_Res4Row]]&gt;0,INDEX(res_Name,Tasks[[#This Row],[_Res4Row]]),TRIM(LEFT(Tasks[[#This Row],[_Res4Text]],FIND("[",Tasks[[#This Row],[_Res4Text]]&amp;"[")-1))))</f>
        <v/>
      </c>
      <c r="EI2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3" s="42">
        <f>IF(OR(NOT(Tasks[[#This Row],[_IsLeaf]]=1),Tasks[[#This Row],[_Res4Row]]=0),0,N(Tasks[[#This Row],[_Days]])*HoursPerDay*IF(Tasks[[#This Row],[_Res4Units]]="",DefaultUnits,Tasks[[#This Row],[_Res4Units]]))</f>
        <v/>
      </c>
      <c r="EK23" s="42">
        <f>IF(AND(AND(Tasks[[#This Row],[_IsLeaf]]=1,Tasks[[#This Row],[_LeafTotalWork]]&gt;0),Tasks[[#This Row],[_Res4Work]]&gt;0),Tasks[[#This Row],[_Res4Work]]/(Tasks[[#This Row],[_FinishWorkday]]-Tasks[[#This Row],[_StartWorkday]]+1),0)</f>
        <v/>
      </c>
      <c r="EL23" s="42">
        <f>Tasks[[#This Row],[_Res4WorkPerWD]]*MAX(0,Tasks[[#This Row],[_StartWorkday]]-1)</f>
        <v/>
      </c>
      <c r="EM23" s="42">
        <f>Tasks[[#This Row],[_Res4Work]]*Tasks[[#This Row],[_LeafProgress]]</f>
        <v/>
      </c>
      <c r="EN23" s="42">
        <f>IF(ISNUMBER(Tasks[[#This Row],[% Complete]]),Tasks[[#This Row],[% Complete]],IF(Tasks[[#This Row],[Stage]]="",0,IFERROR(INDEX(stg_Pct,MATCH(Tasks[[#This Row],[Stage]],stg_Name,0)),0)))</f>
        <v/>
      </c>
      <c r="EO23" s="42">
        <f>IF(NOT(Tasks[[#This Row],[_IsLeaf]]=1),0,IF(N(Tasks[[#This Row],[Actual Finish]])&gt;0,1,MIN(1,Tasks[[#This Row],[_Pct]])))</f>
        <v/>
      </c>
      <c r="EP23" s="42">
        <f>IF(OR(NOT(Tasks[[#This Row],[_IsLeaf]]=1),Tasks[[#This Row],[_Res1Row]]=0),0,N(Tasks[[#This Row],[_Days]])*HoursPerDay*IF(Tasks[[#This Row],[_Units1]]="",DefaultUnits,Tasks[[#This Row],[_Units1]]))</f>
        <v/>
      </c>
      <c r="EQ23" s="42">
        <f>Tasks[[#This Row],[_LeafWork]]+Tasks[[#This Row],[_Res2Work]]+Tasks[[#This Row],[_Res3Work]]+Tasks[[#This Row],[_Res4Work]]</f>
        <v/>
      </c>
      <c r="ER2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3" s="42">
        <f>IF(NOT(Tasks[[#This Row],[_IsLeaf]]=1),0,MAX(_xlfn.MAXIFS(Tasks[_Row],Tasks[_Pred1UID],Tasks[[#This Row],[UID]]),_xlfn.MAXIFS(Tasks[_Row],Tasks[_Pred2UID],Tasks[[#This Row],[UID]]),_xlfn.MAXIFS(Tasks[_Row],Tasks[_Pred3UID],Tasks[[#This Row],[UID]]),_xlfn.MAXIFS(Tasks[_Row],Tasks[_Pred4UID],Tasks[[#This Row],[UID]])))</f>
        <v/>
      </c>
      <c r="FA2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3" s="88">
        <f>IF(NOT(Tasks[[#This Row],[_IsLeaf]]=1),"",IF(N(Tasks[[#This Row],[_Days]])&lt;=0,Tasks[[#This Row],[_LeafLateFinish]],WORKDAY.INTL(Tasks[[#This Row],[_LeafLateFinish]],-(Tasks[[#This Row],[_Days]]-1),WorkWeek,Holidays)))</f>
        <v/>
      </c>
      <c r="FD2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3" s="42">
        <f>AND(Tasks[[#This Row],[_IsLeaf]]=1,Tasks[[#This Row],[_LeafProgress]]&lt;1,N(Tasks[[#This Row],[_LeafTotalSlack]])&lt;=CriticalSlackDays)</f>
        <v/>
      </c>
      <c r="FF23" s="42">
        <f>IF(AND(Tasks[[#This Row],[_IsLeaf]]=1,Tasks[[#This Row],[_ConstraintCode]]=1,Tasks[[#This Row],[Mode]]&lt;&gt;"Manual",N(Tasks[[#This Row],[Actual Start]])=0),MAX(0,N(Tasks[[#This Row],[Free Slack]])),0)</f>
        <v/>
      </c>
      <c r="FG23" s="88">
        <f>IF(NOT(Tasks[[#This Row],[_IsLeaf]]=1),"",IF(Tasks[[#This Row],[_AlapShift]]=0,Tasks[[#This Row],[_LeafCalcStart]],WORKDAY.INTL(Tasks[[#This Row],[_LeafCalcStart]],Tasks[[#This Row],[_AlapShift]],WorkWeek,Holidays)))</f>
        <v/>
      </c>
      <c r="FH23" s="88">
        <f>IF(NOT(Tasks[[#This Row],[_IsLeaf]]=1),"",IF(Tasks[[#This Row],[_AlapShift]]=0,Tasks[[#This Row],[_LeafCalcFinish]],WORKDAY.INTL(Tasks[[#This Row],[_LeafCalcFinish]],Tasks[[#This Row],[_AlapShift]],WorkWeek,Holidays)))</f>
        <v/>
      </c>
      <c r="FI23" s="88">
        <f>IF(NOT(Tasks[[#This Row],[_IsLeaf]]=1),"",IF(Tasks[[#This Row],[_AlapShift]]=0,Tasks[[#This Row],[_LeafFcstStart]],WORKDAY.INTL(Tasks[[#This Row],[_LeafFcstStart]],Tasks[[#This Row],[_AlapShift]],WorkWeek,Holidays)))</f>
        <v/>
      </c>
      <c r="FJ23" s="88">
        <f>IF(NOT(Tasks[[#This Row],[_IsLeaf]]=1),"",IF(Tasks[[#This Row],[_AlapShift]]=0,Tasks[[#This Row],[_LeafFcstFinish]],WORKDAY.INTL(Tasks[[#This Row],[_LeafFcstFinish]],Tasks[[#This Row],[_AlapShift]],WorkWeek,Holidays)))</f>
        <v/>
      </c>
      <c r="FK23" s="88">
        <f>IF(Tasks[[#This Row],[Task Name]]="","",IF(Tasks[[#This Row],[_IsSummary]],MIN(INDEX(Tasks[_ShownCalcStart],Tasks[[#This Row],[_Row]]+1):INDEX(Tasks[_ShownCalcStart],Tasks[[#This Row],[_Row]]+Tasks[[#This Row],[_Descendants]])),Tasks[[#This Row],[_ShownCalcStart]]))</f>
        <v/>
      </c>
      <c r="FL23" s="88">
        <f>IF(Tasks[[#This Row],[Task Name]]="","",IF(Tasks[[#This Row],[_IsSummary]],MAX(INDEX(Tasks[_ShownCalcFinish],Tasks[[#This Row],[_Row]]+1):INDEX(Tasks[_ShownCalcFinish],Tasks[[#This Row],[_Row]]+Tasks[[#This Row],[_Descendants]])),Tasks[[#This Row],[_ShownCalcFinish]]))</f>
        <v/>
      </c>
      <c r="FM2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3" s="42">
        <f>IF(AND(Tasks[[#This Row],[_IsLeaf]]=1,Tasks[[#This Row],[_LeafTotalWork]]&gt;0),NETWORKDAYS.INTL(ProjectStart,Tasks[[#This Row],[_ShownFcstStart]],WorkWeek,Holidays),0)</f>
        <v/>
      </c>
      <c r="FZ23" s="42">
        <f>IF(AND(Tasks[[#This Row],[_IsLeaf]]=1,Tasks[[#This Row],[_LeafTotalWork]]&gt;0),MAX(Tasks[[#This Row],[_StartWorkday]],NETWORKDAYS.INTL(ProjectStart,Tasks[[#This Row],[_ShownFcstFinish]],WorkWeek,Holidays)),0)</f>
        <v/>
      </c>
      <c r="GA23" s="42">
        <f>IF(AND(Tasks[[#This Row],[_IsLeaf]]=1,Tasks[[#This Row],[_LeafTotalWork]]&gt;0),Tasks[[#This Row],[_LeafWork]]/(Tasks[[#This Row],[_FinishWorkday]]-Tasks[[#This Row],[_StartWorkday]]+1),0)</f>
        <v/>
      </c>
      <c r="GB23" s="42">
        <f>Tasks[[#This Row],[_WorkPerWorkday]]*(Tasks[[#This Row],[_StartWorkday]]-1)</f>
        <v/>
      </c>
      <c r="GC23" s="42">
        <f>IF(Tasks[[#This Row],[_IsLeaf]]=1,MAX(N(Tasks[[#This Row],[_Days]]),0.1),0)</f>
        <v/>
      </c>
      <c r="GD23" s="42">
        <f>Tasks[[#This Row],[_WeightDur]]*Tasks[[#This Row],[_LeafProgress]]</f>
        <v/>
      </c>
      <c r="GE23" s="42">
        <f>Tasks[[#This Row],[_WeightDur]]*Tasks[[#This Row],[_PlannedPct]]</f>
        <v/>
      </c>
      <c r="GF2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3" s="42">
        <f>IF(AND(Tasks[[#This Row],[_IsLeaf]]=1,N(Tasks[[#This Row],[_Days]])=0,Tasks[[#This Row],[_LeafProgress]]&lt;1),Tasks[[#This Row],[_ShownFcstFinish]]+Tasks[[#This Row],[_Row]]/100000,"")</f>
        <v/>
      </c>
      <c r="GH2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3" s="42">
        <f>IF(Tasks[[#This Row],[Task Name]]="","",LEFT(Tasks[[#This Row],[WBS]],FIND(".",Tasks[[#This Row],[WBS]]&amp;".")-1))</f>
        <v/>
      </c>
      <c r="GJ23" s="42">
        <f>IF(AND(Tasks[[#This Row],[Task Name]]&lt;&gt;"",Tasks[[#This Row],[_Level]]=1),Tasks[[#This Row],[_Row]],"")</f>
        <v/>
      </c>
      <c r="GK23" s="42">
        <f>IF(AND(Tasks[[#This Row],[_IsLeaf]]=1,N(Tasks[[#This Row],[_Days]])=0),Tasks[[#This Row],[Planned Finish]]+Tasks[[#This Row],[_Row]]/100000,"")</f>
        <v/>
      </c>
      <c r="GL23" s="42">
        <f>IF(AND(Tasks[[#This Row],[_IsLeaf]]=1,Tasks[[#This Row],[_LeafProgress]]&lt;1,OR(N(Tasks[[#This Row],[Finish Var]])&gt;0,Tasks[[#This Row],[Status]]="Late Start")),MAX(0,Tasks[[#This Row],[Finish Var]])+1-Tasks[[#This Row],[_Row]]/1000000,"")</f>
        <v/>
      </c>
      <c r="GM23" s="42">
        <f>IF(AND(Tasks[[#This Row],[_IsLeaf]]=1,N(Tasks[[#This Row],[Actual Start]])=0,Tasks[[#This Row],[_ShownFcstStart]]&gt;=StatusDate,Tasks[[#This Row],[_ShownFcstStart]]&lt;=LookaheadEnd),Tasks[[#This Row],[_ShownFcstStart]]+Tasks[[#This Row],[_Row]]/100000,"")</f>
        <v/>
      </c>
      <c r="GN23" s="42">
        <f>IF(AND(Tasks[[#This Row],[_IsLeaf]]=1,Tasks[[#This Row],[_LeafProgress]]&lt;1,Tasks[[#This Row],[_ShownFcstFinish]]&gt;=StatusDate,Tasks[[#This Row],[_ShownFcstFinish]]&lt;=LookaheadEnd),Tasks[[#This Row],[_ShownFcstFinish]]+Tasks[[#This Row],[_Row]]/100000,"")</f>
        <v/>
      </c>
      <c r="GO23" s="42">
        <f>IF(Tasks[[#This Row],[_LeafCritical]],Tasks[[#This Row],[_ShownFcstStart]]+Tasks[[#This Row],[_Row]]/100000,"")</f>
        <v/>
      </c>
      <c r="GP23" s="42">
        <f>Tasks[[#This Row],[_LeafWork]]*Tasks[[#This Row],[_LeafProgress]]</f>
        <v/>
      </c>
      <c r="GQ23" s="88">
        <f>IF(AND(Tasks[[#This Row],[_IsLeaf]]=1,Tasks[[#This Row],[_LeafProgress]]&gt;=1),IF(N(Tasks[[#This Row],[Actual Finish]])&gt;0,Tasks[[#This Row],[Actual Finish]],Tasks[[#This Row],[_ShownFcstFinish]]),"")</f>
        <v/>
      </c>
      <c r="GR23" s="42">
        <f>IF(Tasks[[#This Row],[_IsLeaf]]=1,N(Tasks[[#This Row],[Story Points]]),0)</f>
        <v/>
      </c>
      <c r="GS23" s="42">
        <f>""</f>
        <v/>
      </c>
      <c r="GT23" s="42">
        <f>IF(Tasks[[#This Row],[Task Name]]="",FALSE(),AND(Tasks[[#This Row],[_IsLeaf]]=1,N(Tasks[[#This Row],[_Days]])=0))</f>
        <v/>
      </c>
      <c r="GU23" s="88">
        <f>IF(Tasks[[#This Row],[Task Name]]="",0,IF(AND(Tasks[[#This Row],[_IsLeaf]]=1,NOT(Tasks[[#This Row],[_IsMilestone]]),N(Tasks[[#This Row],[Progress]])&gt;0),Tasks[[#This Row],[Start]],0))</f>
        <v/>
      </c>
      <c r="GV23" s="88">
        <f>IF(Tasks[[#This Row],[_DoneFrom]]=0,0,IF(Tasks[[#This Row],[Progress]]&gt;=1,Tasks[[#This Row],[Finish]],MAX(Tasks[[#This Row],[_DoneFrom]],Tasks[[#This Row],[Start]]+ROUND((Tasks[[#This Row],[Finish]]-Tasks[[#This Row],[Start]]+1)*Tasks[[#This Row],[Progress]],0)-1)))</f>
        <v/>
      </c>
      <c r="GW23" s="88">
        <f>IF(Tasks[[#This Row],[Task Name]]="",0,IF(OR(NOT(Tasks[[#This Row],[_IsLeaf]]=1),Tasks[[#This Row],[_IsMilestone]],N(Tasks[[#This Row],[Progress]])&gt;=1),0,IF(Tasks[[#This Row],[_DoneTo]]&gt;0,Tasks[[#This Row],[_DoneTo]]+1,Tasks[[#This Row],[Start]])))</f>
        <v/>
      </c>
      <c r="GX23" s="88">
        <f>IF(Tasks[[#This Row],[_RemFrom]]=0,0,Tasks[[#This Row],[Finish]])</f>
        <v/>
      </c>
      <c r="GY23" s="42">
        <f>IF(Tasks[[#This Row],[Task Name]]="",FALSE(),OR(NOT(BaselineSet),N(Tasks[[#This Row],[Baseline Start]])&gt;0))</f>
        <v/>
      </c>
      <c r="GZ23" s="42">
        <f>IF(AND(Sandbox="Yes",L_PARSE_DURATION(Tasks[[#This Row],[Sandbox Duration]])&lt;&gt;""),L_PARSE_DURATION(Tasks[[#This Row],[Sandbox Duration]]),L_PARSE_DURATION(Tasks[[#This Row],[Duration]]))</f>
        <v/>
      </c>
      <c r="HA2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3" s="42">
        <f>IF(Tasks[[#This Row],[_IsLeaf]]=1,Tasks[[#This Row],[_Row]],"")</f>
        <v/>
      </c>
      <c r="HD23" s="42">
        <f>IFERROR(INDEX(Tasks[UID],SMALL(Tasks[_PickKey],Tasks[[#This Row],[_Row]]))&amp;" "&amp;INDEX(Tasks[Task Name],SMALL(Tasks[_PickKey],Tasks[[#This Row],[_Row]])),"")</f>
        <v/>
      </c>
      <c r="HE23" s="42">
        <f>IF(Tasks[[#This Row],[Task Name]]="","",IF(Tasks[[#This Row],[_IsSummary]],NETWORKDAYS.INTL(Tasks[[#This Row],[Start]],Tasks[[#This Row],[Finish]],WorkWeek,Holidays),N(Tasks[[#This Row],[_Days]])))</f>
        <v/>
      </c>
      <c r="HF23" s="42">
        <f>IF(Tasks[[#This Row],[Expected]]="",0,((Tasks[[#This Row],[Pessimistic]]-Tasks[[#This Row],[Optimistic]])/6)^2)</f>
        <v/>
      </c>
      <c r="HG23" s="42">
        <f>IF(Tasks[[#This Row],[Expected]]="",0,Tasks[[#This Row],[Expected]]-N(Tasks[[#This Row],[_Days]]))</f>
        <v/>
      </c>
    </row>
    <row r="24">
      <c r="A24" s="21">
        <f>IF(Tasks[[#This Row],[Task Name]]="","",COUNTA(Tasks[[#Headers],[Task Name]]:Tasks[[#This Row],[Task Name]])-1)</f>
        <v/>
      </c>
      <c r="B24" s="22" t="n">
        <v>32</v>
      </c>
      <c r="C24" s="22" t="n"/>
      <c r="D24" s="23" t="n"/>
      <c r="E24" s="22" t="n"/>
      <c r="F24" s="23" t="n"/>
      <c r="G24" s="22" t="n"/>
      <c r="H24" s="22" t="n"/>
      <c r="I24" s="23" t="n"/>
      <c r="J24" s="22" t="n"/>
      <c r="K24" s="22" t="n"/>
      <c r="L24" s="23" t="n"/>
      <c r="M24" s="22" t="n"/>
      <c r="N24" s="22" t="n"/>
      <c r="O24" s="23" t="n"/>
      <c r="P24" s="22" t="n"/>
      <c r="Q24" s="22" t="n"/>
      <c r="R24" s="23" t="n"/>
      <c r="S24" s="23" t="n"/>
      <c r="T24" s="82" t="n"/>
      <c r="U24" s="23" t="n"/>
      <c r="V24" s="82" t="n"/>
      <c r="W24" s="23" t="n"/>
      <c r="X24" s="82" t="n"/>
      <c r="Y24" s="23" t="n"/>
      <c r="Z24" s="82" t="n"/>
      <c r="AA24" s="23" t="n"/>
      <c r="AB24" s="23" t="n"/>
      <c r="AC24" s="7" t="n"/>
      <c r="AD24" s="7" t="n"/>
      <c r="AE24" s="61">
        <f>IF(Tasks[[#This Row],[Task Name]]="","",IF(Tasks[[#This Row],[_IsSummary]],MIN(INDEX(Tasks[_ShownFcstStart],Tasks[[#This Row],[_Row]]+1):INDEX(Tasks[_ShownFcstStart],Tasks[[#This Row],[_Row]]+Tasks[[#This Row],[_Descendants]])),Tasks[[#This Row],[_ShownFcstStart]]))</f>
        <v/>
      </c>
      <c r="AF24" s="61">
        <f>IF(Tasks[[#This Row],[Task Name]]="","",IF(Tasks[[#This Row],[_IsSummary]],MAX(INDEX(Tasks[_ShownFcstFinish],Tasks[[#This Row],[_Row]]+1):INDEX(Tasks[_ShownFcstFinish],Tasks[[#This Row],[_Row]]+Tasks[[#This Row],[_Descendants]])),Tasks[[#This Row],[_ShownFcstFinish]]))</f>
        <v/>
      </c>
      <c r="AG24" s="21">
        <f>""</f>
        <v/>
      </c>
      <c r="AH24" s="23" t="n"/>
      <c r="AI2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4" s="7" t="n"/>
      <c r="AK24" s="22" t="n"/>
      <c r="AL24" s="23" t="n"/>
      <c r="AM24" s="7" t="n"/>
      <c r="AN24" s="21">
        <f>IF(Tasks[[#This Row],[Task Name]]="","",IF(Tasks[[#This Row],[Finish]]&gt;=Tasks[[#This Row],[Planned Finish]],NETWORKDAYS.INTL(Tasks[[#This Row],[Planned Finish]],Tasks[[#This Row],[Finish]],WorkWeek,Holidays)-1,1-NETWORKDAYS.INTL(Tasks[[#This Row],[Finish]],Tasks[[#This Row],[Planned Finish]],WorkWeek,Holidays)))</f>
        <v/>
      </c>
      <c r="AO24" s="21">
        <f>IF(Tasks[[#This Row],[Task Name]]="","",IF(Tasks[[#This Row],[Progress]]&gt;=1,"Complete",IF(OR(N(Tasks[[#This Row],[Actual Start]])&gt;0,Tasks[[#This Row],[Progress]]&gt;0),IF(Tasks[[#This Row],[Finish Var]]&gt;0,"Behind","In Progress"),IF(Tasks[[#This Row],[Planned Start]]&lt;StatusDate,"Late Start","Not Started"))))</f>
        <v/>
      </c>
      <c r="AP24" s="21">
        <f>IF(Tasks[[#This Row],[Task Name]]="","",IF(IF(Tasks[[#This Row],[_IsSummary]],COUNTIF(INDEX(Tasks[_LeafCritical],Tasks[[#This Row],[_Row]]+1):INDEX(Tasks[_LeafCritical],Tasks[[#This Row],[_Row]]+Tasks[[#This Row],[_Descendants]]),TRUE())&gt;0,Tasks[[#This Row],[_LeafCritical]]),"Yes",""))</f>
        <v/>
      </c>
      <c r="AQ24" s="61">
        <f>IF(Tasks[[#This Row],[Task Name]]="","",IF(N(Tasks[[#This Row],[Baseline Start]])&gt;0,Tasks[[#This Row],[Baseline Start]],Tasks[[#This Row],[_CalcStart]]))</f>
        <v/>
      </c>
      <c r="AR24" s="61">
        <f>IF(Tasks[[#This Row],[Task Name]]="","",IF(N(Tasks[[#This Row],[Baseline Finish]])&gt;0,Tasks[[#This Row],[Baseline Finish]],Tasks[[#This Row],[_CalcFinish]]))</f>
        <v/>
      </c>
      <c r="AS24" s="21">
        <f>IF(Tasks[[#This Row],[Task Name]]="","",IF(Tasks[[#This Row],[Start]]&gt;=Tasks[[#This Row],[Planned Start]],NETWORKDAYS.INTL(Tasks[[#This Row],[Planned Start]],Tasks[[#This Row],[Start]],WorkWeek,Holidays)-1,1-NETWORKDAYS.INTL(Tasks[[#This Row],[Start]],Tasks[[#This Row],[Planned Start]],WorkWeek,Holidays)))</f>
        <v/>
      </c>
      <c r="AT24" s="61">
        <f>IF(Tasks[[#This Row],[Task Name]]="","",IF(Tasks[[#This Row],[_IsSummary]],MIN(INDEX(Tasks[_LeafLateStart],Tasks[[#This Row],[_Row]]+1):INDEX(Tasks[_LeafLateStart],Tasks[[#This Row],[_Row]]+Tasks[[#This Row],[_Descendants]])),Tasks[[#This Row],[_LeafLateStart]]))</f>
        <v/>
      </c>
      <c r="AU24" s="61">
        <f>IF(Tasks[[#This Row],[Task Name]]="","",IF(Tasks[[#This Row],[_IsSummary]],MAX(INDEX(Tasks[_LeafLateFinish],Tasks[[#This Row],[_Row]]+1):INDEX(Tasks[_LeafLateFinish],Tasks[[#This Row],[_Row]]+Tasks[[#This Row],[_Descendants]])),Tasks[[#This Row],[_LeafLateFinish]]))</f>
        <v/>
      </c>
      <c r="AV24" s="21">
        <f>IF(Tasks[[#This Row],[Task Name]]="","",IF(Tasks[[#This Row],[_IsSummary]],MIN(INDEX(Tasks[_LeafTotalSlack],Tasks[[#This Row],[_Row]]+1):INDEX(Tasks[_LeafTotalSlack],Tasks[[#This Row],[_Row]]+Tasks[[#This Row],[_Descendants]])),Tasks[[#This Row],[_LeafTotalSlack]]))</f>
        <v/>
      </c>
      <c r="AW2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3" t="n"/>
      <c r="BA2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f>IF(Tasks[[#This Row],[Task Name]]="","",IF(Tasks[[#This Row],[_Level]]&lt;=OutlineShowLevel,"Yes","No"))</f>
        <v/>
      </c>
      <c r="BE24" s="84">
        <f>IF(Tasks[[#This Row],[Task Name]]="","",IF(Tasks[[#This Row],[_IsSummary]],SUM(INDEX(Tasks[_LeafTotalWork],Tasks[[#This Row],[_Row]]+1):INDEX(Tasks[_LeafTotalWork],Tasks[[#This Row],[_Row]]+Tasks[[#This Row],[_Descendants]])),Tasks[[#This Row],[_LeafTotalWork]]))</f>
        <v/>
      </c>
      <c r="BF24" s="23" t="n"/>
      <c r="BG2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f>""</f>
        <v/>
      </c>
      <c r="BI24" s="85" t="n"/>
      <c r="BJ24" s="22" t="n"/>
      <c r="BK24" s="21">
        <f>IF(OR(Tasks[[#This Row],[Task Name]]="",Tasks[[#This Row],[Baseline Duration]]=""),"",Tasks[[#This Row],[_SpanDays]]-N(Tasks[[#This Row],[Baseline Duration]]))</f>
        <v/>
      </c>
      <c r="BL24" s="84">
        <f>IF(OR(Tasks[[#This Row],[Task Name]]="",Tasks[[#This Row],[Baseline Work]]=""),"",Tasks[[#This Row],[Work]]-N(Tasks[[#This Row],[Baseline Work]]))</f>
        <v/>
      </c>
      <c r="BM24" s="61">
        <f>IF(Tasks[[#This Row],[Task Name]]="","",IF(OR(TakeBaseline="Yes",N(Tasks[[#This Row],[Baseline Start]])=0),Tasks[[#This Row],[Start]],Tasks[[#This Row],[Baseline Start]]))</f>
        <v/>
      </c>
      <c r="BN24" s="61">
        <f>IF(Tasks[[#This Row],[Task Name]]="","",IF(OR(TakeBaseline="Yes",N(Tasks[[#This Row],[Baseline Finish]])=0),Tasks[[#This Row],[Finish]],Tasks[[#This Row],[Baseline Finish]]))</f>
        <v/>
      </c>
      <c r="BO24" s="21">
        <f>IF(Tasks[[#This Row],[Task Name]]="","",IF(OR(TakeBaseline="Yes",N(Tasks[[#This Row],[Baseline Duration]])=0),Tasks[[#This Row],[_SpanDays]],Tasks[[#This Row],[Baseline Duration]]))</f>
        <v/>
      </c>
      <c r="BP24" s="84">
        <f>IF(Tasks[[#This Row],[Task Name]]="","",IF(OR(TakeBaseline="Yes",N(Tasks[[#This Row],[Baseline Work]])=0),Tasks[[#This Row],[Work]],Tasks[[#This Row],[Baseline Work]]))</f>
        <v/>
      </c>
      <c r="BQ24" s="7" t="n"/>
      <c r="BR24" s="7" t="n"/>
      <c r="BS24" s="22" t="n"/>
      <c r="BT24" s="86" t="n"/>
      <c r="BU24" s="23" t="n"/>
      <c r="BV24" s="23" t="n"/>
      <c r="BW24" s="23" t="n"/>
      <c r="BX24" s="87">
        <f>IF(AND(Tasks[[#This Row],[_IsLeaf]]=1,ISNUMBER(Tasks[[#This Row],[Optimistic]]),ISNUMBER(Tasks[[#This Row],[Pessimistic]])),ROUND((Tasks[[#This Row],[Optimistic]]+4*N(Tasks[[#This Row],[_Days]])+Tasks[[#This Row],[Pessimistic]])/6,1),"")</f>
        <v/>
      </c>
      <c r="BY24" s="85" t="n"/>
      <c r="BZ24" s="85" t="n"/>
      <c r="CA24" s="22" t="n"/>
      <c r="CB24" s="42">
        <f>IF(Tasks[[#This Row],[Task Name]]="","",MAX(1,N(Tasks[[#This Row],[Level]])))</f>
        <v/>
      </c>
      <c r="CC24" s="42">
        <f>ROW()-ROW(Tasks[[#Headers],[ID]])</f>
        <v/>
      </c>
      <c r="CD24" s="42">
        <f>IF(OR(Tasks[[#This Row],[Task Name]]="",Tasks[[#This Row],[_Level]]&lt;=1),0,IFERROR(LOOKUP(2,1/(Tasks[[#Headers],[_Level]]:Tasks[[#This Row],[_Level]]=Tasks[[#This Row],[_Level]]-1),ROW(Tasks[[#Headers],[_Level]]:Tasks[[#This Row],[_Level]])),0))</f>
        <v/>
      </c>
      <c r="CE24" s="42">
        <f>IFERROR(N(INDEX(Tasks[_Level],Tasks[[#This Row],[_Row]]+1)),0)</f>
        <v/>
      </c>
      <c r="CF24" s="42">
        <f>AND(Tasks[[#This Row],[Task Name]]&lt;&gt;"",Tasks[[#This Row],[_NextLevel]]&gt;Tasks[[#This Row],[_Level]])</f>
        <v/>
      </c>
      <c r="CG24" s="42">
        <f>IF(Tasks[[#This Row],[_IsSummary]],COUNTIF(Tasks[WBS],Tasks[[#This Row],[WBS]]&amp;".*"),0)</f>
        <v/>
      </c>
      <c r="CH24" s="42">
        <f>IF(AND(Tasks[[#This Row],[Task Name]]&lt;&gt;"",NOT(Tasks[[#This Row],[_IsSummary]])),1,0)</f>
        <v/>
      </c>
      <c r="CI24" s="42">
        <f>IF(N(Tasks[[#This Row],[_Pred1UID]])=0,0,IFERROR(MATCH(Tasks[[#This Row],[_Pred1UID]],Tasks[UID],0),-1))</f>
        <v/>
      </c>
      <c r="CJ24" s="42">
        <f>IF(N(Tasks[[#This Row],[_Pred2UID]])=0,0,IFERROR(MATCH(Tasks[[#This Row],[_Pred2UID]],Tasks[UID],0),-1))</f>
        <v/>
      </c>
      <c r="CK24" s="42">
        <f>IF(N(Tasks[[#This Row],[_Pred3UID]])=0,0,IFERROR(MATCH(Tasks[[#This Row],[_Pred3UID]],Tasks[UID],0),-1))</f>
        <v/>
      </c>
      <c r="CL24" s="42">
        <f>IF(N(Tasks[[#This Row],[_Pred4UID]])=0,0,IFERROR(MATCH(Tasks[[#This Row],[_Pred4UID]],Tasks[UID],0),-1))</f>
        <v/>
      </c>
      <c r="CM2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4" s="88">
        <f>IF(N(Tasks[[#This Row],[Constraint Date]])=0,0,IF(AND(OR(Tasks[[#This Row],[_ConstraintCode]]=3,Tasks[[#This Row],[_ConstraintCode]]=6,Tasks[[#This Row],[_ConstraintCode]]=7),N(Tasks[[#This Row],[_Days]])&gt;1),WORKDAY.INTL(N(Tasks[[#This Row],[Constraint Date]]),-(N(Tasks[[#This Row],[_Days]])-1),WorkWeek,Holidays),N(Tasks[[#This Row],[Constraint Date]])))</f>
        <v/>
      </c>
      <c r="CO24" s="88">
        <f>IF(OR(Tasks[[#This Row],[_ConstraintCode]]=2,Tasks[[#This Row],[_ConstraintCode]]=3,Tasks[[#This Row],[_ConstraintCode]]=4,Tasks[[#This Row],[_ConstraintCode]]=6),Tasks[[#This Row],[_ConstraintStart]],0)</f>
        <v/>
      </c>
      <c r="CP24" s="88">
        <f>IF(OR(Tasks[[#This Row],[_ConstraintCode]]=2,Tasks[[#This Row],[_ConstraintCode]]=3,Tasks[[#This Row],[_ConstraintCode]]=5,Tasks[[#This Row],[_ConstraintCode]]=7),Tasks[[#This Row],[_ConstraintStart]],2958465)</f>
        <v/>
      </c>
      <c r="CQ2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4" s="88">
        <f>IF(NOT(Tasks[[#This Row],[_IsLeaf]]=1),"",IF(N(Tasks[[#This Row],[_Days]])&lt;=0,Tasks[[#This Row],[_LeafCalcStart]],WORKDAY.INTL(Tasks[[#This Row],[_LeafCalcStart]],Tasks[[#This Row],[_Days]]-1,WorkWeek,Holidays)))</f>
        <v/>
      </c>
      <c r="CS2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4" s="42">
        <f>IF(Tasks[[#This Row],[_Predecessors]]="","",TRIM(MID(SUBSTITUTE(SUBSTITUTE(SUBSTITUTE(UPPER(Tasks[[#This Row],[_Predecessors]]),";",",")," ",""),",",REPT(" ",99)),1,99)))</f>
        <v/>
      </c>
      <c r="CV24" s="42">
        <f>IF(Tasks[[#This Row],[_Pred1Text]]="","",IFERROR(VALUE(LEFT(Tasks[[#This Row],[_Pred1Text]],MIN(FIND("F",Tasks[[#This Row],[_Pred1Text]]&amp;"F"),FIND("S",Tasks[[#This Row],[_Pred1Text]]&amp;"S"),FIND("+",Tasks[[#This Row],[_Pred1Text]]&amp;"+"),FIND("-",Tasks[[#This Row],[_Pred1Text]]&amp;"-"))-1)),""))</f>
        <v/>
      </c>
      <c r="CW2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4" s="42">
        <f>IF(Tasks[[#This Row],[_Pred1Text]]="","",TRIM(MID(SUBSTITUTE(SUBSTITUTE(SUBSTITUTE(UPPER(Tasks[[#This Row],[_Predecessors]]),";",",")," ",""),",",REPT(" ",99)),100,99)))</f>
        <v/>
      </c>
      <c r="CZ24" s="42">
        <f>IF(Tasks[[#This Row],[_Pred2Text]]="","",IFERROR(VALUE(LEFT(Tasks[[#This Row],[_Pred2Text]],MIN(FIND("F",Tasks[[#This Row],[_Pred2Text]]&amp;"F"),FIND("S",Tasks[[#This Row],[_Pred2Text]]&amp;"S"),FIND("+",Tasks[[#This Row],[_Pred2Text]]&amp;"+"),FIND("-",Tasks[[#This Row],[_Pred2Text]]&amp;"-"))-1)),""))</f>
        <v/>
      </c>
      <c r="DA2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4" s="42">
        <f>IF(Tasks[[#This Row],[_Pred2Text]]="","",TRIM(MID(SUBSTITUTE(SUBSTITUTE(SUBSTITUTE(UPPER(Tasks[[#This Row],[_Predecessors]]),";",",")," ",""),",",REPT(" ",99)),199,99)))</f>
        <v/>
      </c>
      <c r="DD24" s="42">
        <f>IF(Tasks[[#This Row],[_Pred3Text]]="","",IFERROR(VALUE(LEFT(Tasks[[#This Row],[_Pred3Text]],MIN(FIND("F",Tasks[[#This Row],[_Pred3Text]]&amp;"F"),FIND("S",Tasks[[#This Row],[_Pred3Text]]&amp;"S"),FIND("+",Tasks[[#This Row],[_Pred3Text]]&amp;"+"),FIND("-",Tasks[[#This Row],[_Pred3Text]]&amp;"-"))-1)),""))</f>
        <v/>
      </c>
      <c r="DE2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4" s="42">
        <f>IF(Tasks[[#This Row],[_Pred3Text]]="","",TRIM(MID(SUBSTITUTE(SUBSTITUTE(SUBSTITUTE(UPPER(Tasks[[#This Row],[_Predecessors]]),";",",")," ",""),",",REPT(" ",99)),298,99)))</f>
        <v/>
      </c>
      <c r="DH24" s="42">
        <f>IF(Tasks[[#This Row],[_Pred4Text]]="","",IFERROR(VALUE(LEFT(Tasks[[#This Row],[_Pred4Text]],MIN(FIND("F",Tasks[[#This Row],[_Pred4Text]]&amp;"F"),FIND("S",Tasks[[#This Row],[_Pred4Text]]&amp;"S"),FIND("+",Tasks[[#This Row],[_Pred4Text]]&amp;"+"),FIND("-",Tasks[[#This Row],[_Pred4Text]]&amp;"-"))-1)),""))</f>
        <v/>
      </c>
      <c r="DI2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4" s="42">
        <f>IF(OR(Tasks[[#This Row],[Task Name]]="",Tasks[[#This Row],[_Resources]]=""),"",TRIM(MID(SUBSTITUTE(Tasks[[#This Row],[_Resources]],",",REPT(" ",99)),1,99)))</f>
        <v/>
      </c>
      <c r="DL24" s="42">
        <f>IF(Tasks[[#This Row],[_Res1Text]]="","",TRIM(MID(SUBSTITUTE(Tasks[[#This Row],[_Resources]],",",REPT(" ",99)),100,99)))</f>
        <v/>
      </c>
      <c r="DM24" s="42">
        <f>IF(Tasks[[#This Row],[_Res2Text]]="","",TRIM(MID(SUBSTITUTE(Tasks[[#This Row],[_Resources]],",",REPT(" ",99)),199,99)))</f>
        <v/>
      </c>
      <c r="DN24" s="42">
        <f>IF(Tasks[[#This Row],[_Res3Text]]="","",TRIM(MID(SUBSTITUTE(Tasks[[#This Row],[_Resources]],",",REPT(" ",99)),298,99)))</f>
        <v/>
      </c>
      <c r="DO24" s="42">
        <f>IF(Tasks[[#This Row],[_Res1Text]]="",0,IFERROR(MATCH(TRIM(LEFT(Tasks[[#This Row],[_Res1Text]],FIND("[",Tasks[[#This Row],[_Res1Text]]&amp;"[")-1)),res_Name,0),IFERROR(MATCH(TRIM(LEFT(Tasks[[#This Row],[_Res1Text]],FIND("[",Tasks[[#This Row],[_Res1Text]]&amp;"[")-1)),res_Initials,0),0)))</f>
        <v/>
      </c>
      <c r="DP24" s="42">
        <f>IF(Tasks[[#This Row],[_Res2Text]]="",0,IFERROR(MATCH(TRIM(LEFT(Tasks[[#This Row],[_Res2Text]],FIND("[",Tasks[[#This Row],[_Res2Text]]&amp;"[")-1)),res_Name,0),IFERROR(MATCH(TRIM(LEFT(Tasks[[#This Row],[_Res2Text]],FIND("[",Tasks[[#This Row],[_Res2Text]]&amp;"[")-1)),res_Initials,0),0)))</f>
        <v/>
      </c>
      <c r="DQ24" s="42">
        <f>IF(Tasks[[#This Row],[_Res3Text]]="",0,IFERROR(MATCH(TRIM(LEFT(Tasks[[#This Row],[_Res3Text]],FIND("[",Tasks[[#This Row],[_Res3Text]]&amp;"[")-1)),res_Name,0),IFERROR(MATCH(TRIM(LEFT(Tasks[[#This Row],[_Res3Text]],FIND("[",Tasks[[#This Row],[_Res3Text]]&amp;"[")-1)),res_Initials,0),0)))</f>
        <v/>
      </c>
      <c r="DR24" s="42">
        <f>IF(Tasks[[#This Row],[_Res4Text]]="",0,IFERROR(MATCH(TRIM(LEFT(Tasks[[#This Row],[_Res4Text]],FIND("[",Tasks[[#This Row],[_Res4Text]]&amp;"[")-1)),res_Name,0),IFERROR(MATCH(TRIM(LEFT(Tasks[[#This Row],[_Res4Text]],FIND("[",Tasks[[#This Row],[_Res4Text]]&amp;"[")-1)),res_Initials,0),0)))</f>
        <v/>
      </c>
      <c r="DS24" s="42">
        <f>IF(Tasks[[#This Row],[_Res1Text]]="","",IF(Tasks[[#This Row],[_Res1Row]]&gt;0,INDEX(res_Name,Tasks[[#This Row],[_Res1Row]]),TRIM(LEFT(Tasks[[#This Row],[_Res1Text]],FIND("[",Tasks[[#This Row],[_Res1Text]]&amp;"[")-1))))</f>
        <v/>
      </c>
      <c r="DT2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4" s="42">
        <f>IF(NOT(Tasks[[#This Row],[_IsLeaf]]=1),0,(Tasks[[#This Row],[_Resource1]]&lt;&gt;"")+(Tasks[[#This Row],[_Res2]]&lt;&gt;"")+(Tasks[[#This Row],[_Res3]]&lt;&gt;"")+(Tasks[[#This Row],[_Res4]]&lt;&gt;""))</f>
        <v/>
      </c>
      <c r="DV24" s="42">
        <f>IF(Tasks[[#This Row],[_Res2Text]]="","",IF(Tasks[[#This Row],[_Res2Row]]&gt;0,INDEX(res_Name,Tasks[[#This Row],[_Res2Row]]),TRIM(LEFT(Tasks[[#This Row],[_Res2Text]],FIND("[",Tasks[[#This Row],[_Res2Text]]&amp;"[")-1))))</f>
        <v/>
      </c>
      <c r="DW2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4" s="42">
        <f>IF(OR(NOT(Tasks[[#This Row],[_IsLeaf]]=1),Tasks[[#This Row],[_Res2Row]]=0),0,N(Tasks[[#This Row],[_Days]])*HoursPerDay*IF(Tasks[[#This Row],[_Res2Units]]="",DefaultUnits,Tasks[[#This Row],[_Res2Units]]))</f>
        <v/>
      </c>
      <c r="DY24" s="42">
        <f>IF(AND(AND(Tasks[[#This Row],[_IsLeaf]]=1,Tasks[[#This Row],[_LeafTotalWork]]&gt;0),Tasks[[#This Row],[_Res2Work]]&gt;0),Tasks[[#This Row],[_Res2Work]]/(Tasks[[#This Row],[_FinishWorkday]]-Tasks[[#This Row],[_StartWorkday]]+1),0)</f>
        <v/>
      </c>
      <c r="DZ24" s="42">
        <f>Tasks[[#This Row],[_Res2WorkPerWD]]*MAX(0,Tasks[[#This Row],[_StartWorkday]]-1)</f>
        <v/>
      </c>
      <c r="EA24" s="42">
        <f>Tasks[[#This Row],[_Res2Work]]*Tasks[[#This Row],[_LeafProgress]]</f>
        <v/>
      </c>
      <c r="EB24" s="42">
        <f>IF(Tasks[[#This Row],[_Res3Text]]="","",IF(Tasks[[#This Row],[_Res3Row]]&gt;0,INDEX(res_Name,Tasks[[#This Row],[_Res3Row]]),TRIM(LEFT(Tasks[[#This Row],[_Res3Text]],FIND("[",Tasks[[#This Row],[_Res3Text]]&amp;"[")-1))))</f>
        <v/>
      </c>
      <c r="EC2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4" s="42">
        <f>IF(OR(NOT(Tasks[[#This Row],[_IsLeaf]]=1),Tasks[[#This Row],[_Res3Row]]=0),0,N(Tasks[[#This Row],[_Days]])*HoursPerDay*IF(Tasks[[#This Row],[_Res3Units]]="",DefaultUnits,Tasks[[#This Row],[_Res3Units]]))</f>
        <v/>
      </c>
      <c r="EE24" s="42">
        <f>IF(AND(AND(Tasks[[#This Row],[_IsLeaf]]=1,Tasks[[#This Row],[_LeafTotalWork]]&gt;0),Tasks[[#This Row],[_Res3Work]]&gt;0),Tasks[[#This Row],[_Res3Work]]/(Tasks[[#This Row],[_FinishWorkday]]-Tasks[[#This Row],[_StartWorkday]]+1),0)</f>
        <v/>
      </c>
      <c r="EF24" s="42">
        <f>Tasks[[#This Row],[_Res3WorkPerWD]]*MAX(0,Tasks[[#This Row],[_StartWorkday]]-1)</f>
        <v/>
      </c>
      <c r="EG24" s="42">
        <f>Tasks[[#This Row],[_Res3Work]]*Tasks[[#This Row],[_LeafProgress]]</f>
        <v/>
      </c>
      <c r="EH24" s="42">
        <f>IF(Tasks[[#This Row],[_Res4Text]]="","",IF(Tasks[[#This Row],[_Res4Row]]&gt;0,INDEX(res_Name,Tasks[[#This Row],[_Res4Row]]),TRIM(LEFT(Tasks[[#This Row],[_Res4Text]],FIND("[",Tasks[[#This Row],[_Res4Text]]&amp;"[")-1))))</f>
        <v/>
      </c>
      <c r="EI2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4" s="42">
        <f>IF(OR(NOT(Tasks[[#This Row],[_IsLeaf]]=1),Tasks[[#This Row],[_Res4Row]]=0),0,N(Tasks[[#This Row],[_Days]])*HoursPerDay*IF(Tasks[[#This Row],[_Res4Units]]="",DefaultUnits,Tasks[[#This Row],[_Res4Units]]))</f>
        <v/>
      </c>
      <c r="EK24" s="42">
        <f>IF(AND(AND(Tasks[[#This Row],[_IsLeaf]]=1,Tasks[[#This Row],[_LeafTotalWork]]&gt;0),Tasks[[#This Row],[_Res4Work]]&gt;0),Tasks[[#This Row],[_Res4Work]]/(Tasks[[#This Row],[_FinishWorkday]]-Tasks[[#This Row],[_StartWorkday]]+1),0)</f>
        <v/>
      </c>
      <c r="EL24" s="42">
        <f>Tasks[[#This Row],[_Res4WorkPerWD]]*MAX(0,Tasks[[#This Row],[_StartWorkday]]-1)</f>
        <v/>
      </c>
      <c r="EM24" s="42">
        <f>Tasks[[#This Row],[_Res4Work]]*Tasks[[#This Row],[_LeafProgress]]</f>
        <v/>
      </c>
      <c r="EN24" s="42">
        <f>IF(ISNUMBER(Tasks[[#This Row],[% Complete]]),Tasks[[#This Row],[% Complete]],IF(Tasks[[#This Row],[Stage]]="",0,IFERROR(INDEX(stg_Pct,MATCH(Tasks[[#This Row],[Stage]],stg_Name,0)),0)))</f>
        <v/>
      </c>
      <c r="EO24" s="42">
        <f>IF(NOT(Tasks[[#This Row],[_IsLeaf]]=1),0,IF(N(Tasks[[#This Row],[Actual Finish]])&gt;0,1,MIN(1,Tasks[[#This Row],[_Pct]])))</f>
        <v/>
      </c>
      <c r="EP24" s="42">
        <f>IF(OR(NOT(Tasks[[#This Row],[_IsLeaf]]=1),Tasks[[#This Row],[_Res1Row]]=0),0,N(Tasks[[#This Row],[_Days]])*HoursPerDay*IF(Tasks[[#This Row],[_Units1]]="",DefaultUnits,Tasks[[#This Row],[_Units1]]))</f>
        <v/>
      </c>
      <c r="EQ24" s="42">
        <f>Tasks[[#This Row],[_LeafWork]]+Tasks[[#This Row],[_Res2Work]]+Tasks[[#This Row],[_Res3Work]]+Tasks[[#This Row],[_Res4Work]]</f>
        <v/>
      </c>
      <c r="ER2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4" s="42">
        <f>IF(NOT(Tasks[[#This Row],[_IsLeaf]]=1),0,MAX(_xlfn.MAXIFS(Tasks[_Row],Tasks[_Pred1UID],Tasks[[#This Row],[UID]]),_xlfn.MAXIFS(Tasks[_Row],Tasks[_Pred2UID],Tasks[[#This Row],[UID]]),_xlfn.MAXIFS(Tasks[_Row],Tasks[_Pred3UID],Tasks[[#This Row],[UID]]),_xlfn.MAXIFS(Tasks[_Row],Tasks[_Pred4UID],Tasks[[#This Row],[UID]])))</f>
        <v/>
      </c>
      <c r="FA2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4" s="88">
        <f>IF(NOT(Tasks[[#This Row],[_IsLeaf]]=1),"",IF(N(Tasks[[#This Row],[_Days]])&lt;=0,Tasks[[#This Row],[_LeafLateFinish]],WORKDAY.INTL(Tasks[[#This Row],[_LeafLateFinish]],-(Tasks[[#This Row],[_Days]]-1),WorkWeek,Holidays)))</f>
        <v/>
      </c>
      <c r="FD2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4" s="42">
        <f>AND(Tasks[[#This Row],[_IsLeaf]]=1,Tasks[[#This Row],[_LeafProgress]]&lt;1,N(Tasks[[#This Row],[_LeafTotalSlack]])&lt;=CriticalSlackDays)</f>
        <v/>
      </c>
      <c r="FF24" s="42">
        <f>IF(AND(Tasks[[#This Row],[_IsLeaf]]=1,Tasks[[#This Row],[_ConstraintCode]]=1,Tasks[[#This Row],[Mode]]&lt;&gt;"Manual",N(Tasks[[#This Row],[Actual Start]])=0),MAX(0,N(Tasks[[#This Row],[Free Slack]])),0)</f>
        <v/>
      </c>
      <c r="FG24" s="88">
        <f>IF(NOT(Tasks[[#This Row],[_IsLeaf]]=1),"",IF(Tasks[[#This Row],[_AlapShift]]=0,Tasks[[#This Row],[_LeafCalcStart]],WORKDAY.INTL(Tasks[[#This Row],[_LeafCalcStart]],Tasks[[#This Row],[_AlapShift]],WorkWeek,Holidays)))</f>
        <v/>
      </c>
      <c r="FH24" s="88">
        <f>IF(NOT(Tasks[[#This Row],[_IsLeaf]]=1),"",IF(Tasks[[#This Row],[_AlapShift]]=0,Tasks[[#This Row],[_LeafCalcFinish]],WORKDAY.INTL(Tasks[[#This Row],[_LeafCalcFinish]],Tasks[[#This Row],[_AlapShift]],WorkWeek,Holidays)))</f>
        <v/>
      </c>
      <c r="FI24" s="88">
        <f>IF(NOT(Tasks[[#This Row],[_IsLeaf]]=1),"",IF(Tasks[[#This Row],[_AlapShift]]=0,Tasks[[#This Row],[_LeafFcstStart]],WORKDAY.INTL(Tasks[[#This Row],[_LeafFcstStart]],Tasks[[#This Row],[_AlapShift]],WorkWeek,Holidays)))</f>
        <v/>
      </c>
      <c r="FJ24" s="88">
        <f>IF(NOT(Tasks[[#This Row],[_IsLeaf]]=1),"",IF(Tasks[[#This Row],[_AlapShift]]=0,Tasks[[#This Row],[_LeafFcstFinish]],WORKDAY.INTL(Tasks[[#This Row],[_LeafFcstFinish]],Tasks[[#This Row],[_AlapShift]],WorkWeek,Holidays)))</f>
        <v/>
      </c>
      <c r="FK24" s="88">
        <f>IF(Tasks[[#This Row],[Task Name]]="","",IF(Tasks[[#This Row],[_IsSummary]],MIN(INDEX(Tasks[_ShownCalcStart],Tasks[[#This Row],[_Row]]+1):INDEX(Tasks[_ShownCalcStart],Tasks[[#This Row],[_Row]]+Tasks[[#This Row],[_Descendants]])),Tasks[[#This Row],[_ShownCalcStart]]))</f>
        <v/>
      </c>
      <c r="FL24" s="88">
        <f>IF(Tasks[[#This Row],[Task Name]]="","",IF(Tasks[[#This Row],[_IsSummary]],MAX(INDEX(Tasks[_ShownCalcFinish],Tasks[[#This Row],[_Row]]+1):INDEX(Tasks[_ShownCalcFinish],Tasks[[#This Row],[_Row]]+Tasks[[#This Row],[_Descendants]])),Tasks[[#This Row],[_ShownCalcFinish]]))</f>
        <v/>
      </c>
      <c r="FM2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4" s="42">
        <f>IF(AND(Tasks[[#This Row],[_IsLeaf]]=1,Tasks[[#This Row],[_LeafTotalWork]]&gt;0),NETWORKDAYS.INTL(ProjectStart,Tasks[[#This Row],[_ShownFcstStart]],WorkWeek,Holidays),0)</f>
        <v/>
      </c>
      <c r="FZ24" s="42">
        <f>IF(AND(Tasks[[#This Row],[_IsLeaf]]=1,Tasks[[#This Row],[_LeafTotalWork]]&gt;0),MAX(Tasks[[#This Row],[_StartWorkday]],NETWORKDAYS.INTL(ProjectStart,Tasks[[#This Row],[_ShownFcstFinish]],WorkWeek,Holidays)),0)</f>
        <v/>
      </c>
      <c r="GA24" s="42">
        <f>IF(AND(Tasks[[#This Row],[_IsLeaf]]=1,Tasks[[#This Row],[_LeafTotalWork]]&gt;0),Tasks[[#This Row],[_LeafWork]]/(Tasks[[#This Row],[_FinishWorkday]]-Tasks[[#This Row],[_StartWorkday]]+1),0)</f>
        <v/>
      </c>
      <c r="GB24" s="42">
        <f>Tasks[[#This Row],[_WorkPerWorkday]]*(Tasks[[#This Row],[_StartWorkday]]-1)</f>
        <v/>
      </c>
      <c r="GC24" s="42">
        <f>IF(Tasks[[#This Row],[_IsLeaf]]=1,MAX(N(Tasks[[#This Row],[_Days]]),0.1),0)</f>
        <v/>
      </c>
      <c r="GD24" s="42">
        <f>Tasks[[#This Row],[_WeightDur]]*Tasks[[#This Row],[_LeafProgress]]</f>
        <v/>
      </c>
      <c r="GE24" s="42">
        <f>Tasks[[#This Row],[_WeightDur]]*Tasks[[#This Row],[_PlannedPct]]</f>
        <v/>
      </c>
      <c r="GF2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4" s="42">
        <f>IF(AND(Tasks[[#This Row],[_IsLeaf]]=1,N(Tasks[[#This Row],[_Days]])=0,Tasks[[#This Row],[_LeafProgress]]&lt;1),Tasks[[#This Row],[_ShownFcstFinish]]+Tasks[[#This Row],[_Row]]/100000,"")</f>
        <v/>
      </c>
      <c r="GH2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4" s="42">
        <f>IF(Tasks[[#This Row],[Task Name]]="","",LEFT(Tasks[[#This Row],[WBS]],FIND(".",Tasks[[#This Row],[WBS]]&amp;".")-1))</f>
        <v/>
      </c>
      <c r="GJ24" s="42">
        <f>IF(AND(Tasks[[#This Row],[Task Name]]&lt;&gt;"",Tasks[[#This Row],[_Level]]=1),Tasks[[#This Row],[_Row]],"")</f>
        <v/>
      </c>
      <c r="GK24" s="42">
        <f>IF(AND(Tasks[[#This Row],[_IsLeaf]]=1,N(Tasks[[#This Row],[_Days]])=0),Tasks[[#This Row],[Planned Finish]]+Tasks[[#This Row],[_Row]]/100000,"")</f>
        <v/>
      </c>
      <c r="GL24" s="42">
        <f>IF(AND(Tasks[[#This Row],[_IsLeaf]]=1,Tasks[[#This Row],[_LeafProgress]]&lt;1,OR(N(Tasks[[#This Row],[Finish Var]])&gt;0,Tasks[[#This Row],[Status]]="Late Start")),MAX(0,Tasks[[#This Row],[Finish Var]])+1-Tasks[[#This Row],[_Row]]/1000000,"")</f>
        <v/>
      </c>
      <c r="GM24" s="42">
        <f>IF(AND(Tasks[[#This Row],[_IsLeaf]]=1,N(Tasks[[#This Row],[Actual Start]])=0,Tasks[[#This Row],[_ShownFcstStart]]&gt;=StatusDate,Tasks[[#This Row],[_ShownFcstStart]]&lt;=LookaheadEnd),Tasks[[#This Row],[_ShownFcstStart]]+Tasks[[#This Row],[_Row]]/100000,"")</f>
        <v/>
      </c>
      <c r="GN24" s="42">
        <f>IF(AND(Tasks[[#This Row],[_IsLeaf]]=1,Tasks[[#This Row],[_LeafProgress]]&lt;1,Tasks[[#This Row],[_ShownFcstFinish]]&gt;=StatusDate,Tasks[[#This Row],[_ShownFcstFinish]]&lt;=LookaheadEnd),Tasks[[#This Row],[_ShownFcstFinish]]+Tasks[[#This Row],[_Row]]/100000,"")</f>
        <v/>
      </c>
      <c r="GO24" s="42">
        <f>IF(Tasks[[#This Row],[_LeafCritical]],Tasks[[#This Row],[_ShownFcstStart]]+Tasks[[#This Row],[_Row]]/100000,"")</f>
        <v/>
      </c>
      <c r="GP24" s="42">
        <f>Tasks[[#This Row],[_LeafWork]]*Tasks[[#This Row],[_LeafProgress]]</f>
        <v/>
      </c>
      <c r="GQ24" s="88">
        <f>IF(AND(Tasks[[#This Row],[_IsLeaf]]=1,Tasks[[#This Row],[_LeafProgress]]&gt;=1),IF(N(Tasks[[#This Row],[Actual Finish]])&gt;0,Tasks[[#This Row],[Actual Finish]],Tasks[[#This Row],[_ShownFcstFinish]]),"")</f>
        <v/>
      </c>
      <c r="GR24" s="42">
        <f>IF(Tasks[[#This Row],[_IsLeaf]]=1,N(Tasks[[#This Row],[Story Points]]),0)</f>
        <v/>
      </c>
      <c r="GS24" s="42">
        <f>""</f>
        <v/>
      </c>
      <c r="GT24" s="42">
        <f>IF(Tasks[[#This Row],[Task Name]]="",FALSE(),AND(Tasks[[#This Row],[_IsLeaf]]=1,N(Tasks[[#This Row],[_Days]])=0))</f>
        <v/>
      </c>
      <c r="GU24" s="88">
        <f>IF(Tasks[[#This Row],[Task Name]]="",0,IF(AND(Tasks[[#This Row],[_IsLeaf]]=1,NOT(Tasks[[#This Row],[_IsMilestone]]),N(Tasks[[#This Row],[Progress]])&gt;0),Tasks[[#This Row],[Start]],0))</f>
        <v/>
      </c>
      <c r="GV24" s="88">
        <f>IF(Tasks[[#This Row],[_DoneFrom]]=0,0,IF(Tasks[[#This Row],[Progress]]&gt;=1,Tasks[[#This Row],[Finish]],MAX(Tasks[[#This Row],[_DoneFrom]],Tasks[[#This Row],[Start]]+ROUND((Tasks[[#This Row],[Finish]]-Tasks[[#This Row],[Start]]+1)*Tasks[[#This Row],[Progress]],0)-1)))</f>
        <v/>
      </c>
      <c r="GW24" s="88">
        <f>IF(Tasks[[#This Row],[Task Name]]="",0,IF(OR(NOT(Tasks[[#This Row],[_IsLeaf]]=1),Tasks[[#This Row],[_IsMilestone]],N(Tasks[[#This Row],[Progress]])&gt;=1),0,IF(Tasks[[#This Row],[_DoneTo]]&gt;0,Tasks[[#This Row],[_DoneTo]]+1,Tasks[[#This Row],[Start]])))</f>
        <v/>
      </c>
      <c r="GX24" s="88">
        <f>IF(Tasks[[#This Row],[_RemFrom]]=0,0,Tasks[[#This Row],[Finish]])</f>
        <v/>
      </c>
      <c r="GY24" s="42">
        <f>IF(Tasks[[#This Row],[Task Name]]="",FALSE(),OR(NOT(BaselineSet),N(Tasks[[#This Row],[Baseline Start]])&gt;0))</f>
        <v/>
      </c>
      <c r="GZ24" s="42">
        <f>IF(AND(Sandbox="Yes",L_PARSE_DURATION(Tasks[[#This Row],[Sandbox Duration]])&lt;&gt;""),L_PARSE_DURATION(Tasks[[#This Row],[Sandbox Duration]]),L_PARSE_DURATION(Tasks[[#This Row],[Duration]]))</f>
        <v/>
      </c>
      <c r="HA2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4" s="42">
        <f>IF(Tasks[[#This Row],[_IsLeaf]]=1,Tasks[[#This Row],[_Row]],"")</f>
        <v/>
      </c>
      <c r="HD24" s="42">
        <f>IFERROR(INDEX(Tasks[UID],SMALL(Tasks[_PickKey],Tasks[[#This Row],[_Row]]))&amp;" "&amp;INDEX(Tasks[Task Name],SMALL(Tasks[_PickKey],Tasks[[#This Row],[_Row]])),"")</f>
        <v/>
      </c>
      <c r="HE24" s="42">
        <f>IF(Tasks[[#This Row],[Task Name]]="","",IF(Tasks[[#This Row],[_IsSummary]],NETWORKDAYS.INTL(Tasks[[#This Row],[Start]],Tasks[[#This Row],[Finish]],WorkWeek,Holidays),N(Tasks[[#This Row],[_Days]])))</f>
        <v/>
      </c>
      <c r="HF24" s="42">
        <f>IF(Tasks[[#This Row],[Expected]]="",0,((Tasks[[#This Row],[Pessimistic]]-Tasks[[#This Row],[Optimistic]])/6)^2)</f>
        <v/>
      </c>
      <c r="HG24" s="42">
        <f>IF(Tasks[[#This Row],[Expected]]="",0,Tasks[[#This Row],[Expected]]-N(Tasks[[#This Row],[_Days]]))</f>
        <v/>
      </c>
    </row>
    <row r="25">
      <c r="A25" s="21">
        <f>IF(Tasks[[#This Row],[Task Name]]="","",COUNTA(Tasks[[#Headers],[Task Name]]:Tasks[[#This Row],[Task Name]])-1)</f>
        <v/>
      </c>
      <c r="B25" s="22" t="n">
        <v>33</v>
      </c>
      <c r="C25" s="22" t="n"/>
      <c r="D25" s="23" t="n"/>
      <c r="E25" s="22" t="n"/>
      <c r="F25" s="23" t="n"/>
      <c r="G25" s="22" t="n"/>
      <c r="H25" s="22" t="n"/>
      <c r="I25" s="23" t="n"/>
      <c r="J25" s="22" t="n"/>
      <c r="K25" s="22" t="n"/>
      <c r="L25" s="23" t="n"/>
      <c r="M25" s="22" t="n"/>
      <c r="N25" s="22" t="n"/>
      <c r="O25" s="23" t="n"/>
      <c r="P25" s="22" t="n"/>
      <c r="Q25" s="22" t="n"/>
      <c r="R25" s="23" t="n"/>
      <c r="S25" s="23" t="n"/>
      <c r="T25" s="82" t="n"/>
      <c r="U25" s="23" t="n"/>
      <c r="V25" s="82" t="n"/>
      <c r="W25" s="23" t="n"/>
      <c r="X25" s="82" t="n"/>
      <c r="Y25" s="23" t="n"/>
      <c r="Z25" s="82" t="n"/>
      <c r="AA25" s="23" t="n"/>
      <c r="AB25" s="23" t="n"/>
      <c r="AC25" s="7" t="n"/>
      <c r="AD25" s="7" t="n"/>
      <c r="AE25" s="61">
        <f>IF(Tasks[[#This Row],[Task Name]]="","",IF(Tasks[[#This Row],[_IsSummary]],MIN(INDEX(Tasks[_ShownFcstStart],Tasks[[#This Row],[_Row]]+1):INDEX(Tasks[_ShownFcstStart],Tasks[[#This Row],[_Row]]+Tasks[[#This Row],[_Descendants]])),Tasks[[#This Row],[_ShownFcstStart]]))</f>
        <v/>
      </c>
      <c r="AF25" s="61">
        <f>IF(Tasks[[#This Row],[Task Name]]="","",IF(Tasks[[#This Row],[_IsSummary]],MAX(INDEX(Tasks[_ShownFcstFinish],Tasks[[#This Row],[_Row]]+1):INDEX(Tasks[_ShownFcstFinish],Tasks[[#This Row],[_Row]]+Tasks[[#This Row],[_Descendants]])),Tasks[[#This Row],[_ShownFcstFinish]]))</f>
        <v/>
      </c>
      <c r="AG25" s="21">
        <f>""</f>
        <v/>
      </c>
      <c r="AH25" s="23" t="n"/>
      <c r="AI2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5" s="7" t="n"/>
      <c r="AK25" s="22" t="n"/>
      <c r="AL25" s="23" t="n"/>
      <c r="AM25" s="7" t="n"/>
      <c r="AN25" s="21">
        <f>IF(Tasks[[#This Row],[Task Name]]="","",IF(Tasks[[#This Row],[Finish]]&gt;=Tasks[[#This Row],[Planned Finish]],NETWORKDAYS.INTL(Tasks[[#This Row],[Planned Finish]],Tasks[[#This Row],[Finish]],WorkWeek,Holidays)-1,1-NETWORKDAYS.INTL(Tasks[[#This Row],[Finish]],Tasks[[#This Row],[Planned Finish]],WorkWeek,Holidays)))</f>
        <v/>
      </c>
      <c r="AO25" s="21">
        <f>IF(Tasks[[#This Row],[Task Name]]="","",IF(Tasks[[#This Row],[Progress]]&gt;=1,"Complete",IF(OR(N(Tasks[[#This Row],[Actual Start]])&gt;0,Tasks[[#This Row],[Progress]]&gt;0),IF(Tasks[[#This Row],[Finish Var]]&gt;0,"Behind","In Progress"),IF(Tasks[[#This Row],[Planned Start]]&lt;StatusDate,"Late Start","Not Started"))))</f>
        <v/>
      </c>
      <c r="AP25" s="21">
        <f>IF(Tasks[[#This Row],[Task Name]]="","",IF(IF(Tasks[[#This Row],[_IsSummary]],COUNTIF(INDEX(Tasks[_LeafCritical],Tasks[[#This Row],[_Row]]+1):INDEX(Tasks[_LeafCritical],Tasks[[#This Row],[_Row]]+Tasks[[#This Row],[_Descendants]]),TRUE())&gt;0,Tasks[[#This Row],[_LeafCritical]]),"Yes",""))</f>
        <v/>
      </c>
      <c r="AQ25" s="61">
        <f>IF(Tasks[[#This Row],[Task Name]]="","",IF(N(Tasks[[#This Row],[Baseline Start]])&gt;0,Tasks[[#This Row],[Baseline Start]],Tasks[[#This Row],[_CalcStart]]))</f>
        <v/>
      </c>
      <c r="AR25" s="61">
        <f>IF(Tasks[[#This Row],[Task Name]]="","",IF(N(Tasks[[#This Row],[Baseline Finish]])&gt;0,Tasks[[#This Row],[Baseline Finish]],Tasks[[#This Row],[_CalcFinish]]))</f>
        <v/>
      </c>
      <c r="AS25" s="21">
        <f>IF(Tasks[[#This Row],[Task Name]]="","",IF(Tasks[[#This Row],[Start]]&gt;=Tasks[[#This Row],[Planned Start]],NETWORKDAYS.INTL(Tasks[[#This Row],[Planned Start]],Tasks[[#This Row],[Start]],WorkWeek,Holidays)-1,1-NETWORKDAYS.INTL(Tasks[[#This Row],[Start]],Tasks[[#This Row],[Planned Start]],WorkWeek,Holidays)))</f>
        <v/>
      </c>
      <c r="AT25" s="61">
        <f>IF(Tasks[[#This Row],[Task Name]]="","",IF(Tasks[[#This Row],[_IsSummary]],MIN(INDEX(Tasks[_LeafLateStart],Tasks[[#This Row],[_Row]]+1):INDEX(Tasks[_LeafLateStart],Tasks[[#This Row],[_Row]]+Tasks[[#This Row],[_Descendants]])),Tasks[[#This Row],[_LeafLateStart]]))</f>
        <v/>
      </c>
      <c r="AU25" s="61">
        <f>IF(Tasks[[#This Row],[Task Name]]="","",IF(Tasks[[#This Row],[_IsSummary]],MAX(INDEX(Tasks[_LeafLateFinish],Tasks[[#This Row],[_Row]]+1):INDEX(Tasks[_LeafLateFinish],Tasks[[#This Row],[_Row]]+Tasks[[#This Row],[_Descendants]])),Tasks[[#This Row],[_LeafLateFinish]]))</f>
        <v/>
      </c>
      <c r="AV25" s="21">
        <f>IF(Tasks[[#This Row],[Task Name]]="","",IF(Tasks[[#This Row],[_IsSummary]],MIN(INDEX(Tasks[_LeafTotalSlack],Tasks[[#This Row],[_Row]]+1):INDEX(Tasks[_LeafTotalSlack],Tasks[[#This Row],[_Row]]+Tasks[[#This Row],[_Descendants]])),Tasks[[#This Row],[_LeafTotalSlack]]))</f>
        <v/>
      </c>
      <c r="AW2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3" t="n"/>
      <c r="BA2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f>IF(Tasks[[#This Row],[Task Name]]="","",IF(Tasks[[#This Row],[_Level]]&lt;=OutlineShowLevel,"Yes","No"))</f>
        <v/>
      </c>
      <c r="BE25" s="84">
        <f>IF(Tasks[[#This Row],[Task Name]]="","",IF(Tasks[[#This Row],[_IsSummary]],SUM(INDEX(Tasks[_LeafTotalWork],Tasks[[#This Row],[_Row]]+1):INDEX(Tasks[_LeafTotalWork],Tasks[[#This Row],[_Row]]+Tasks[[#This Row],[_Descendants]])),Tasks[[#This Row],[_LeafTotalWork]]))</f>
        <v/>
      </c>
      <c r="BF25" s="23" t="n"/>
      <c r="BG2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f>""</f>
        <v/>
      </c>
      <c r="BI25" s="85" t="n"/>
      <c r="BJ25" s="22" t="n"/>
      <c r="BK25" s="21">
        <f>IF(OR(Tasks[[#This Row],[Task Name]]="",Tasks[[#This Row],[Baseline Duration]]=""),"",Tasks[[#This Row],[_SpanDays]]-N(Tasks[[#This Row],[Baseline Duration]]))</f>
        <v/>
      </c>
      <c r="BL25" s="84">
        <f>IF(OR(Tasks[[#This Row],[Task Name]]="",Tasks[[#This Row],[Baseline Work]]=""),"",Tasks[[#This Row],[Work]]-N(Tasks[[#This Row],[Baseline Work]]))</f>
        <v/>
      </c>
      <c r="BM25" s="61">
        <f>IF(Tasks[[#This Row],[Task Name]]="","",IF(OR(TakeBaseline="Yes",N(Tasks[[#This Row],[Baseline Start]])=0),Tasks[[#This Row],[Start]],Tasks[[#This Row],[Baseline Start]]))</f>
        <v/>
      </c>
      <c r="BN25" s="61">
        <f>IF(Tasks[[#This Row],[Task Name]]="","",IF(OR(TakeBaseline="Yes",N(Tasks[[#This Row],[Baseline Finish]])=0),Tasks[[#This Row],[Finish]],Tasks[[#This Row],[Baseline Finish]]))</f>
        <v/>
      </c>
      <c r="BO25" s="21">
        <f>IF(Tasks[[#This Row],[Task Name]]="","",IF(OR(TakeBaseline="Yes",N(Tasks[[#This Row],[Baseline Duration]])=0),Tasks[[#This Row],[_SpanDays]],Tasks[[#This Row],[Baseline Duration]]))</f>
        <v/>
      </c>
      <c r="BP25" s="84">
        <f>IF(Tasks[[#This Row],[Task Name]]="","",IF(OR(TakeBaseline="Yes",N(Tasks[[#This Row],[Baseline Work]])=0),Tasks[[#This Row],[Work]],Tasks[[#This Row],[Baseline Work]]))</f>
        <v/>
      </c>
      <c r="BQ25" s="7" t="n"/>
      <c r="BR25" s="7" t="n"/>
      <c r="BS25" s="22" t="n"/>
      <c r="BT25" s="86" t="n"/>
      <c r="BU25" s="23" t="n"/>
      <c r="BV25" s="23" t="n"/>
      <c r="BW25" s="23" t="n"/>
      <c r="BX25" s="87">
        <f>IF(AND(Tasks[[#This Row],[_IsLeaf]]=1,ISNUMBER(Tasks[[#This Row],[Optimistic]]),ISNUMBER(Tasks[[#This Row],[Pessimistic]])),ROUND((Tasks[[#This Row],[Optimistic]]+4*N(Tasks[[#This Row],[_Days]])+Tasks[[#This Row],[Pessimistic]])/6,1),"")</f>
        <v/>
      </c>
      <c r="BY25" s="85" t="n"/>
      <c r="BZ25" s="85" t="n"/>
      <c r="CA25" s="22" t="n"/>
      <c r="CB25" s="42">
        <f>IF(Tasks[[#This Row],[Task Name]]="","",MAX(1,N(Tasks[[#This Row],[Level]])))</f>
        <v/>
      </c>
      <c r="CC25" s="42">
        <f>ROW()-ROW(Tasks[[#Headers],[ID]])</f>
        <v/>
      </c>
      <c r="CD25" s="42">
        <f>IF(OR(Tasks[[#This Row],[Task Name]]="",Tasks[[#This Row],[_Level]]&lt;=1),0,IFERROR(LOOKUP(2,1/(Tasks[[#Headers],[_Level]]:Tasks[[#This Row],[_Level]]=Tasks[[#This Row],[_Level]]-1),ROW(Tasks[[#Headers],[_Level]]:Tasks[[#This Row],[_Level]])),0))</f>
        <v/>
      </c>
      <c r="CE25" s="42">
        <f>IFERROR(N(INDEX(Tasks[_Level],Tasks[[#This Row],[_Row]]+1)),0)</f>
        <v/>
      </c>
      <c r="CF25" s="42">
        <f>AND(Tasks[[#This Row],[Task Name]]&lt;&gt;"",Tasks[[#This Row],[_NextLevel]]&gt;Tasks[[#This Row],[_Level]])</f>
        <v/>
      </c>
      <c r="CG25" s="42">
        <f>IF(Tasks[[#This Row],[_IsSummary]],COUNTIF(Tasks[WBS],Tasks[[#This Row],[WBS]]&amp;".*"),0)</f>
        <v/>
      </c>
      <c r="CH25" s="42">
        <f>IF(AND(Tasks[[#This Row],[Task Name]]&lt;&gt;"",NOT(Tasks[[#This Row],[_IsSummary]])),1,0)</f>
        <v/>
      </c>
      <c r="CI25" s="42">
        <f>IF(N(Tasks[[#This Row],[_Pred1UID]])=0,0,IFERROR(MATCH(Tasks[[#This Row],[_Pred1UID]],Tasks[UID],0),-1))</f>
        <v/>
      </c>
      <c r="CJ25" s="42">
        <f>IF(N(Tasks[[#This Row],[_Pred2UID]])=0,0,IFERROR(MATCH(Tasks[[#This Row],[_Pred2UID]],Tasks[UID],0),-1))</f>
        <v/>
      </c>
      <c r="CK25" s="42">
        <f>IF(N(Tasks[[#This Row],[_Pred3UID]])=0,0,IFERROR(MATCH(Tasks[[#This Row],[_Pred3UID]],Tasks[UID],0),-1))</f>
        <v/>
      </c>
      <c r="CL25" s="42">
        <f>IF(N(Tasks[[#This Row],[_Pred4UID]])=0,0,IFERROR(MATCH(Tasks[[#This Row],[_Pred4UID]],Tasks[UID],0),-1))</f>
        <v/>
      </c>
      <c r="CM2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5" s="88">
        <f>IF(N(Tasks[[#This Row],[Constraint Date]])=0,0,IF(AND(OR(Tasks[[#This Row],[_ConstraintCode]]=3,Tasks[[#This Row],[_ConstraintCode]]=6,Tasks[[#This Row],[_ConstraintCode]]=7),N(Tasks[[#This Row],[_Days]])&gt;1),WORKDAY.INTL(N(Tasks[[#This Row],[Constraint Date]]),-(N(Tasks[[#This Row],[_Days]])-1),WorkWeek,Holidays),N(Tasks[[#This Row],[Constraint Date]])))</f>
        <v/>
      </c>
      <c r="CO25" s="88">
        <f>IF(OR(Tasks[[#This Row],[_ConstraintCode]]=2,Tasks[[#This Row],[_ConstraintCode]]=3,Tasks[[#This Row],[_ConstraintCode]]=4,Tasks[[#This Row],[_ConstraintCode]]=6),Tasks[[#This Row],[_ConstraintStart]],0)</f>
        <v/>
      </c>
      <c r="CP25" s="88">
        <f>IF(OR(Tasks[[#This Row],[_ConstraintCode]]=2,Tasks[[#This Row],[_ConstraintCode]]=3,Tasks[[#This Row],[_ConstraintCode]]=5,Tasks[[#This Row],[_ConstraintCode]]=7),Tasks[[#This Row],[_ConstraintStart]],2958465)</f>
        <v/>
      </c>
      <c r="CQ2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5" s="88">
        <f>IF(NOT(Tasks[[#This Row],[_IsLeaf]]=1),"",IF(N(Tasks[[#This Row],[_Days]])&lt;=0,Tasks[[#This Row],[_LeafCalcStart]],WORKDAY.INTL(Tasks[[#This Row],[_LeafCalcStart]],Tasks[[#This Row],[_Days]]-1,WorkWeek,Holidays)))</f>
        <v/>
      </c>
      <c r="CS2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5" s="42">
        <f>IF(Tasks[[#This Row],[_Predecessors]]="","",TRIM(MID(SUBSTITUTE(SUBSTITUTE(SUBSTITUTE(UPPER(Tasks[[#This Row],[_Predecessors]]),";",",")," ",""),",",REPT(" ",99)),1,99)))</f>
        <v/>
      </c>
      <c r="CV25" s="42">
        <f>IF(Tasks[[#This Row],[_Pred1Text]]="","",IFERROR(VALUE(LEFT(Tasks[[#This Row],[_Pred1Text]],MIN(FIND("F",Tasks[[#This Row],[_Pred1Text]]&amp;"F"),FIND("S",Tasks[[#This Row],[_Pred1Text]]&amp;"S"),FIND("+",Tasks[[#This Row],[_Pred1Text]]&amp;"+"),FIND("-",Tasks[[#This Row],[_Pred1Text]]&amp;"-"))-1)),""))</f>
        <v/>
      </c>
      <c r="CW2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5" s="42">
        <f>IF(Tasks[[#This Row],[_Pred1Text]]="","",TRIM(MID(SUBSTITUTE(SUBSTITUTE(SUBSTITUTE(UPPER(Tasks[[#This Row],[_Predecessors]]),";",",")," ",""),",",REPT(" ",99)),100,99)))</f>
        <v/>
      </c>
      <c r="CZ25" s="42">
        <f>IF(Tasks[[#This Row],[_Pred2Text]]="","",IFERROR(VALUE(LEFT(Tasks[[#This Row],[_Pred2Text]],MIN(FIND("F",Tasks[[#This Row],[_Pred2Text]]&amp;"F"),FIND("S",Tasks[[#This Row],[_Pred2Text]]&amp;"S"),FIND("+",Tasks[[#This Row],[_Pred2Text]]&amp;"+"),FIND("-",Tasks[[#This Row],[_Pred2Text]]&amp;"-"))-1)),""))</f>
        <v/>
      </c>
      <c r="DA2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5" s="42">
        <f>IF(Tasks[[#This Row],[_Pred2Text]]="","",TRIM(MID(SUBSTITUTE(SUBSTITUTE(SUBSTITUTE(UPPER(Tasks[[#This Row],[_Predecessors]]),";",",")," ",""),",",REPT(" ",99)),199,99)))</f>
        <v/>
      </c>
      <c r="DD25" s="42">
        <f>IF(Tasks[[#This Row],[_Pred3Text]]="","",IFERROR(VALUE(LEFT(Tasks[[#This Row],[_Pred3Text]],MIN(FIND("F",Tasks[[#This Row],[_Pred3Text]]&amp;"F"),FIND("S",Tasks[[#This Row],[_Pred3Text]]&amp;"S"),FIND("+",Tasks[[#This Row],[_Pred3Text]]&amp;"+"),FIND("-",Tasks[[#This Row],[_Pred3Text]]&amp;"-"))-1)),""))</f>
        <v/>
      </c>
      <c r="DE2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5" s="42">
        <f>IF(Tasks[[#This Row],[_Pred3Text]]="","",TRIM(MID(SUBSTITUTE(SUBSTITUTE(SUBSTITUTE(UPPER(Tasks[[#This Row],[_Predecessors]]),";",",")," ",""),",",REPT(" ",99)),298,99)))</f>
        <v/>
      </c>
      <c r="DH25" s="42">
        <f>IF(Tasks[[#This Row],[_Pred4Text]]="","",IFERROR(VALUE(LEFT(Tasks[[#This Row],[_Pred4Text]],MIN(FIND("F",Tasks[[#This Row],[_Pred4Text]]&amp;"F"),FIND("S",Tasks[[#This Row],[_Pred4Text]]&amp;"S"),FIND("+",Tasks[[#This Row],[_Pred4Text]]&amp;"+"),FIND("-",Tasks[[#This Row],[_Pred4Text]]&amp;"-"))-1)),""))</f>
        <v/>
      </c>
      <c r="DI2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5" s="42">
        <f>IF(OR(Tasks[[#This Row],[Task Name]]="",Tasks[[#This Row],[_Resources]]=""),"",TRIM(MID(SUBSTITUTE(Tasks[[#This Row],[_Resources]],",",REPT(" ",99)),1,99)))</f>
        <v/>
      </c>
      <c r="DL25" s="42">
        <f>IF(Tasks[[#This Row],[_Res1Text]]="","",TRIM(MID(SUBSTITUTE(Tasks[[#This Row],[_Resources]],",",REPT(" ",99)),100,99)))</f>
        <v/>
      </c>
      <c r="DM25" s="42">
        <f>IF(Tasks[[#This Row],[_Res2Text]]="","",TRIM(MID(SUBSTITUTE(Tasks[[#This Row],[_Resources]],",",REPT(" ",99)),199,99)))</f>
        <v/>
      </c>
      <c r="DN25" s="42">
        <f>IF(Tasks[[#This Row],[_Res3Text]]="","",TRIM(MID(SUBSTITUTE(Tasks[[#This Row],[_Resources]],",",REPT(" ",99)),298,99)))</f>
        <v/>
      </c>
      <c r="DO25" s="42">
        <f>IF(Tasks[[#This Row],[_Res1Text]]="",0,IFERROR(MATCH(TRIM(LEFT(Tasks[[#This Row],[_Res1Text]],FIND("[",Tasks[[#This Row],[_Res1Text]]&amp;"[")-1)),res_Name,0),IFERROR(MATCH(TRIM(LEFT(Tasks[[#This Row],[_Res1Text]],FIND("[",Tasks[[#This Row],[_Res1Text]]&amp;"[")-1)),res_Initials,0),0)))</f>
        <v/>
      </c>
      <c r="DP25" s="42">
        <f>IF(Tasks[[#This Row],[_Res2Text]]="",0,IFERROR(MATCH(TRIM(LEFT(Tasks[[#This Row],[_Res2Text]],FIND("[",Tasks[[#This Row],[_Res2Text]]&amp;"[")-1)),res_Name,0),IFERROR(MATCH(TRIM(LEFT(Tasks[[#This Row],[_Res2Text]],FIND("[",Tasks[[#This Row],[_Res2Text]]&amp;"[")-1)),res_Initials,0),0)))</f>
        <v/>
      </c>
      <c r="DQ25" s="42">
        <f>IF(Tasks[[#This Row],[_Res3Text]]="",0,IFERROR(MATCH(TRIM(LEFT(Tasks[[#This Row],[_Res3Text]],FIND("[",Tasks[[#This Row],[_Res3Text]]&amp;"[")-1)),res_Name,0),IFERROR(MATCH(TRIM(LEFT(Tasks[[#This Row],[_Res3Text]],FIND("[",Tasks[[#This Row],[_Res3Text]]&amp;"[")-1)),res_Initials,0),0)))</f>
        <v/>
      </c>
      <c r="DR25" s="42">
        <f>IF(Tasks[[#This Row],[_Res4Text]]="",0,IFERROR(MATCH(TRIM(LEFT(Tasks[[#This Row],[_Res4Text]],FIND("[",Tasks[[#This Row],[_Res4Text]]&amp;"[")-1)),res_Name,0),IFERROR(MATCH(TRIM(LEFT(Tasks[[#This Row],[_Res4Text]],FIND("[",Tasks[[#This Row],[_Res4Text]]&amp;"[")-1)),res_Initials,0),0)))</f>
        <v/>
      </c>
      <c r="DS25" s="42">
        <f>IF(Tasks[[#This Row],[_Res1Text]]="","",IF(Tasks[[#This Row],[_Res1Row]]&gt;0,INDEX(res_Name,Tasks[[#This Row],[_Res1Row]]),TRIM(LEFT(Tasks[[#This Row],[_Res1Text]],FIND("[",Tasks[[#This Row],[_Res1Text]]&amp;"[")-1))))</f>
        <v/>
      </c>
      <c r="DT2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5" s="42">
        <f>IF(NOT(Tasks[[#This Row],[_IsLeaf]]=1),0,(Tasks[[#This Row],[_Resource1]]&lt;&gt;"")+(Tasks[[#This Row],[_Res2]]&lt;&gt;"")+(Tasks[[#This Row],[_Res3]]&lt;&gt;"")+(Tasks[[#This Row],[_Res4]]&lt;&gt;""))</f>
        <v/>
      </c>
      <c r="DV25" s="42">
        <f>IF(Tasks[[#This Row],[_Res2Text]]="","",IF(Tasks[[#This Row],[_Res2Row]]&gt;0,INDEX(res_Name,Tasks[[#This Row],[_Res2Row]]),TRIM(LEFT(Tasks[[#This Row],[_Res2Text]],FIND("[",Tasks[[#This Row],[_Res2Text]]&amp;"[")-1))))</f>
        <v/>
      </c>
      <c r="DW2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5" s="42">
        <f>IF(OR(NOT(Tasks[[#This Row],[_IsLeaf]]=1),Tasks[[#This Row],[_Res2Row]]=0),0,N(Tasks[[#This Row],[_Days]])*HoursPerDay*IF(Tasks[[#This Row],[_Res2Units]]="",DefaultUnits,Tasks[[#This Row],[_Res2Units]]))</f>
        <v/>
      </c>
      <c r="DY25" s="42">
        <f>IF(AND(AND(Tasks[[#This Row],[_IsLeaf]]=1,Tasks[[#This Row],[_LeafTotalWork]]&gt;0),Tasks[[#This Row],[_Res2Work]]&gt;0),Tasks[[#This Row],[_Res2Work]]/(Tasks[[#This Row],[_FinishWorkday]]-Tasks[[#This Row],[_StartWorkday]]+1),0)</f>
        <v/>
      </c>
      <c r="DZ25" s="42">
        <f>Tasks[[#This Row],[_Res2WorkPerWD]]*MAX(0,Tasks[[#This Row],[_StartWorkday]]-1)</f>
        <v/>
      </c>
      <c r="EA25" s="42">
        <f>Tasks[[#This Row],[_Res2Work]]*Tasks[[#This Row],[_LeafProgress]]</f>
        <v/>
      </c>
      <c r="EB25" s="42">
        <f>IF(Tasks[[#This Row],[_Res3Text]]="","",IF(Tasks[[#This Row],[_Res3Row]]&gt;0,INDEX(res_Name,Tasks[[#This Row],[_Res3Row]]),TRIM(LEFT(Tasks[[#This Row],[_Res3Text]],FIND("[",Tasks[[#This Row],[_Res3Text]]&amp;"[")-1))))</f>
        <v/>
      </c>
      <c r="EC2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5" s="42">
        <f>IF(OR(NOT(Tasks[[#This Row],[_IsLeaf]]=1),Tasks[[#This Row],[_Res3Row]]=0),0,N(Tasks[[#This Row],[_Days]])*HoursPerDay*IF(Tasks[[#This Row],[_Res3Units]]="",DefaultUnits,Tasks[[#This Row],[_Res3Units]]))</f>
        <v/>
      </c>
      <c r="EE25" s="42">
        <f>IF(AND(AND(Tasks[[#This Row],[_IsLeaf]]=1,Tasks[[#This Row],[_LeafTotalWork]]&gt;0),Tasks[[#This Row],[_Res3Work]]&gt;0),Tasks[[#This Row],[_Res3Work]]/(Tasks[[#This Row],[_FinishWorkday]]-Tasks[[#This Row],[_StartWorkday]]+1),0)</f>
        <v/>
      </c>
      <c r="EF25" s="42">
        <f>Tasks[[#This Row],[_Res3WorkPerWD]]*MAX(0,Tasks[[#This Row],[_StartWorkday]]-1)</f>
        <v/>
      </c>
      <c r="EG25" s="42">
        <f>Tasks[[#This Row],[_Res3Work]]*Tasks[[#This Row],[_LeafProgress]]</f>
        <v/>
      </c>
      <c r="EH25" s="42">
        <f>IF(Tasks[[#This Row],[_Res4Text]]="","",IF(Tasks[[#This Row],[_Res4Row]]&gt;0,INDEX(res_Name,Tasks[[#This Row],[_Res4Row]]),TRIM(LEFT(Tasks[[#This Row],[_Res4Text]],FIND("[",Tasks[[#This Row],[_Res4Text]]&amp;"[")-1))))</f>
        <v/>
      </c>
      <c r="EI2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5" s="42">
        <f>IF(OR(NOT(Tasks[[#This Row],[_IsLeaf]]=1),Tasks[[#This Row],[_Res4Row]]=0),0,N(Tasks[[#This Row],[_Days]])*HoursPerDay*IF(Tasks[[#This Row],[_Res4Units]]="",DefaultUnits,Tasks[[#This Row],[_Res4Units]]))</f>
        <v/>
      </c>
      <c r="EK25" s="42">
        <f>IF(AND(AND(Tasks[[#This Row],[_IsLeaf]]=1,Tasks[[#This Row],[_LeafTotalWork]]&gt;0),Tasks[[#This Row],[_Res4Work]]&gt;0),Tasks[[#This Row],[_Res4Work]]/(Tasks[[#This Row],[_FinishWorkday]]-Tasks[[#This Row],[_StartWorkday]]+1),0)</f>
        <v/>
      </c>
      <c r="EL25" s="42">
        <f>Tasks[[#This Row],[_Res4WorkPerWD]]*MAX(0,Tasks[[#This Row],[_StartWorkday]]-1)</f>
        <v/>
      </c>
      <c r="EM25" s="42">
        <f>Tasks[[#This Row],[_Res4Work]]*Tasks[[#This Row],[_LeafProgress]]</f>
        <v/>
      </c>
      <c r="EN25" s="42">
        <f>IF(ISNUMBER(Tasks[[#This Row],[% Complete]]),Tasks[[#This Row],[% Complete]],IF(Tasks[[#This Row],[Stage]]="",0,IFERROR(INDEX(stg_Pct,MATCH(Tasks[[#This Row],[Stage]],stg_Name,0)),0)))</f>
        <v/>
      </c>
      <c r="EO25" s="42">
        <f>IF(NOT(Tasks[[#This Row],[_IsLeaf]]=1),0,IF(N(Tasks[[#This Row],[Actual Finish]])&gt;0,1,MIN(1,Tasks[[#This Row],[_Pct]])))</f>
        <v/>
      </c>
      <c r="EP25" s="42">
        <f>IF(OR(NOT(Tasks[[#This Row],[_IsLeaf]]=1),Tasks[[#This Row],[_Res1Row]]=0),0,N(Tasks[[#This Row],[_Days]])*HoursPerDay*IF(Tasks[[#This Row],[_Units1]]="",DefaultUnits,Tasks[[#This Row],[_Units1]]))</f>
        <v/>
      </c>
      <c r="EQ25" s="42">
        <f>Tasks[[#This Row],[_LeafWork]]+Tasks[[#This Row],[_Res2Work]]+Tasks[[#This Row],[_Res3Work]]+Tasks[[#This Row],[_Res4Work]]</f>
        <v/>
      </c>
      <c r="ER2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5" s="42">
        <f>IF(NOT(Tasks[[#This Row],[_IsLeaf]]=1),0,MAX(_xlfn.MAXIFS(Tasks[_Row],Tasks[_Pred1UID],Tasks[[#This Row],[UID]]),_xlfn.MAXIFS(Tasks[_Row],Tasks[_Pred2UID],Tasks[[#This Row],[UID]]),_xlfn.MAXIFS(Tasks[_Row],Tasks[_Pred3UID],Tasks[[#This Row],[UID]]),_xlfn.MAXIFS(Tasks[_Row],Tasks[_Pred4UID],Tasks[[#This Row],[UID]])))</f>
        <v/>
      </c>
      <c r="FA2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5" s="88">
        <f>IF(NOT(Tasks[[#This Row],[_IsLeaf]]=1),"",IF(N(Tasks[[#This Row],[_Days]])&lt;=0,Tasks[[#This Row],[_LeafLateFinish]],WORKDAY.INTL(Tasks[[#This Row],[_LeafLateFinish]],-(Tasks[[#This Row],[_Days]]-1),WorkWeek,Holidays)))</f>
        <v/>
      </c>
      <c r="FD2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5" s="42">
        <f>AND(Tasks[[#This Row],[_IsLeaf]]=1,Tasks[[#This Row],[_LeafProgress]]&lt;1,N(Tasks[[#This Row],[_LeafTotalSlack]])&lt;=CriticalSlackDays)</f>
        <v/>
      </c>
      <c r="FF25" s="42">
        <f>IF(AND(Tasks[[#This Row],[_IsLeaf]]=1,Tasks[[#This Row],[_ConstraintCode]]=1,Tasks[[#This Row],[Mode]]&lt;&gt;"Manual",N(Tasks[[#This Row],[Actual Start]])=0),MAX(0,N(Tasks[[#This Row],[Free Slack]])),0)</f>
        <v/>
      </c>
      <c r="FG25" s="88">
        <f>IF(NOT(Tasks[[#This Row],[_IsLeaf]]=1),"",IF(Tasks[[#This Row],[_AlapShift]]=0,Tasks[[#This Row],[_LeafCalcStart]],WORKDAY.INTL(Tasks[[#This Row],[_LeafCalcStart]],Tasks[[#This Row],[_AlapShift]],WorkWeek,Holidays)))</f>
        <v/>
      </c>
      <c r="FH25" s="88">
        <f>IF(NOT(Tasks[[#This Row],[_IsLeaf]]=1),"",IF(Tasks[[#This Row],[_AlapShift]]=0,Tasks[[#This Row],[_LeafCalcFinish]],WORKDAY.INTL(Tasks[[#This Row],[_LeafCalcFinish]],Tasks[[#This Row],[_AlapShift]],WorkWeek,Holidays)))</f>
        <v/>
      </c>
      <c r="FI25" s="88">
        <f>IF(NOT(Tasks[[#This Row],[_IsLeaf]]=1),"",IF(Tasks[[#This Row],[_AlapShift]]=0,Tasks[[#This Row],[_LeafFcstStart]],WORKDAY.INTL(Tasks[[#This Row],[_LeafFcstStart]],Tasks[[#This Row],[_AlapShift]],WorkWeek,Holidays)))</f>
        <v/>
      </c>
      <c r="FJ25" s="88">
        <f>IF(NOT(Tasks[[#This Row],[_IsLeaf]]=1),"",IF(Tasks[[#This Row],[_AlapShift]]=0,Tasks[[#This Row],[_LeafFcstFinish]],WORKDAY.INTL(Tasks[[#This Row],[_LeafFcstFinish]],Tasks[[#This Row],[_AlapShift]],WorkWeek,Holidays)))</f>
        <v/>
      </c>
      <c r="FK25" s="88">
        <f>IF(Tasks[[#This Row],[Task Name]]="","",IF(Tasks[[#This Row],[_IsSummary]],MIN(INDEX(Tasks[_ShownCalcStart],Tasks[[#This Row],[_Row]]+1):INDEX(Tasks[_ShownCalcStart],Tasks[[#This Row],[_Row]]+Tasks[[#This Row],[_Descendants]])),Tasks[[#This Row],[_ShownCalcStart]]))</f>
        <v/>
      </c>
      <c r="FL25" s="88">
        <f>IF(Tasks[[#This Row],[Task Name]]="","",IF(Tasks[[#This Row],[_IsSummary]],MAX(INDEX(Tasks[_ShownCalcFinish],Tasks[[#This Row],[_Row]]+1):INDEX(Tasks[_ShownCalcFinish],Tasks[[#This Row],[_Row]]+Tasks[[#This Row],[_Descendants]])),Tasks[[#This Row],[_ShownCalcFinish]]))</f>
        <v/>
      </c>
      <c r="FM2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5" s="42">
        <f>IF(AND(Tasks[[#This Row],[_IsLeaf]]=1,Tasks[[#This Row],[_LeafTotalWork]]&gt;0),NETWORKDAYS.INTL(ProjectStart,Tasks[[#This Row],[_ShownFcstStart]],WorkWeek,Holidays),0)</f>
        <v/>
      </c>
      <c r="FZ25" s="42">
        <f>IF(AND(Tasks[[#This Row],[_IsLeaf]]=1,Tasks[[#This Row],[_LeafTotalWork]]&gt;0),MAX(Tasks[[#This Row],[_StartWorkday]],NETWORKDAYS.INTL(ProjectStart,Tasks[[#This Row],[_ShownFcstFinish]],WorkWeek,Holidays)),0)</f>
        <v/>
      </c>
      <c r="GA25" s="42">
        <f>IF(AND(Tasks[[#This Row],[_IsLeaf]]=1,Tasks[[#This Row],[_LeafTotalWork]]&gt;0),Tasks[[#This Row],[_LeafWork]]/(Tasks[[#This Row],[_FinishWorkday]]-Tasks[[#This Row],[_StartWorkday]]+1),0)</f>
        <v/>
      </c>
      <c r="GB25" s="42">
        <f>Tasks[[#This Row],[_WorkPerWorkday]]*(Tasks[[#This Row],[_StartWorkday]]-1)</f>
        <v/>
      </c>
      <c r="GC25" s="42">
        <f>IF(Tasks[[#This Row],[_IsLeaf]]=1,MAX(N(Tasks[[#This Row],[_Days]]),0.1),0)</f>
        <v/>
      </c>
      <c r="GD25" s="42">
        <f>Tasks[[#This Row],[_WeightDur]]*Tasks[[#This Row],[_LeafProgress]]</f>
        <v/>
      </c>
      <c r="GE25" s="42">
        <f>Tasks[[#This Row],[_WeightDur]]*Tasks[[#This Row],[_PlannedPct]]</f>
        <v/>
      </c>
      <c r="GF2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5" s="42">
        <f>IF(AND(Tasks[[#This Row],[_IsLeaf]]=1,N(Tasks[[#This Row],[_Days]])=0,Tasks[[#This Row],[_LeafProgress]]&lt;1),Tasks[[#This Row],[_ShownFcstFinish]]+Tasks[[#This Row],[_Row]]/100000,"")</f>
        <v/>
      </c>
      <c r="GH2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5" s="42">
        <f>IF(Tasks[[#This Row],[Task Name]]="","",LEFT(Tasks[[#This Row],[WBS]],FIND(".",Tasks[[#This Row],[WBS]]&amp;".")-1))</f>
        <v/>
      </c>
      <c r="GJ25" s="42">
        <f>IF(AND(Tasks[[#This Row],[Task Name]]&lt;&gt;"",Tasks[[#This Row],[_Level]]=1),Tasks[[#This Row],[_Row]],"")</f>
        <v/>
      </c>
      <c r="GK25" s="42">
        <f>IF(AND(Tasks[[#This Row],[_IsLeaf]]=1,N(Tasks[[#This Row],[_Days]])=0),Tasks[[#This Row],[Planned Finish]]+Tasks[[#This Row],[_Row]]/100000,"")</f>
        <v/>
      </c>
      <c r="GL25" s="42">
        <f>IF(AND(Tasks[[#This Row],[_IsLeaf]]=1,Tasks[[#This Row],[_LeafProgress]]&lt;1,OR(N(Tasks[[#This Row],[Finish Var]])&gt;0,Tasks[[#This Row],[Status]]="Late Start")),MAX(0,Tasks[[#This Row],[Finish Var]])+1-Tasks[[#This Row],[_Row]]/1000000,"")</f>
        <v/>
      </c>
      <c r="GM25" s="42">
        <f>IF(AND(Tasks[[#This Row],[_IsLeaf]]=1,N(Tasks[[#This Row],[Actual Start]])=0,Tasks[[#This Row],[_ShownFcstStart]]&gt;=StatusDate,Tasks[[#This Row],[_ShownFcstStart]]&lt;=LookaheadEnd),Tasks[[#This Row],[_ShownFcstStart]]+Tasks[[#This Row],[_Row]]/100000,"")</f>
        <v/>
      </c>
      <c r="GN25" s="42">
        <f>IF(AND(Tasks[[#This Row],[_IsLeaf]]=1,Tasks[[#This Row],[_LeafProgress]]&lt;1,Tasks[[#This Row],[_ShownFcstFinish]]&gt;=StatusDate,Tasks[[#This Row],[_ShownFcstFinish]]&lt;=LookaheadEnd),Tasks[[#This Row],[_ShownFcstFinish]]+Tasks[[#This Row],[_Row]]/100000,"")</f>
        <v/>
      </c>
      <c r="GO25" s="42">
        <f>IF(Tasks[[#This Row],[_LeafCritical]],Tasks[[#This Row],[_ShownFcstStart]]+Tasks[[#This Row],[_Row]]/100000,"")</f>
        <v/>
      </c>
      <c r="GP25" s="42">
        <f>Tasks[[#This Row],[_LeafWork]]*Tasks[[#This Row],[_LeafProgress]]</f>
        <v/>
      </c>
      <c r="GQ25" s="88">
        <f>IF(AND(Tasks[[#This Row],[_IsLeaf]]=1,Tasks[[#This Row],[_LeafProgress]]&gt;=1),IF(N(Tasks[[#This Row],[Actual Finish]])&gt;0,Tasks[[#This Row],[Actual Finish]],Tasks[[#This Row],[_ShownFcstFinish]]),"")</f>
        <v/>
      </c>
      <c r="GR25" s="42">
        <f>IF(Tasks[[#This Row],[_IsLeaf]]=1,N(Tasks[[#This Row],[Story Points]]),0)</f>
        <v/>
      </c>
      <c r="GS25" s="42">
        <f>""</f>
        <v/>
      </c>
      <c r="GT25" s="42">
        <f>IF(Tasks[[#This Row],[Task Name]]="",FALSE(),AND(Tasks[[#This Row],[_IsLeaf]]=1,N(Tasks[[#This Row],[_Days]])=0))</f>
        <v/>
      </c>
      <c r="GU25" s="88">
        <f>IF(Tasks[[#This Row],[Task Name]]="",0,IF(AND(Tasks[[#This Row],[_IsLeaf]]=1,NOT(Tasks[[#This Row],[_IsMilestone]]),N(Tasks[[#This Row],[Progress]])&gt;0),Tasks[[#This Row],[Start]],0))</f>
        <v/>
      </c>
      <c r="GV25" s="88">
        <f>IF(Tasks[[#This Row],[_DoneFrom]]=0,0,IF(Tasks[[#This Row],[Progress]]&gt;=1,Tasks[[#This Row],[Finish]],MAX(Tasks[[#This Row],[_DoneFrom]],Tasks[[#This Row],[Start]]+ROUND((Tasks[[#This Row],[Finish]]-Tasks[[#This Row],[Start]]+1)*Tasks[[#This Row],[Progress]],0)-1)))</f>
        <v/>
      </c>
      <c r="GW25" s="88">
        <f>IF(Tasks[[#This Row],[Task Name]]="",0,IF(OR(NOT(Tasks[[#This Row],[_IsLeaf]]=1),Tasks[[#This Row],[_IsMilestone]],N(Tasks[[#This Row],[Progress]])&gt;=1),0,IF(Tasks[[#This Row],[_DoneTo]]&gt;0,Tasks[[#This Row],[_DoneTo]]+1,Tasks[[#This Row],[Start]])))</f>
        <v/>
      </c>
      <c r="GX25" s="88">
        <f>IF(Tasks[[#This Row],[_RemFrom]]=0,0,Tasks[[#This Row],[Finish]])</f>
        <v/>
      </c>
      <c r="GY25" s="42">
        <f>IF(Tasks[[#This Row],[Task Name]]="",FALSE(),OR(NOT(BaselineSet),N(Tasks[[#This Row],[Baseline Start]])&gt;0))</f>
        <v/>
      </c>
      <c r="GZ25" s="42">
        <f>IF(AND(Sandbox="Yes",L_PARSE_DURATION(Tasks[[#This Row],[Sandbox Duration]])&lt;&gt;""),L_PARSE_DURATION(Tasks[[#This Row],[Sandbox Duration]]),L_PARSE_DURATION(Tasks[[#This Row],[Duration]]))</f>
        <v/>
      </c>
      <c r="HA2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5" s="42">
        <f>IF(Tasks[[#This Row],[_IsLeaf]]=1,Tasks[[#This Row],[_Row]],"")</f>
        <v/>
      </c>
      <c r="HD25" s="42">
        <f>IFERROR(INDEX(Tasks[UID],SMALL(Tasks[_PickKey],Tasks[[#This Row],[_Row]]))&amp;" "&amp;INDEX(Tasks[Task Name],SMALL(Tasks[_PickKey],Tasks[[#This Row],[_Row]])),"")</f>
        <v/>
      </c>
      <c r="HE25" s="42">
        <f>IF(Tasks[[#This Row],[Task Name]]="","",IF(Tasks[[#This Row],[_IsSummary]],NETWORKDAYS.INTL(Tasks[[#This Row],[Start]],Tasks[[#This Row],[Finish]],WorkWeek,Holidays),N(Tasks[[#This Row],[_Days]])))</f>
        <v/>
      </c>
      <c r="HF25" s="42">
        <f>IF(Tasks[[#This Row],[Expected]]="",0,((Tasks[[#This Row],[Pessimistic]]-Tasks[[#This Row],[Optimistic]])/6)^2)</f>
        <v/>
      </c>
      <c r="HG25" s="42">
        <f>IF(Tasks[[#This Row],[Expected]]="",0,Tasks[[#This Row],[Expected]]-N(Tasks[[#This Row],[_Days]]))</f>
        <v/>
      </c>
    </row>
    <row r="26">
      <c r="A26" s="21">
        <f>IF(Tasks[[#This Row],[Task Name]]="","",COUNTA(Tasks[[#Headers],[Task Name]]:Tasks[[#This Row],[Task Name]])-1)</f>
        <v/>
      </c>
      <c r="B26" s="22" t="n">
        <v>34</v>
      </c>
      <c r="C26" s="22" t="n"/>
      <c r="D26" s="23" t="n"/>
      <c r="E26" s="22" t="n"/>
      <c r="F26" s="23" t="n"/>
      <c r="G26" s="22" t="n"/>
      <c r="H26" s="22" t="n"/>
      <c r="I26" s="23" t="n"/>
      <c r="J26" s="22" t="n"/>
      <c r="K26" s="22" t="n"/>
      <c r="L26" s="23" t="n"/>
      <c r="M26" s="22" t="n"/>
      <c r="N26" s="22" t="n"/>
      <c r="O26" s="23" t="n"/>
      <c r="P26" s="22" t="n"/>
      <c r="Q26" s="22" t="n"/>
      <c r="R26" s="23" t="n"/>
      <c r="S26" s="23" t="n"/>
      <c r="T26" s="82" t="n"/>
      <c r="U26" s="23" t="n"/>
      <c r="V26" s="82" t="n"/>
      <c r="W26" s="23" t="n"/>
      <c r="X26" s="82" t="n"/>
      <c r="Y26" s="23" t="n"/>
      <c r="Z26" s="82" t="n"/>
      <c r="AA26" s="23" t="n"/>
      <c r="AB26" s="23" t="n"/>
      <c r="AC26" s="7" t="n"/>
      <c r="AD26" s="7" t="n"/>
      <c r="AE26" s="61">
        <f>IF(Tasks[[#This Row],[Task Name]]="","",IF(Tasks[[#This Row],[_IsSummary]],MIN(INDEX(Tasks[_ShownFcstStart],Tasks[[#This Row],[_Row]]+1):INDEX(Tasks[_ShownFcstStart],Tasks[[#This Row],[_Row]]+Tasks[[#This Row],[_Descendants]])),Tasks[[#This Row],[_ShownFcstStart]]))</f>
        <v/>
      </c>
      <c r="AF26" s="61">
        <f>IF(Tasks[[#This Row],[Task Name]]="","",IF(Tasks[[#This Row],[_IsSummary]],MAX(INDEX(Tasks[_ShownFcstFinish],Tasks[[#This Row],[_Row]]+1):INDEX(Tasks[_ShownFcstFinish],Tasks[[#This Row],[_Row]]+Tasks[[#This Row],[_Descendants]])),Tasks[[#This Row],[_ShownFcstFinish]]))</f>
        <v/>
      </c>
      <c r="AG26" s="21">
        <f>""</f>
        <v/>
      </c>
      <c r="AH26" s="23" t="n"/>
      <c r="AI2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6" s="7" t="n"/>
      <c r="AK26" s="22" t="n"/>
      <c r="AL26" s="23" t="n"/>
      <c r="AM26" s="7" t="n"/>
      <c r="AN26" s="21">
        <f>IF(Tasks[[#This Row],[Task Name]]="","",IF(Tasks[[#This Row],[Finish]]&gt;=Tasks[[#This Row],[Planned Finish]],NETWORKDAYS.INTL(Tasks[[#This Row],[Planned Finish]],Tasks[[#This Row],[Finish]],WorkWeek,Holidays)-1,1-NETWORKDAYS.INTL(Tasks[[#This Row],[Finish]],Tasks[[#This Row],[Planned Finish]],WorkWeek,Holidays)))</f>
        <v/>
      </c>
      <c r="AO26" s="21">
        <f>IF(Tasks[[#This Row],[Task Name]]="","",IF(Tasks[[#This Row],[Progress]]&gt;=1,"Complete",IF(OR(N(Tasks[[#This Row],[Actual Start]])&gt;0,Tasks[[#This Row],[Progress]]&gt;0),IF(Tasks[[#This Row],[Finish Var]]&gt;0,"Behind","In Progress"),IF(Tasks[[#This Row],[Planned Start]]&lt;StatusDate,"Late Start","Not Started"))))</f>
        <v/>
      </c>
      <c r="AP26" s="21">
        <f>IF(Tasks[[#This Row],[Task Name]]="","",IF(IF(Tasks[[#This Row],[_IsSummary]],COUNTIF(INDEX(Tasks[_LeafCritical],Tasks[[#This Row],[_Row]]+1):INDEX(Tasks[_LeafCritical],Tasks[[#This Row],[_Row]]+Tasks[[#This Row],[_Descendants]]),TRUE())&gt;0,Tasks[[#This Row],[_LeafCritical]]),"Yes",""))</f>
        <v/>
      </c>
      <c r="AQ26" s="61">
        <f>IF(Tasks[[#This Row],[Task Name]]="","",IF(N(Tasks[[#This Row],[Baseline Start]])&gt;0,Tasks[[#This Row],[Baseline Start]],Tasks[[#This Row],[_CalcStart]]))</f>
        <v/>
      </c>
      <c r="AR26" s="61">
        <f>IF(Tasks[[#This Row],[Task Name]]="","",IF(N(Tasks[[#This Row],[Baseline Finish]])&gt;0,Tasks[[#This Row],[Baseline Finish]],Tasks[[#This Row],[_CalcFinish]]))</f>
        <v/>
      </c>
      <c r="AS26" s="21">
        <f>IF(Tasks[[#This Row],[Task Name]]="","",IF(Tasks[[#This Row],[Start]]&gt;=Tasks[[#This Row],[Planned Start]],NETWORKDAYS.INTL(Tasks[[#This Row],[Planned Start]],Tasks[[#This Row],[Start]],WorkWeek,Holidays)-1,1-NETWORKDAYS.INTL(Tasks[[#This Row],[Start]],Tasks[[#This Row],[Planned Start]],WorkWeek,Holidays)))</f>
        <v/>
      </c>
      <c r="AT26" s="61">
        <f>IF(Tasks[[#This Row],[Task Name]]="","",IF(Tasks[[#This Row],[_IsSummary]],MIN(INDEX(Tasks[_LeafLateStart],Tasks[[#This Row],[_Row]]+1):INDEX(Tasks[_LeafLateStart],Tasks[[#This Row],[_Row]]+Tasks[[#This Row],[_Descendants]])),Tasks[[#This Row],[_LeafLateStart]]))</f>
        <v/>
      </c>
      <c r="AU26" s="61">
        <f>IF(Tasks[[#This Row],[Task Name]]="","",IF(Tasks[[#This Row],[_IsSummary]],MAX(INDEX(Tasks[_LeafLateFinish],Tasks[[#This Row],[_Row]]+1):INDEX(Tasks[_LeafLateFinish],Tasks[[#This Row],[_Row]]+Tasks[[#This Row],[_Descendants]])),Tasks[[#This Row],[_LeafLateFinish]]))</f>
        <v/>
      </c>
      <c r="AV26" s="21">
        <f>IF(Tasks[[#This Row],[Task Name]]="","",IF(Tasks[[#This Row],[_IsSummary]],MIN(INDEX(Tasks[_LeafTotalSlack],Tasks[[#This Row],[_Row]]+1):INDEX(Tasks[_LeafTotalSlack],Tasks[[#This Row],[_Row]]+Tasks[[#This Row],[_Descendants]])),Tasks[[#This Row],[_LeafTotalSlack]]))</f>
        <v/>
      </c>
      <c r="AW2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3" t="n"/>
      <c r="BA2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f>IF(Tasks[[#This Row],[Task Name]]="","",IF(Tasks[[#This Row],[_Level]]&lt;=OutlineShowLevel,"Yes","No"))</f>
        <v/>
      </c>
      <c r="BE26" s="84">
        <f>IF(Tasks[[#This Row],[Task Name]]="","",IF(Tasks[[#This Row],[_IsSummary]],SUM(INDEX(Tasks[_LeafTotalWork],Tasks[[#This Row],[_Row]]+1):INDEX(Tasks[_LeafTotalWork],Tasks[[#This Row],[_Row]]+Tasks[[#This Row],[_Descendants]])),Tasks[[#This Row],[_LeafTotalWork]]))</f>
        <v/>
      </c>
      <c r="BF26" s="23" t="n"/>
      <c r="BG2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f>""</f>
        <v/>
      </c>
      <c r="BI26" s="85" t="n"/>
      <c r="BJ26" s="22" t="n"/>
      <c r="BK26" s="21">
        <f>IF(OR(Tasks[[#This Row],[Task Name]]="",Tasks[[#This Row],[Baseline Duration]]=""),"",Tasks[[#This Row],[_SpanDays]]-N(Tasks[[#This Row],[Baseline Duration]]))</f>
        <v/>
      </c>
      <c r="BL26" s="84">
        <f>IF(OR(Tasks[[#This Row],[Task Name]]="",Tasks[[#This Row],[Baseline Work]]=""),"",Tasks[[#This Row],[Work]]-N(Tasks[[#This Row],[Baseline Work]]))</f>
        <v/>
      </c>
      <c r="BM26" s="61">
        <f>IF(Tasks[[#This Row],[Task Name]]="","",IF(OR(TakeBaseline="Yes",N(Tasks[[#This Row],[Baseline Start]])=0),Tasks[[#This Row],[Start]],Tasks[[#This Row],[Baseline Start]]))</f>
        <v/>
      </c>
      <c r="BN26" s="61">
        <f>IF(Tasks[[#This Row],[Task Name]]="","",IF(OR(TakeBaseline="Yes",N(Tasks[[#This Row],[Baseline Finish]])=0),Tasks[[#This Row],[Finish]],Tasks[[#This Row],[Baseline Finish]]))</f>
        <v/>
      </c>
      <c r="BO26" s="21">
        <f>IF(Tasks[[#This Row],[Task Name]]="","",IF(OR(TakeBaseline="Yes",N(Tasks[[#This Row],[Baseline Duration]])=0),Tasks[[#This Row],[_SpanDays]],Tasks[[#This Row],[Baseline Duration]]))</f>
        <v/>
      </c>
      <c r="BP26" s="84">
        <f>IF(Tasks[[#This Row],[Task Name]]="","",IF(OR(TakeBaseline="Yes",N(Tasks[[#This Row],[Baseline Work]])=0),Tasks[[#This Row],[Work]],Tasks[[#This Row],[Baseline Work]]))</f>
        <v/>
      </c>
      <c r="BQ26" s="7" t="n"/>
      <c r="BR26" s="7" t="n"/>
      <c r="BS26" s="22" t="n"/>
      <c r="BT26" s="86" t="n"/>
      <c r="BU26" s="23" t="n"/>
      <c r="BV26" s="23" t="n"/>
      <c r="BW26" s="23" t="n"/>
      <c r="BX26" s="87">
        <f>IF(AND(Tasks[[#This Row],[_IsLeaf]]=1,ISNUMBER(Tasks[[#This Row],[Optimistic]]),ISNUMBER(Tasks[[#This Row],[Pessimistic]])),ROUND((Tasks[[#This Row],[Optimistic]]+4*N(Tasks[[#This Row],[_Days]])+Tasks[[#This Row],[Pessimistic]])/6,1),"")</f>
        <v/>
      </c>
      <c r="BY26" s="85" t="n"/>
      <c r="BZ26" s="85" t="n"/>
      <c r="CA26" s="22" t="n"/>
      <c r="CB26" s="42">
        <f>IF(Tasks[[#This Row],[Task Name]]="","",MAX(1,N(Tasks[[#This Row],[Level]])))</f>
        <v/>
      </c>
      <c r="CC26" s="42">
        <f>ROW()-ROW(Tasks[[#Headers],[ID]])</f>
        <v/>
      </c>
      <c r="CD26" s="42">
        <f>IF(OR(Tasks[[#This Row],[Task Name]]="",Tasks[[#This Row],[_Level]]&lt;=1),0,IFERROR(LOOKUP(2,1/(Tasks[[#Headers],[_Level]]:Tasks[[#This Row],[_Level]]=Tasks[[#This Row],[_Level]]-1),ROW(Tasks[[#Headers],[_Level]]:Tasks[[#This Row],[_Level]])),0))</f>
        <v/>
      </c>
      <c r="CE26" s="42">
        <f>IFERROR(N(INDEX(Tasks[_Level],Tasks[[#This Row],[_Row]]+1)),0)</f>
        <v/>
      </c>
      <c r="CF26" s="42">
        <f>AND(Tasks[[#This Row],[Task Name]]&lt;&gt;"",Tasks[[#This Row],[_NextLevel]]&gt;Tasks[[#This Row],[_Level]])</f>
        <v/>
      </c>
      <c r="CG26" s="42">
        <f>IF(Tasks[[#This Row],[_IsSummary]],COUNTIF(Tasks[WBS],Tasks[[#This Row],[WBS]]&amp;".*"),0)</f>
        <v/>
      </c>
      <c r="CH26" s="42">
        <f>IF(AND(Tasks[[#This Row],[Task Name]]&lt;&gt;"",NOT(Tasks[[#This Row],[_IsSummary]])),1,0)</f>
        <v/>
      </c>
      <c r="CI26" s="42">
        <f>IF(N(Tasks[[#This Row],[_Pred1UID]])=0,0,IFERROR(MATCH(Tasks[[#This Row],[_Pred1UID]],Tasks[UID],0),-1))</f>
        <v/>
      </c>
      <c r="CJ26" s="42">
        <f>IF(N(Tasks[[#This Row],[_Pred2UID]])=0,0,IFERROR(MATCH(Tasks[[#This Row],[_Pred2UID]],Tasks[UID],0),-1))</f>
        <v/>
      </c>
      <c r="CK26" s="42">
        <f>IF(N(Tasks[[#This Row],[_Pred3UID]])=0,0,IFERROR(MATCH(Tasks[[#This Row],[_Pred3UID]],Tasks[UID],0),-1))</f>
        <v/>
      </c>
      <c r="CL26" s="42">
        <f>IF(N(Tasks[[#This Row],[_Pred4UID]])=0,0,IFERROR(MATCH(Tasks[[#This Row],[_Pred4UID]],Tasks[UID],0),-1))</f>
        <v/>
      </c>
      <c r="CM2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6" s="88">
        <f>IF(N(Tasks[[#This Row],[Constraint Date]])=0,0,IF(AND(OR(Tasks[[#This Row],[_ConstraintCode]]=3,Tasks[[#This Row],[_ConstraintCode]]=6,Tasks[[#This Row],[_ConstraintCode]]=7),N(Tasks[[#This Row],[_Days]])&gt;1),WORKDAY.INTL(N(Tasks[[#This Row],[Constraint Date]]),-(N(Tasks[[#This Row],[_Days]])-1),WorkWeek,Holidays),N(Tasks[[#This Row],[Constraint Date]])))</f>
        <v/>
      </c>
      <c r="CO26" s="88">
        <f>IF(OR(Tasks[[#This Row],[_ConstraintCode]]=2,Tasks[[#This Row],[_ConstraintCode]]=3,Tasks[[#This Row],[_ConstraintCode]]=4,Tasks[[#This Row],[_ConstraintCode]]=6),Tasks[[#This Row],[_ConstraintStart]],0)</f>
        <v/>
      </c>
      <c r="CP26" s="88">
        <f>IF(OR(Tasks[[#This Row],[_ConstraintCode]]=2,Tasks[[#This Row],[_ConstraintCode]]=3,Tasks[[#This Row],[_ConstraintCode]]=5,Tasks[[#This Row],[_ConstraintCode]]=7),Tasks[[#This Row],[_ConstraintStart]],2958465)</f>
        <v/>
      </c>
      <c r="CQ2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6" s="88">
        <f>IF(NOT(Tasks[[#This Row],[_IsLeaf]]=1),"",IF(N(Tasks[[#This Row],[_Days]])&lt;=0,Tasks[[#This Row],[_LeafCalcStart]],WORKDAY.INTL(Tasks[[#This Row],[_LeafCalcStart]],Tasks[[#This Row],[_Days]]-1,WorkWeek,Holidays)))</f>
        <v/>
      </c>
      <c r="CS2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6" s="42">
        <f>IF(Tasks[[#This Row],[_Predecessors]]="","",TRIM(MID(SUBSTITUTE(SUBSTITUTE(SUBSTITUTE(UPPER(Tasks[[#This Row],[_Predecessors]]),";",",")," ",""),",",REPT(" ",99)),1,99)))</f>
        <v/>
      </c>
      <c r="CV26" s="42">
        <f>IF(Tasks[[#This Row],[_Pred1Text]]="","",IFERROR(VALUE(LEFT(Tasks[[#This Row],[_Pred1Text]],MIN(FIND("F",Tasks[[#This Row],[_Pred1Text]]&amp;"F"),FIND("S",Tasks[[#This Row],[_Pred1Text]]&amp;"S"),FIND("+",Tasks[[#This Row],[_Pred1Text]]&amp;"+"),FIND("-",Tasks[[#This Row],[_Pred1Text]]&amp;"-"))-1)),""))</f>
        <v/>
      </c>
      <c r="CW2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6" s="42">
        <f>IF(Tasks[[#This Row],[_Pred1Text]]="","",TRIM(MID(SUBSTITUTE(SUBSTITUTE(SUBSTITUTE(UPPER(Tasks[[#This Row],[_Predecessors]]),";",",")," ",""),",",REPT(" ",99)),100,99)))</f>
        <v/>
      </c>
      <c r="CZ26" s="42">
        <f>IF(Tasks[[#This Row],[_Pred2Text]]="","",IFERROR(VALUE(LEFT(Tasks[[#This Row],[_Pred2Text]],MIN(FIND("F",Tasks[[#This Row],[_Pred2Text]]&amp;"F"),FIND("S",Tasks[[#This Row],[_Pred2Text]]&amp;"S"),FIND("+",Tasks[[#This Row],[_Pred2Text]]&amp;"+"),FIND("-",Tasks[[#This Row],[_Pred2Text]]&amp;"-"))-1)),""))</f>
        <v/>
      </c>
      <c r="DA2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6" s="42">
        <f>IF(Tasks[[#This Row],[_Pred2Text]]="","",TRIM(MID(SUBSTITUTE(SUBSTITUTE(SUBSTITUTE(UPPER(Tasks[[#This Row],[_Predecessors]]),";",",")," ",""),",",REPT(" ",99)),199,99)))</f>
        <v/>
      </c>
      <c r="DD26" s="42">
        <f>IF(Tasks[[#This Row],[_Pred3Text]]="","",IFERROR(VALUE(LEFT(Tasks[[#This Row],[_Pred3Text]],MIN(FIND("F",Tasks[[#This Row],[_Pred3Text]]&amp;"F"),FIND("S",Tasks[[#This Row],[_Pred3Text]]&amp;"S"),FIND("+",Tasks[[#This Row],[_Pred3Text]]&amp;"+"),FIND("-",Tasks[[#This Row],[_Pred3Text]]&amp;"-"))-1)),""))</f>
        <v/>
      </c>
      <c r="DE2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6" s="42">
        <f>IF(Tasks[[#This Row],[_Pred3Text]]="","",TRIM(MID(SUBSTITUTE(SUBSTITUTE(SUBSTITUTE(UPPER(Tasks[[#This Row],[_Predecessors]]),";",",")," ",""),",",REPT(" ",99)),298,99)))</f>
        <v/>
      </c>
      <c r="DH26" s="42">
        <f>IF(Tasks[[#This Row],[_Pred4Text]]="","",IFERROR(VALUE(LEFT(Tasks[[#This Row],[_Pred4Text]],MIN(FIND("F",Tasks[[#This Row],[_Pred4Text]]&amp;"F"),FIND("S",Tasks[[#This Row],[_Pred4Text]]&amp;"S"),FIND("+",Tasks[[#This Row],[_Pred4Text]]&amp;"+"),FIND("-",Tasks[[#This Row],[_Pred4Text]]&amp;"-"))-1)),""))</f>
        <v/>
      </c>
      <c r="DI2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6" s="42">
        <f>IF(OR(Tasks[[#This Row],[Task Name]]="",Tasks[[#This Row],[_Resources]]=""),"",TRIM(MID(SUBSTITUTE(Tasks[[#This Row],[_Resources]],",",REPT(" ",99)),1,99)))</f>
        <v/>
      </c>
      <c r="DL26" s="42">
        <f>IF(Tasks[[#This Row],[_Res1Text]]="","",TRIM(MID(SUBSTITUTE(Tasks[[#This Row],[_Resources]],",",REPT(" ",99)),100,99)))</f>
        <v/>
      </c>
      <c r="DM26" s="42">
        <f>IF(Tasks[[#This Row],[_Res2Text]]="","",TRIM(MID(SUBSTITUTE(Tasks[[#This Row],[_Resources]],",",REPT(" ",99)),199,99)))</f>
        <v/>
      </c>
      <c r="DN26" s="42">
        <f>IF(Tasks[[#This Row],[_Res3Text]]="","",TRIM(MID(SUBSTITUTE(Tasks[[#This Row],[_Resources]],",",REPT(" ",99)),298,99)))</f>
        <v/>
      </c>
      <c r="DO26" s="42">
        <f>IF(Tasks[[#This Row],[_Res1Text]]="",0,IFERROR(MATCH(TRIM(LEFT(Tasks[[#This Row],[_Res1Text]],FIND("[",Tasks[[#This Row],[_Res1Text]]&amp;"[")-1)),res_Name,0),IFERROR(MATCH(TRIM(LEFT(Tasks[[#This Row],[_Res1Text]],FIND("[",Tasks[[#This Row],[_Res1Text]]&amp;"[")-1)),res_Initials,0),0)))</f>
        <v/>
      </c>
      <c r="DP26" s="42">
        <f>IF(Tasks[[#This Row],[_Res2Text]]="",0,IFERROR(MATCH(TRIM(LEFT(Tasks[[#This Row],[_Res2Text]],FIND("[",Tasks[[#This Row],[_Res2Text]]&amp;"[")-1)),res_Name,0),IFERROR(MATCH(TRIM(LEFT(Tasks[[#This Row],[_Res2Text]],FIND("[",Tasks[[#This Row],[_Res2Text]]&amp;"[")-1)),res_Initials,0),0)))</f>
        <v/>
      </c>
      <c r="DQ26" s="42">
        <f>IF(Tasks[[#This Row],[_Res3Text]]="",0,IFERROR(MATCH(TRIM(LEFT(Tasks[[#This Row],[_Res3Text]],FIND("[",Tasks[[#This Row],[_Res3Text]]&amp;"[")-1)),res_Name,0),IFERROR(MATCH(TRIM(LEFT(Tasks[[#This Row],[_Res3Text]],FIND("[",Tasks[[#This Row],[_Res3Text]]&amp;"[")-1)),res_Initials,0),0)))</f>
        <v/>
      </c>
      <c r="DR26" s="42">
        <f>IF(Tasks[[#This Row],[_Res4Text]]="",0,IFERROR(MATCH(TRIM(LEFT(Tasks[[#This Row],[_Res4Text]],FIND("[",Tasks[[#This Row],[_Res4Text]]&amp;"[")-1)),res_Name,0),IFERROR(MATCH(TRIM(LEFT(Tasks[[#This Row],[_Res4Text]],FIND("[",Tasks[[#This Row],[_Res4Text]]&amp;"[")-1)),res_Initials,0),0)))</f>
        <v/>
      </c>
      <c r="DS26" s="42">
        <f>IF(Tasks[[#This Row],[_Res1Text]]="","",IF(Tasks[[#This Row],[_Res1Row]]&gt;0,INDEX(res_Name,Tasks[[#This Row],[_Res1Row]]),TRIM(LEFT(Tasks[[#This Row],[_Res1Text]],FIND("[",Tasks[[#This Row],[_Res1Text]]&amp;"[")-1))))</f>
        <v/>
      </c>
      <c r="DT2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6" s="42">
        <f>IF(NOT(Tasks[[#This Row],[_IsLeaf]]=1),0,(Tasks[[#This Row],[_Resource1]]&lt;&gt;"")+(Tasks[[#This Row],[_Res2]]&lt;&gt;"")+(Tasks[[#This Row],[_Res3]]&lt;&gt;"")+(Tasks[[#This Row],[_Res4]]&lt;&gt;""))</f>
        <v/>
      </c>
      <c r="DV26" s="42">
        <f>IF(Tasks[[#This Row],[_Res2Text]]="","",IF(Tasks[[#This Row],[_Res2Row]]&gt;0,INDEX(res_Name,Tasks[[#This Row],[_Res2Row]]),TRIM(LEFT(Tasks[[#This Row],[_Res2Text]],FIND("[",Tasks[[#This Row],[_Res2Text]]&amp;"[")-1))))</f>
        <v/>
      </c>
      <c r="DW2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6" s="42">
        <f>IF(OR(NOT(Tasks[[#This Row],[_IsLeaf]]=1),Tasks[[#This Row],[_Res2Row]]=0),0,N(Tasks[[#This Row],[_Days]])*HoursPerDay*IF(Tasks[[#This Row],[_Res2Units]]="",DefaultUnits,Tasks[[#This Row],[_Res2Units]]))</f>
        <v/>
      </c>
      <c r="DY26" s="42">
        <f>IF(AND(AND(Tasks[[#This Row],[_IsLeaf]]=1,Tasks[[#This Row],[_LeafTotalWork]]&gt;0),Tasks[[#This Row],[_Res2Work]]&gt;0),Tasks[[#This Row],[_Res2Work]]/(Tasks[[#This Row],[_FinishWorkday]]-Tasks[[#This Row],[_StartWorkday]]+1),0)</f>
        <v/>
      </c>
      <c r="DZ26" s="42">
        <f>Tasks[[#This Row],[_Res2WorkPerWD]]*MAX(0,Tasks[[#This Row],[_StartWorkday]]-1)</f>
        <v/>
      </c>
      <c r="EA26" s="42">
        <f>Tasks[[#This Row],[_Res2Work]]*Tasks[[#This Row],[_LeafProgress]]</f>
        <v/>
      </c>
      <c r="EB26" s="42">
        <f>IF(Tasks[[#This Row],[_Res3Text]]="","",IF(Tasks[[#This Row],[_Res3Row]]&gt;0,INDEX(res_Name,Tasks[[#This Row],[_Res3Row]]),TRIM(LEFT(Tasks[[#This Row],[_Res3Text]],FIND("[",Tasks[[#This Row],[_Res3Text]]&amp;"[")-1))))</f>
        <v/>
      </c>
      <c r="EC2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6" s="42">
        <f>IF(OR(NOT(Tasks[[#This Row],[_IsLeaf]]=1),Tasks[[#This Row],[_Res3Row]]=0),0,N(Tasks[[#This Row],[_Days]])*HoursPerDay*IF(Tasks[[#This Row],[_Res3Units]]="",DefaultUnits,Tasks[[#This Row],[_Res3Units]]))</f>
        <v/>
      </c>
      <c r="EE26" s="42">
        <f>IF(AND(AND(Tasks[[#This Row],[_IsLeaf]]=1,Tasks[[#This Row],[_LeafTotalWork]]&gt;0),Tasks[[#This Row],[_Res3Work]]&gt;0),Tasks[[#This Row],[_Res3Work]]/(Tasks[[#This Row],[_FinishWorkday]]-Tasks[[#This Row],[_StartWorkday]]+1),0)</f>
        <v/>
      </c>
      <c r="EF26" s="42">
        <f>Tasks[[#This Row],[_Res3WorkPerWD]]*MAX(0,Tasks[[#This Row],[_StartWorkday]]-1)</f>
        <v/>
      </c>
      <c r="EG26" s="42">
        <f>Tasks[[#This Row],[_Res3Work]]*Tasks[[#This Row],[_LeafProgress]]</f>
        <v/>
      </c>
      <c r="EH26" s="42">
        <f>IF(Tasks[[#This Row],[_Res4Text]]="","",IF(Tasks[[#This Row],[_Res4Row]]&gt;0,INDEX(res_Name,Tasks[[#This Row],[_Res4Row]]),TRIM(LEFT(Tasks[[#This Row],[_Res4Text]],FIND("[",Tasks[[#This Row],[_Res4Text]]&amp;"[")-1))))</f>
        <v/>
      </c>
      <c r="EI2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6" s="42">
        <f>IF(OR(NOT(Tasks[[#This Row],[_IsLeaf]]=1),Tasks[[#This Row],[_Res4Row]]=0),0,N(Tasks[[#This Row],[_Days]])*HoursPerDay*IF(Tasks[[#This Row],[_Res4Units]]="",DefaultUnits,Tasks[[#This Row],[_Res4Units]]))</f>
        <v/>
      </c>
      <c r="EK26" s="42">
        <f>IF(AND(AND(Tasks[[#This Row],[_IsLeaf]]=1,Tasks[[#This Row],[_LeafTotalWork]]&gt;0),Tasks[[#This Row],[_Res4Work]]&gt;0),Tasks[[#This Row],[_Res4Work]]/(Tasks[[#This Row],[_FinishWorkday]]-Tasks[[#This Row],[_StartWorkday]]+1),0)</f>
        <v/>
      </c>
      <c r="EL26" s="42">
        <f>Tasks[[#This Row],[_Res4WorkPerWD]]*MAX(0,Tasks[[#This Row],[_StartWorkday]]-1)</f>
        <v/>
      </c>
      <c r="EM26" s="42">
        <f>Tasks[[#This Row],[_Res4Work]]*Tasks[[#This Row],[_LeafProgress]]</f>
        <v/>
      </c>
      <c r="EN26" s="42">
        <f>IF(ISNUMBER(Tasks[[#This Row],[% Complete]]),Tasks[[#This Row],[% Complete]],IF(Tasks[[#This Row],[Stage]]="",0,IFERROR(INDEX(stg_Pct,MATCH(Tasks[[#This Row],[Stage]],stg_Name,0)),0)))</f>
        <v/>
      </c>
      <c r="EO26" s="42">
        <f>IF(NOT(Tasks[[#This Row],[_IsLeaf]]=1),0,IF(N(Tasks[[#This Row],[Actual Finish]])&gt;0,1,MIN(1,Tasks[[#This Row],[_Pct]])))</f>
        <v/>
      </c>
      <c r="EP26" s="42">
        <f>IF(OR(NOT(Tasks[[#This Row],[_IsLeaf]]=1),Tasks[[#This Row],[_Res1Row]]=0),0,N(Tasks[[#This Row],[_Days]])*HoursPerDay*IF(Tasks[[#This Row],[_Units1]]="",DefaultUnits,Tasks[[#This Row],[_Units1]]))</f>
        <v/>
      </c>
      <c r="EQ26" s="42">
        <f>Tasks[[#This Row],[_LeafWork]]+Tasks[[#This Row],[_Res2Work]]+Tasks[[#This Row],[_Res3Work]]+Tasks[[#This Row],[_Res4Work]]</f>
        <v/>
      </c>
      <c r="ER2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6" s="42">
        <f>IF(NOT(Tasks[[#This Row],[_IsLeaf]]=1),0,MAX(_xlfn.MAXIFS(Tasks[_Row],Tasks[_Pred1UID],Tasks[[#This Row],[UID]]),_xlfn.MAXIFS(Tasks[_Row],Tasks[_Pred2UID],Tasks[[#This Row],[UID]]),_xlfn.MAXIFS(Tasks[_Row],Tasks[_Pred3UID],Tasks[[#This Row],[UID]]),_xlfn.MAXIFS(Tasks[_Row],Tasks[_Pred4UID],Tasks[[#This Row],[UID]])))</f>
        <v/>
      </c>
      <c r="FA2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6" s="88">
        <f>IF(NOT(Tasks[[#This Row],[_IsLeaf]]=1),"",IF(N(Tasks[[#This Row],[_Days]])&lt;=0,Tasks[[#This Row],[_LeafLateFinish]],WORKDAY.INTL(Tasks[[#This Row],[_LeafLateFinish]],-(Tasks[[#This Row],[_Days]]-1),WorkWeek,Holidays)))</f>
        <v/>
      </c>
      <c r="FD2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6" s="42">
        <f>AND(Tasks[[#This Row],[_IsLeaf]]=1,Tasks[[#This Row],[_LeafProgress]]&lt;1,N(Tasks[[#This Row],[_LeafTotalSlack]])&lt;=CriticalSlackDays)</f>
        <v/>
      </c>
      <c r="FF26" s="42">
        <f>IF(AND(Tasks[[#This Row],[_IsLeaf]]=1,Tasks[[#This Row],[_ConstraintCode]]=1,Tasks[[#This Row],[Mode]]&lt;&gt;"Manual",N(Tasks[[#This Row],[Actual Start]])=0),MAX(0,N(Tasks[[#This Row],[Free Slack]])),0)</f>
        <v/>
      </c>
      <c r="FG26" s="88">
        <f>IF(NOT(Tasks[[#This Row],[_IsLeaf]]=1),"",IF(Tasks[[#This Row],[_AlapShift]]=0,Tasks[[#This Row],[_LeafCalcStart]],WORKDAY.INTL(Tasks[[#This Row],[_LeafCalcStart]],Tasks[[#This Row],[_AlapShift]],WorkWeek,Holidays)))</f>
        <v/>
      </c>
      <c r="FH26" s="88">
        <f>IF(NOT(Tasks[[#This Row],[_IsLeaf]]=1),"",IF(Tasks[[#This Row],[_AlapShift]]=0,Tasks[[#This Row],[_LeafCalcFinish]],WORKDAY.INTL(Tasks[[#This Row],[_LeafCalcFinish]],Tasks[[#This Row],[_AlapShift]],WorkWeek,Holidays)))</f>
        <v/>
      </c>
      <c r="FI26" s="88">
        <f>IF(NOT(Tasks[[#This Row],[_IsLeaf]]=1),"",IF(Tasks[[#This Row],[_AlapShift]]=0,Tasks[[#This Row],[_LeafFcstStart]],WORKDAY.INTL(Tasks[[#This Row],[_LeafFcstStart]],Tasks[[#This Row],[_AlapShift]],WorkWeek,Holidays)))</f>
        <v/>
      </c>
      <c r="FJ26" s="88">
        <f>IF(NOT(Tasks[[#This Row],[_IsLeaf]]=1),"",IF(Tasks[[#This Row],[_AlapShift]]=0,Tasks[[#This Row],[_LeafFcstFinish]],WORKDAY.INTL(Tasks[[#This Row],[_LeafFcstFinish]],Tasks[[#This Row],[_AlapShift]],WorkWeek,Holidays)))</f>
        <v/>
      </c>
      <c r="FK26" s="88">
        <f>IF(Tasks[[#This Row],[Task Name]]="","",IF(Tasks[[#This Row],[_IsSummary]],MIN(INDEX(Tasks[_ShownCalcStart],Tasks[[#This Row],[_Row]]+1):INDEX(Tasks[_ShownCalcStart],Tasks[[#This Row],[_Row]]+Tasks[[#This Row],[_Descendants]])),Tasks[[#This Row],[_ShownCalcStart]]))</f>
        <v/>
      </c>
      <c r="FL26" s="88">
        <f>IF(Tasks[[#This Row],[Task Name]]="","",IF(Tasks[[#This Row],[_IsSummary]],MAX(INDEX(Tasks[_ShownCalcFinish],Tasks[[#This Row],[_Row]]+1):INDEX(Tasks[_ShownCalcFinish],Tasks[[#This Row],[_Row]]+Tasks[[#This Row],[_Descendants]])),Tasks[[#This Row],[_ShownCalcFinish]]))</f>
        <v/>
      </c>
      <c r="FM2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6" s="42">
        <f>IF(AND(Tasks[[#This Row],[_IsLeaf]]=1,Tasks[[#This Row],[_LeafTotalWork]]&gt;0),NETWORKDAYS.INTL(ProjectStart,Tasks[[#This Row],[_ShownFcstStart]],WorkWeek,Holidays),0)</f>
        <v/>
      </c>
      <c r="FZ26" s="42">
        <f>IF(AND(Tasks[[#This Row],[_IsLeaf]]=1,Tasks[[#This Row],[_LeafTotalWork]]&gt;0),MAX(Tasks[[#This Row],[_StartWorkday]],NETWORKDAYS.INTL(ProjectStart,Tasks[[#This Row],[_ShownFcstFinish]],WorkWeek,Holidays)),0)</f>
        <v/>
      </c>
      <c r="GA26" s="42">
        <f>IF(AND(Tasks[[#This Row],[_IsLeaf]]=1,Tasks[[#This Row],[_LeafTotalWork]]&gt;0),Tasks[[#This Row],[_LeafWork]]/(Tasks[[#This Row],[_FinishWorkday]]-Tasks[[#This Row],[_StartWorkday]]+1),0)</f>
        <v/>
      </c>
      <c r="GB26" s="42">
        <f>Tasks[[#This Row],[_WorkPerWorkday]]*(Tasks[[#This Row],[_StartWorkday]]-1)</f>
        <v/>
      </c>
      <c r="GC26" s="42">
        <f>IF(Tasks[[#This Row],[_IsLeaf]]=1,MAX(N(Tasks[[#This Row],[_Days]]),0.1),0)</f>
        <v/>
      </c>
      <c r="GD26" s="42">
        <f>Tasks[[#This Row],[_WeightDur]]*Tasks[[#This Row],[_LeafProgress]]</f>
        <v/>
      </c>
      <c r="GE26" s="42">
        <f>Tasks[[#This Row],[_WeightDur]]*Tasks[[#This Row],[_PlannedPct]]</f>
        <v/>
      </c>
      <c r="GF2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6" s="42">
        <f>IF(AND(Tasks[[#This Row],[_IsLeaf]]=1,N(Tasks[[#This Row],[_Days]])=0,Tasks[[#This Row],[_LeafProgress]]&lt;1),Tasks[[#This Row],[_ShownFcstFinish]]+Tasks[[#This Row],[_Row]]/100000,"")</f>
        <v/>
      </c>
      <c r="GH2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6" s="42">
        <f>IF(Tasks[[#This Row],[Task Name]]="","",LEFT(Tasks[[#This Row],[WBS]],FIND(".",Tasks[[#This Row],[WBS]]&amp;".")-1))</f>
        <v/>
      </c>
      <c r="GJ26" s="42">
        <f>IF(AND(Tasks[[#This Row],[Task Name]]&lt;&gt;"",Tasks[[#This Row],[_Level]]=1),Tasks[[#This Row],[_Row]],"")</f>
        <v/>
      </c>
      <c r="GK26" s="42">
        <f>IF(AND(Tasks[[#This Row],[_IsLeaf]]=1,N(Tasks[[#This Row],[_Days]])=0),Tasks[[#This Row],[Planned Finish]]+Tasks[[#This Row],[_Row]]/100000,"")</f>
        <v/>
      </c>
      <c r="GL26" s="42">
        <f>IF(AND(Tasks[[#This Row],[_IsLeaf]]=1,Tasks[[#This Row],[_LeafProgress]]&lt;1,OR(N(Tasks[[#This Row],[Finish Var]])&gt;0,Tasks[[#This Row],[Status]]="Late Start")),MAX(0,Tasks[[#This Row],[Finish Var]])+1-Tasks[[#This Row],[_Row]]/1000000,"")</f>
        <v/>
      </c>
      <c r="GM26" s="42">
        <f>IF(AND(Tasks[[#This Row],[_IsLeaf]]=1,N(Tasks[[#This Row],[Actual Start]])=0,Tasks[[#This Row],[_ShownFcstStart]]&gt;=StatusDate,Tasks[[#This Row],[_ShownFcstStart]]&lt;=LookaheadEnd),Tasks[[#This Row],[_ShownFcstStart]]+Tasks[[#This Row],[_Row]]/100000,"")</f>
        <v/>
      </c>
      <c r="GN26" s="42">
        <f>IF(AND(Tasks[[#This Row],[_IsLeaf]]=1,Tasks[[#This Row],[_LeafProgress]]&lt;1,Tasks[[#This Row],[_ShownFcstFinish]]&gt;=StatusDate,Tasks[[#This Row],[_ShownFcstFinish]]&lt;=LookaheadEnd),Tasks[[#This Row],[_ShownFcstFinish]]+Tasks[[#This Row],[_Row]]/100000,"")</f>
        <v/>
      </c>
      <c r="GO26" s="42">
        <f>IF(Tasks[[#This Row],[_LeafCritical]],Tasks[[#This Row],[_ShownFcstStart]]+Tasks[[#This Row],[_Row]]/100000,"")</f>
        <v/>
      </c>
      <c r="GP26" s="42">
        <f>Tasks[[#This Row],[_LeafWork]]*Tasks[[#This Row],[_LeafProgress]]</f>
        <v/>
      </c>
      <c r="GQ26" s="88">
        <f>IF(AND(Tasks[[#This Row],[_IsLeaf]]=1,Tasks[[#This Row],[_LeafProgress]]&gt;=1),IF(N(Tasks[[#This Row],[Actual Finish]])&gt;0,Tasks[[#This Row],[Actual Finish]],Tasks[[#This Row],[_ShownFcstFinish]]),"")</f>
        <v/>
      </c>
      <c r="GR26" s="42">
        <f>IF(Tasks[[#This Row],[_IsLeaf]]=1,N(Tasks[[#This Row],[Story Points]]),0)</f>
        <v/>
      </c>
      <c r="GS26" s="42">
        <f>""</f>
        <v/>
      </c>
      <c r="GT26" s="42">
        <f>IF(Tasks[[#This Row],[Task Name]]="",FALSE(),AND(Tasks[[#This Row],[_IsLeaf]]=1,N(Tasks[[#This Row],[_Days]])=0))</f>
        <v/>
      </c>
      <c r="GU26" s="88">
        <f>IF(Tasks[[#This Row],[Task Name]]="",0,IF(AND(Tasks[[#This Row],[_IsLeaf]]=1,NOT(Tasks[[#This Row],[_IsMilestone]]),N(Tasks[[#This Row],[Progress]])&gt;0),Tasks[[#This Row],[Start]],0))</f>
        <v/>
      </c>
      <c r="GV26" s="88">
        <f>IF(Tasks[[#This Row],[_DoneFrom]]=0,0,IF(Tasks[[#This Row],[Progress]]&gt;=1,Tasks[[#This Row],[Finish]],MAX(Tasks[[#This Row],[_DoneFrom]],Tasks[[#This Row],[Start]]+ROUND((Tasks[[#This Row],[Finish]]-Tasks[[#This Row],[Start]]+1)*Tasks[[#This Row],[Progress]],0)-1)))</f>
        <v/>
      </c>
      <c r="GW26" s="88">
        <f>IF(Tasks[[#This Row],[Task Name]]="",0,IF(OR(NOT(Tasks[[#This Row],[_IsLeaf]]=1),Tasks[[#This Row],[_IsMilestone]],N(Tasks[[#This Row],[Progress]])&gt;=1),0,IF(Tasks[[#This Row],[_DoneTo]]&gt;0,Tasks[[#This Row],[_DoneTo]]+1,Tasks[[#This Row],[Start]])))</f>
        <v/>
      </c>
      <c r="GX26" s="88">
        <f>IF(Tasks[[#This Row],[_RemFrom]]=0,0,Tasks[[#This Row],[Finish]])</f>
        <v/>
      </c>
      <c r="GY26" s="42">
        <f>IF(Tasks[[#This Row],[Task Name]]="",FALSE(),OR(NOT(BaselineSet),N(Tasks[[#This Row],[Baseline Start]])&gt;0))</f>
        <v/>
      </c>
      <c r="GZ26" s="42">
        <f>IF(AND(Sandbox="Yes",L_PARSE_DURATION(Tasks[[#This Row],[Sandbox Duration]])&lt;&gt;""),L_PARSE_DURATION(Tasks[[#This Row],[Sandbox Duration]]),L_PARSE_DURATION(Tasks[[#This Row],[Duration]]))</f>
        <v/>
      </c>
      <c r="HA2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6" s="42">
        <f>IF(Tasks[[#This Row],[_IsLeaf]]=1,Tasks[[#This Row],[_Row]],"")</f>
        <v/>
      </c>
      <c r="HD26" s="42">
        <f>IFERROR(INDEX(Tasks[UID],SMALL(Tasks[_PickKey],Tasks[[#This Row],[_Row]]))&amp;" "&amp;INDEX(Tasks[Task Name],SMALL(Tasks[_PickKey],Tasks[[#This Row],[_Row]])),"")</f>
        <v/>
      </c>
      <c r="HE26" s="42">
        <f>IF(Tasks[[#This Row],[Task Name]]="","",IF(Tasks[[#This Row],[_IsSummary]],NETWORKDAYS.INTL(Tasks[[#This Row],[Start]],Tasks[[#This Row],[Finish]],WorkWeek,Holidays),N(Tasks[[#This Row],[_Days]])))</f>
        <v/>
      </c>
      <c r="HF26" s="42">
        <f>IF(Tasks[[#This Row],[Expected]]="",0,((Tasks[[#This Row],[Pessimistic]]-Tasks[[#This Row],[Optimistic]])/6)^2)</f>
        <v/>
      </c>
      <c r="HG26" s="42">
        <f>IF(Tasks[[#This Row],[Expected]]="",0,Tasks[[#This Row],[Expected]]-N(Tasks[[#This Row],[_Days]]))</f>
        <v/>
      </c>
    </row>
    <row r="27">
      <c r="A27" s="21">
        <f>IF(Tasks[[#This Row],[Task Name]]="","",COUNTA(Tasks[[#Headers],[Task Name]]:Tasks[[#This Row],[Task Name]])-1)</f>
        <v/>
      </c>
      <c r="B27" s="22" t="n">
        <v>35</v>
      </c>
      <c r="C27" s="22" t="n"/>
      <c r="D27" s="23" t="n"/>
      <c r="E27" s="22" t="n"/>
      <c r="F27" s="23" t="n"/>
      <c r="G27" s="22" t="n"/>
      <c r="H27" s="22" t="n"/>
      <c r="I27" s="23" t="n"/>
      <c r="J27" s="22" t="n"/>
      <c r="K27" s="22" t="n"/>
      <c r="L27" s="23" t="n"/>
      <c r="M27" s="22" t="n"/>
      <c r="N27" s="22" t="n"/>
      <c r="O27" s="23" t="n"/>
      <c r="P27" s="22" t="n"/>
      <c r="Q27" s="22" t="n"/>
      <c r="R27" s="23" t="n"/>
      <c r="S27" s="23" t="n"/>
      <c r="T27" s="82" t="n"/>
      <c r="U27" s="23" t="n"/>
      <c r="V27" s="82" t="n"/>
      <c r="W27" s="23" t="n"/>
      <c r="X27" s="82" t="n"/>
      <c r="Y27" s="23" t="n"/>
      <c r="Z27" s="82" t="n"/>
      <c r="AA27" s="23" t="n"/>
      <c r="AB27" s="23" t="n"/>
      <c r="AC27" s="7" t="n"/>
      <c r="AD27" s="7" t="n"/>
      <c r="AE27" s="61">
        <f>IF(Tasks[[#This Row],[Task Name]]="","",IF(Tasks[[#This Row],[_IsSummary]],MIN(INDEX(Tasks[_ShownFcstStart],Tasks[[#This Row],[_Row]]+1):INDEX(Tasks[_ShownFcstStart],Tasks[[#This Row],[_Row]]+Tasks[[#This Row],[_Descendants]])),Tasks[[#This Row],[_ShownFcstStart]]))</f>
        <v/>
      </c>
      <c r="AF27" s="61">
        <f>IF(Tasks[[#This Row],[Task Name]]="","",IF(Tasks[[#This Row],[_IsSummary]],MAX(INDEX(Tasks[_ShownFcstFinish],Tasks[[#This Row],[_Row]]+1):INDEX(Tasks[_ShownFcstFinish],Tasks[[#This Row],[_Row]]+Tasks[[#This Row],[_Descendants]])),Tasks[[#This Row],[_ShownFcstFinish]]))</f>
        <v/>
      </c>
      <c r="AG27" s="21">
        <f>""</f>
        <v/>
      </c>
      <c r="AH27" s="23" t="n"/>
      <c r="AI2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7" s="7" t="n"/>
      <c r="AK27" s="22" t="n"/>
      <c r="AL27" s="23" t="n"/>
      <c r="AM27" s="7" t="n"/>
      <c r="AN27" s="21">
        <f>IF(Tasks[[#This Row],[Task Name]]="","",IF(Tasks[[#This Row],[Finish]]&gt;=Tasks[[#This Row],[Planned Finish]],NETWORKDAYS.INTL(Tasks[[#This Row],[Planned Finish]],Tasks[[#This Row],[Finish]],WorkWeek,Holidays)-1,1-NETWORKDAYS.INTL(Tasks[[#This Row],[Finish]],Tasks[[#This Row],[Planned Finish]],WorkWeek,Holidays)))</f>
        <v/>
      </c>
      <c r="AO27" s="21">
        <f>IF(Tasks[[#This Row],[Task Name]]="","",IF(Tasks[[#This Row],[Progress]]&gt;=1,"Complete",IF(OR(N(Tasks[[#This Row],[Actual Start]])&gt;0,Tasks[[#This Row],[Progress]]&gt;0),IF(Tasks[[#This Row],[Finish Var]]&gt;0,"Behind","In Progress"),IF(Tasks[[#This Row],[Planned Start]]&lt;StatusDate,"Late Start","Not Started"))))</f>
        <v/>
      </c>
      <c r="AP27" s="21">
        <f>IF(Tasks[[#This Row],[Task Name]]="","",IF(IF(Tasks[[#This Row],[_IsSummary]],COUNTIF(INDEX(Tasks[_LeafCritical],Tasks[[#This Row],[_Row]]+1):INDEX(Tasks[_LeafCritical],Tasks[[#This Row],[_Row]]+Tasks[[#This Row],[_Descendants]]),TRUE())&gt;0,Tasks[[#This Row],[_LeafCritical]]),"Yes",""))</f>
        <v/>
      </c>
      <c r="AQ27" s="61">
        <f>IF(Tasks[[#This Row],[Task Name]]="","",IF(N(Tasks[[#This Row],[Baseline Start]])&gt;0,Tasks[[#This Row],[Baseline Start]],Tasks[[#This Row],[_CalcStart]]))</f>
        <v/>
      </c>
      <c r="AR27" s="61">
        <f>IF(Tasks[[#This Row],[Task Name]]="","",IF(N(Tasks[[#This Row],[Baseline Finish]])&gt;0,Tasks[[#This Row],[Baseline Finish]],Tasks[[#This Row],[_CalcFinish]]))</f>
        <v/>
      </c>
      <c r="AS27" s="21">
        <f>IF(Tasks[[#This Row],[Task Name]]="","",IF(Tasks[[#This Row],[Start]]&gt;=Tasks[[#This Row],[Planned Start]],NETWORKDAYS.INTL(Tasks[[#This Row],[Planned Start]],Tasks[[#This Row],[Start]],WorkWeek,Holidays)-1,1-NETWORKDAYS.INTL(Tasks[[#This Row],[Start]],Tasks[[#This Row],[Planned Start]],WorkWeek,Holidays)))</f>
        <v/>
      </c>
      <c r="AT27" s="61">
        <f>IF(Tasks[[#This Row],[Task Name]]="","",IF(Tasks[[#This Row],[_IsSummary]],MIN(INDEX(Tasks[_LeafLateStart],Tasks[[#This Row],[_Row]]+1):INDEX(Tasks[_LeafLateStart],Tasks[[#This Row],[_Row]]+Tasks[[#This Row],[_Descendants]])),Tasks[[#This Row],[_LeafLateStart]]))</f>
        <v/>
      </c>
      <c r="AU27" s="61">
        <f>IF(Tasks[[#This Row],[Task Name]]="","",IF(Tasks[[#This Row],[_IsSummary]],MAX(INDEX(Tasks[_LeafLateFinish],Tasks[[#This Row],[_Row]]+1):INDEX(Tasks[_LeafLateFinish],Tasks[[#This Row],[_Row]]+Tasks[[#This Row],[_Descendants]])),Tasks[[#This Row],[_LeafLateFinish]]))</f>
        <v/>
      </c>
      <c r="AV27" s="21">
        <f>IF(Tasks[[#This Row],[Task Name]]="","",IF(Tasks[[#This Row],[_IsSummary]],MIN(INDEX(Tasks[_LeafTotalSlack],Tasks[[#This Row],[_Row]]+1):INDEX(Tasks[_LeafTotalSlack],Tasks[[#This Row],[_Row]]+Tasks[[#This Row],[_Descendants]])),Tasks[[#This Row],[_LeafTotalSlack]]))</f>
        <v/>
      </c>
      <c r="AW2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3" t="n"/>
      <c r="BA2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f>IF(Tasks[[#This Row],[Task Name]]="","",IF(Tasks[[#This Row],[_Level]]&lt;=OutlineShowLevel,"Yes","No"))</f>
        <v/>
      </c>
      <c r="BE27" s="84">
        <f>IF(Tasks[[#This Row],[Task Name]]="","",IF(Tasks[[#This Row],[_IsSummary]],SUM(INDEX(Tasks[_LeafTotalWork],Tasks[[#This Row],[_Row]]+1):INDEX(Tasks[_LeafTotalWork],Tasks[[#This Row],[_Row]]+Tasks[[#This Row],[_Descendants]])),Tasks[[#This Row],[_LeafTotalWork]]))</f>
        <v/>
      </c>
      <c r="BF27" s="23" t="n"/>
      <c r="BG2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f>""</f>
        <v/>
      </c>
      <c r="BI27" s="85" t="n"/>
      <c r="BJ27" s="22" t="n"/>
      <c r="BK27" s="21">
        <f>IF(OR(Tasks[[#This Row],[Task Name]]="",Tasks[[#This Row],[Baseline Duration]]=""),"",Tasks[[#This Row],[_SpanDays]]-N(Tasks[[#This Row],[Baseline Duration]]))</f>
        <v/>
      </c>
      <c r="BL27" s="84">
        <f>IF(OR(Tasks[[#This Row],[Task Name]]="",Tasks[[#This Row],[Baseline Work]]=""),"",Tasks[[#This Row],[Work]]-N(Tasks[[#This Row],[Baseline Work]]))</f>
        <v/>
      </c>
      <c r="BM27" s="61">
        <f>IF(Tasks[[#This Row],[Task Name]]="","",IF(OR(TakeBaseline="Yes",N(Tasks[[#This Row],[Baseline Start]])=0),Tasks[[#This Row],[Start]],Tasks[[#This Row],[Baseline Start]]))</f>
        <v/>
      </c>
      <c r="BN27" s="61">
        <f>IF(Tasks[[#This Row],[Task Name]]="","",IF(OR(TakeBaseline="Yes",N(Tasks[[#This Row],[Baseline Finish]])=0),Tasks[[#This Row],[Finish]],Tasks[[#This Row],[Baseline Finish]]))</f>
        <v/>
      </c>
      <c r="BO27" s="21">
        <f>IF(Tasks[[#This Row],[Task Name]]="","",IF(OR(TakeBaseline="Yes",N(Tasks[[#This Row],[Baseline Duration]])=0),Tasks[[#This Row],[_SpanDays]],Tasks[[#This Row],[Baseline Duration]]))</f>
        <v/>
      </c>
      <c r="BP27" s="84">
        <f>IF(Tasks[[#This Row],[Task Name]]="","",IF(OR(TakeBaseline="Yes",N(Tasks[[#This Row],[Baseline Work]])=0),Tasks[[#This Row],[Work]],Tasks[[#This Row],[Baseline Work]]))</f>
        <v/>
      </c>
      <c r="BQ27" s="7" t="n"/>
      <c r="BR27" s="7" t="n"/>
      <c r="BS27" s="22" t="n"/>
      <c r="BT27" s="86" t="n"/>
      <c r="BU27" s="23" t="n"/>
      <c r="BV27" s="23" t="n"/>
      <c r="BW27" s="23" t="n"/>
      <c r="BX27" s="87">
        <f>IF(AND(Tasks[[#This Row],[_IsLeaf]]=1,ISNUMBER(Tasks[[#This Row],[Optimistic]]),ISNUMBER(Tasks[[#This Row],[Pessimistic]])),ROUND((Tasks[[#This Row],[Optimistic]]+4*N(Tasks[[#This Row],[_Days]])+Tasks[[#This Row],[Pessimistic]])/6,1),"")</f>
        <v/>
      </c>
      <c r="BY27" s="85" t="n"/>
      <c r="BZ27" s="85" t="n"/>
      <c r="CA27" s="22" t="n"/>
      <c r="CB27" s="42">
        <f>IF(Tasks[[#This Row],[Task Name]]="","",MAX(1,N(Tasks[[#This Row],[Level]])))</f>
        <v/>
      </c>
      <c r="CC27" s="42">
        <f>ROW()-ROW(Tasks[[#Headers],[ID]])</f>
        <v/>
      </c>
      <c r="CD27" s="42">
        <f>IF(OR(Tasks[[#This Row],[Task Name]]="",Tasks[[#This Row],[_Level]]&lt;=1),0,IFERROR(LOOKUP(2,1/(Tasks[[#Headers],[_Level]]:Tasks[[#This Row],[_Level]]=Tasks[[#This Row],[_Level]]-1),ROW(Tasks[[#Headers],[_Level]]:Tasks[[#This Row],[_Level]])),0))</f>
        <v/>
      </c>
      <c r="CE27" s="42">
        <f>IFERROR(N(INDEX(Tasks[_Level],Tasks[[#This Row],[_Row]]+1)),0)</f>
        <v/>
      </c>
      <c r="CF27" s="42">
        <f>AND(Tasks[[#This Row],[Task Name]]&lt;&gt;"",Tasks[[#This Row],[_NextLevel]]&gt;Tasks[[#This Row],[_Level]])</f>
        <v/>
      </c>
      <c r="CG27" s="42">
        <f>IF(Tasks[[#This Row],[_IsSummary]],COUNTIF(Tasks[WBS],Tasks[[#This Row],[WBS]]&amp;".*"),0)</f>
        <v/>
      </c>
      <c r="CH27" s="42">
        <f>IF(AND(Tasks[[#This Row],[Task Name]]&lt;&gt;"",NOT(Tasks[[#This Row],[_IsSummary]])),1,0)</f>
        <v/>
      </c>
      <c r="CI27" s="42">
        <f>IF(N(Tasks[[#This Row],[_Pred1UID]])=0,0,IFERROR(MATCH(Tasks[[#This Row],[_Pred1UID]],Tasks[UID],0),-1))</f>
        <v/>
      </c>
      <c r="CJ27" s="42">
        <f>IF(N(Tasks[[#This Row],[_Pred2UID]])=0,0,IFERROR(MATCH(Tasks[[#This Row],[_Pred2UID]],Tasks[UID],0),-1))</f>
        <v/>
      </c>
      <c r="CK27" s="42">
        <f>IF(N(Tasks[[#This Row],[_Pred3UID]])=0,0,IFERROR(MATCH(Tasks[[#This Row],[_Pred3UID]],Tasks[UID],0),-1))</f>
        <v/>
      </c>
      <c r="CL27" s="42">
        <f>IF(N(Tasks[[#This Row],[_Pred4UID]])=0,0,IFERROR(MATCH(Tasks[[#This Row],[_Pred4UID]],Tasks[UID],0),-1))</f>
        <v/>
      </c>
      <c r="CM2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7" s="88">
        <f>IF(N(Tasks[[#This Row],[Constraint Date]])=0,0,IF(AND(OR(Tasks[[#This Row],[_ConstraintCode]]=3,Tasks[[#This Row],[_ConstraintCode]]=6,Tasks[[#This Row],[_ConstraintCode]]=7),N(Tasks[[#This Row],[_Days]])&gt;1),WORKDAY.INTL(N(Tasks[[#This Row],[Constraint Date]]),-(N(Tasks[[#This Row],[_Days]])-1),WorkWeek,Holidays),N(Tasks[[#This Row],[Constraint Date]])))</f>
        <v/>
      </c>
      <c r="CO27" s="88">
        <f>IF(OR(Tasks[[#This Row],[_ConstraintCode]]=2,Tasks[[#This Row],[_ConstraintCode]]=3,Tasks[[#This Row],[_ConstraintCode]]=4,Tasks[[#This Row],[_ConstraintCode]]=6),Tasks[[#This Row],[_ConstraintStart]],0)</f>
        <v/>
      </c>
      <c r="CP27" s="88">
        <f>IF(OR(Tasks[[#This Row],[_ConstraintCode]]=2,Tasks[[#This Row],[_ConstraintCode]]=3,Tasks[[#This Row],[_ConstraintCode]]=5,Tasks[[#This Row],[_ConstraintCode]]=7),Tasks[[#This Row],[_ConstraintStart]],2958465)</f>
        <v/>
      </c>
      <c r="CQ2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7" s="88">
        <f>IF(NOT(Tasks[[#This Row],[_IsLeaf]]=1),"",IF(N(Tasks[[#This Row],[_Days]])&lt;=0,Tasks[[#This Row],[_LeafCalcStart]],WORKDAY.INTL(Tasks[[#This Row],[_LeafCalcStart]],Tasks[[#This Row],[_Days]]-1,WorkWeek,Holidays)))</f>
        <v/>
      </c>
      <c r="CS2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7" s="42">
        <f>IF(Tasks[[#This Row],[_Predecessors]]="","",TRIM(MID(SUBSTITUTE(SUBSTITUTE(SUBSTITUTE(UPPER(Tasks[[#This Row],[_Predecessors]]),";",",")," ",""),",",REPT(" ",99)),1,99)))</f>
        <v/>
      </c>
      <c r="CV27" s="42">
        <f>IF(Tasks[[#This Row],[_Pred1Text]]="","",IFERROR(VALUE(LEFT(Tasks[[#This Row],[_Pred1Text]],MIN(FIND("F",Tasks[[#This Row],[_Pred1Text]]&amp;"F"),FIND("S",Tasks[[#This Row],[_Pred1Text]]&amp;"S"),FIND("+",Tasks[[#This Row],[_Pred1Text]]&amp;"+"),FIND("-",Tasks[[#This Row],[_Pred1Text]]&amp;"-"))-1)),""))</f>
        <v/>
      </c>
      <c r="CW2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7" s="42">
        <f>IF(Tasks[[#This Row],[_Pred1Text]]="","",TRIM(MID(SUBSTITUTE(SUBSTITUTE(SUBSTITUTE(UPPER(Tasks[[#This Row],[_Predecessors]]),";",",")," ",""),",",REPT(" ",99)),100,99)))</f>
        <v/>
      </c>
      <c r="CZ27" s="42">
        <f>IF(Tasks[[#This Row],[_Pred2Text]]="","",IFERROR(VALUE(LEFT(Tasks[[#This Row],[_Pred2Text]],MIN(FIND("F",Tasks[[#This Row],[_Pred2Text]]&amp;"F"),FIND("S",Tasks[[#This Row],[_Pred2Text]]&amp;"S"),FIND("+",Tasks[[#This Row],[_Pred2Text]]&amp;"+"),FIND("-",Tasks[[#This Row],[_Pred2Text]]&amp;"-"))-1)),""))</f>
        <v/>
      </c>
      <c r="DA2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7" s="42">
        <f>IF(Tasks[[#This Row],[_Pred2Text]]="","",TRIM(MID(SUBSTITUTE(SUBSTITUTE(SUBSTITUTE(UPPER(Tasks[[#This Row],[_Predecessors]]),";",",")," ",""),",",REPT(" ",99)),199,99)))</f>
        <v/>
      </c>
      <c r="DD27" s="42">
        <f>IF(Tasks[[#This Row],[_Pred3Text]]="","",IFERROR(VALUE(LEFT(Tasks[[#This Row],[_Pred3Text]],MIN(FIND("F",Tasks[[#This Row],[_Pred3Text]]&amp;"F"),FIND("S",Tasks[[#This Row],[_Pred3Text]]&amp;"S"),FIND("+",Tasks[[#This Row],[_Pred3Text]]&amp;"+"),FIND("-",Tasks[[#This Row],[_Pred3Text]]&amp;"-"))-1)),""))</f>
        <v/>
      </c>
      <c r="DE2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7" s="42">
        <f>IF(Tasks[[#This Row],[_Pred3Text]]="","",TRIM(MID(SUBSTITUTE(SUBSTITUTE(SUBSTITUTE(UPPER(Tasks[[#This Row],[_Predecessors]]),";",",")," ",""),",",REPT(" ",99)),298,99)))</f>
        <v/>
      </c>
      <c r="DH27" s="42">
        <f>IF(Tasks[[#This Row],[_Pred4Text]]="","",IFERROR(VALUE(LEFT(Tasks[[#This Row],[_Pred4Text]],MIN(FIND("F",Tasks[[#This Row],[_Pred4Text]]&amp;"F"),FIND("S",Tasks[[#This Row],[_Pred4Text]]&amp;"S"),FIND("+",Tasks[[#This Row],[_Pred4Text]]&amp;"+"),FIND("-",Tasks[[#This Row],[_Pred4Text]]&amp;"-"))-1)),""))</f>
        <v/>
      </c>
      <c r="DI2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7" s="42">
        <f>IF(OR(Tasks[[#This Row],[Task Name]]="",Tasks[[#This Row],[_Resources]]=""),"",TRIM(MID(SUBSTITUTE(Tasks[[#This Row],[_Resources]],",",REPT(" ",99)),1,99)))</f>
        <v/>
      </c>
      <c r="DL27" s="42">
        <f>IF(Tasks[[#This Row],[_Res1Text]]="","",TRIM(MID(SUBSTITUTE(Tasks[[#This Row],[_Resources]],",",REPT(" ",99)),100,99)))</f>
        <v/>
      </c>
      <c r="DM27" s="42">
        <f>IF(Tasks[[#This Row],[_Res2Text]]="","",TRIM(MID(SUBSTITUTE(Tasks[[#This Row],[_Resources]],",",REPT(" ",99)),199,99)))</f>
        <v/>
      </c>
      <c r="DN27" s="42">
        <f>IF(Tasks[[#This Row],[_Res3Text]]="","",TRIM(MID(SUBSTITUTE(Tasks[[#This Row],[_Resources]],",",REPT(" ",99)),298,99)))</f>
        <v/>
      </c>
      <c r="DO27" s="42">
        <f>IF(Tasks[[#This Row],[_Res1Text]]="",0,IFERROR(MATCH(TRIM(LEFT(Tasks[[#This Row],[_Res1Text]],FIND("[",Tasks[[#This Row],[_Res1Text]]&amp;"[")-1)),res_Name,0),IFERROR(MATCH(TRIM(LEFT(Tasks[[#This Row],[_Res1Text]],FIND("[",Tasks[[#This Row],[_Res1Text]]&amp;"[")-1)),res_Initials,0),0)))</f>
        <v/>
      </c>
      <c r="DP27" s="42">
        <f>IF(Tasks[[#This Row],[_Res2Text]]="",0,IFERROR(MATCH(TRIM(LEFT(Tasks[[#This Row],[_Res2Text]],FIND("[",Tasks[[#This Row],[_Res2Text]]&amp;"[")-1)),res_Name,0),IFERROR(MATCH(TRIM(LEFT(Tasks[[#This Row],[_Res2Text]],FIND("[",Tasks[[#This Row],[_Res2Text]]&amp;"[")-1)),res_Initials,0),0)))</f>
        <v/>
      </c>
      <c r="DQ27" s="42">
        <f>IF(Tasks[[#This Row],[_Res3Text]]="",0,IFERROR(MATCH(TRIM(LEFT(Tasks[[#This Row],[_Res3Text]],FIND("[",Tasks[[#This Row],[_Res3Text]]&amp;"[")-1)),res_Name,0),IFERROR(MATCH(TRIM(LEFT(Tasks[[#This Row],[_Res3Text]],FIND("[",Tasks[[#This Row],[_Res3Text]]&amp;"[")-1)),res_Initials,0),0)))</f>
        <v/>
      </c>
      <c r="DR27" s="42">
        <f>IF(Tasks[[#This Row],[_Res4Text]]="",0,IFERROR(MATCH(TRIM(LEFT(Tasks[[#This Row],[_Res4Text]],FIND("[",Tasks[[#This Row],[_Res4Text]]&amp;"[")-1)),res_Name,0),IFERROR(MATCH(TRIM(LEFT(Tasks[[#This Row],[_Res4Text]],FIND("[",Tasks[[#This Row],[_Res4Text]]&amp;"[")-1)),res_Initials,0),0)))</f>
        <v/>
      </c>
      <c r="DS27" s="42">
        <f>IF(Tasks[[#This Row],[_Res1Text]]="","",IF(Tasks[[#This Row],[_Res1Row]]&gt;0,INDEX(res_Name,Tasks[[#This Row],[_Res1Row]]),TRIM(LEFT(Tasks[[#This Row],[_Res1Text]],FIND("[",Tasks[[#This Row],[_Res1Text]]&amp;"[")-1))))</f>
        <v/>
      </c>
      <c r="DT2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7" s="42">
        <f>IF(NOT(Tasks[[#This Row],[_IsLeaf]]=1),0,(Tasks[[#This Row],[_Resource1]]&lt;&gt;"")+(Tasks[[#This Row],[_Res2]]&lt;&gt;"")+(Tasks[[#This Row],[_Res3]]&lt;&gt;"")+(Tasks[[#This Row],[_Res4]]&lt;&gt;""))</f>
        <v/>
      </c>
      <c r="DV27" s="42">
        <f>IF(Tasks[[#This Row],[_Res2Text]]="","",IF(Tasks[[#This Row],[_Res2Row]]&gt;0,INDEX(res_Name,Tasks[[#This Row],[_Res2Row]]),TRIM(LEFT(Tasks[[#This Row],[_Res2Text]],FIND("[",Tasks[[#This Row],[_Res2Text]]&amp;"[")-1))))</f>
        <v/>
      </c>
      <c r="DW2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7" s="42">
        <f>IF(OR(NOT(Tasks[[#This Row],[_IsLeaf]]=1),Tasks[[#This Row],[_Res2Row]]=0),0,N(Tasks[[#This Row],[_Days]])*HoursPerDay*IF(Tasks[[#This Row],[_Res2Units]]="",DefaultUnits,Tasks[[#This Row],[_Res2Units]]))</f>
        <v/>
      </c>
      <c r="DY27" s="42">
        <f>IF(AND(AND(Tasks[[#This Row],[_IsLeaf]]=1,Tasks[[#This Row],[_LeafTotalWork]]&gt;0),Tasks[[#This Row],[_Res2Work]]&gt;0),Tasks[[#This Row],[_Res2Work]]/(Tasks[[#This Row],[_FinishWorkday]]-Tasks[[#This Row],[_StartWorkday]]+1),0)</f>
        <v/>
      </c>
      <c r="DZ27" s="42">
        <f>Tasks[[#This Row],[_Res2WorkPerWD]]*MAX(0,Tasks[[#This Row],[_StartWorkday]]-1)</f>
        <v/>
      </c>
      <c r="EA27" s="42">
        <f>Tasks[[#This Row],[_Res2Work]]*Tasks[[#This Row],[_LeafProgress]]</f>
        <v/>
      </c>
      <c r="EB27" s="42">
        <f>IF(Tasks[[#This Row],[_Res3Text]]="","",IF(Tasks[[#This Row],[_Res3Row]]&gt;0,INDEX(res_Name,Tasks[[#This Row],[_Res3Row]]),TRIM(LEFT(Tasks[[#This Row],[_Res3Text]],FIND("[",Tasks[[#This Row],[_Res3Text]]&amp;"[")-1))))</f>
        <v/>
      </c>
      <c r="EC2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7" s="42">
        <f>IF(OR(NOT(Tasks[[#This Row],[_IsLeaf]]=1),Tasks[[#This Row],[_Res3Row]]=0),0,N(Tasks[[#This Row],[_Days]])*HoursPerDay*IF(Tasks[[#This Row],[_Res3Units]]="",DefaultUnits,Tasks[[#This Row],[_Res3Units]]))</f>
        <v/>
      </c>
      <c r="EE27" s="42">
        <f>IF(AND(AND(Tasks[[#This Row],[_IsLeaf]]=1,Tasks[[#This Row],[_LeafTotalWork]]&gt;0),Tasks[[#This Row],[_Res3Work]]&gt;0),Tasks[[#This Row],[_Res3Work]]/(Tasks[[#This Row],[_FinishWorkday]]-Tasks[[#This Row],[_StartWorkday]]+1),0)</f>
        <v/>
      </c>
      <c r="EF27" s="42">
        <f>Tasks[[#This Row],[_Res3WorkPerWD]]*MAX(0,Tasks[[#This Row],[_StartWorkday]]-1)</f>
        <v/>
      </c>
      <c r="EG27" s="42">
        <f>Tasks[[#This Row],[_Res3Work]]*Tasks[[#This Row],[_LeafProgress]]</f>
        <v/>
      </c>
      <c r="EH27" s="42">
        <f>IF(Tasks[[#This Row],[_Res4Text]]="","",IF(Tasks[[#This Row],[_Res4Row]]&gt;0,INDEX(res_Name,Tasks[[#This Row],[_Res4Row]]),TRIM(LEFT(Tasks[[#This Row],[_Res4Text]],FIND("[",Tasks[[#This Row],[_Res4Text]]&amp;"[")-1))))</f>
        <v/>
      </c>
      <c r="EI2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7" s="42">
        <f>IF(OR(NOT(Tasks[[#This Row],[_IsLeaf]]=1),Tasks[[#This Row],[_Res4Row]]=0),0,N(Tasks[[#This Row],[_Days]])*HoursPerDay*IF(Tasks[[#This Row],[_Res4Units]]="",DefaultUnits,Tasks[[#This Row],[_Res4Units]]))</f>
        <v/>
      </c>
      <c r="EK27" s="42">
        <f>IF(AND(AND(Tasks[[#This Row],[_IsLeaf]]=1,Tasks[[#This Row],[_LeafTotalWork]]&gt;0),Tasks[[#This Row],[_Res4Work]]&gt;0),Tasks[[#This Row],[_Res4Work]]/(Tasks[[#This Row],[_FinishWorkday]]-Tasks[[#This Row],[_StartWorkday]]+1),0)</f>
        <v/>
      </c>
      <c r="EL27" s="42">
        <f>Tasks[[#This Row],[_Res4WorkPerWD]]*MAX(0,Tasks[[#This Row],[_StartWorkday]]-1)</f>
        <v/>
      </c>
      <c r="EM27" s="42">
        <f>Tasks[[#This Row],[_Res4Work]]*Tasks[[#This Row],[_LeafProgress]]</f>
        <v/>
      </c>
      <c r="EN27" s="42">
        <f>IF(ISNUMBER(Tasks[[#This Row],[% Complete]]),Tasks[[#This Row],[% Complete]],IF(Tasks[[#This Row],[Stage]]="",0,IFERROR(INDEX(stg_Pct,MATCH(Tasks[[#This Row],[Stage]],stg_Name,0)),0)))</f>
        <v/>
      </c>
      <c r="EO27" s="42">
        <f>IF(NOT(Tasks[[#This Row],[_IsLeaf]]=1),0,IF(N(Tasks[[#This Row],[Actual Finish]])&gt;0,1,MIN(1,Tasks[[#This Row],[_Pct]])))</f>
        <v/>
      </c>
      <c r="EP27" s="42">
        <f>IF(OR(NOT(Tasks[[#This Row],[_IsLeaf]]=1),Tasks[[#This Row],[_Res1Row]]=0),0,N(Tasks[[#This Row],[_Days]])*HoursPerDay*IF(Tasks[[#This Row],[_Units1]]="",DefaultUnits,Tasks[[#This Row],[_Units1]]))</f>
        <v/>
      </c>
      <c r="EQ27" s="42">
        <f>Tasks[[#This Row],[_LeafWork]]+Tasks[[#This Row],[_Res2Work]]+Tasks[[#This Row],[_Res3Work]]+Tasks[[#This Row],[_Res4Work]]</f>
        <v/>
      </c>
      <c r="ER2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7" s="42">
        <f>IF(NOT(Tasks[[#This Row],[_IsLeaf]]=1),0,MAX(_xlfn.MAXIFS(Tasks[_Row],Tasks[_Pred1UID],Tasks[[#This Row],[UID]]),_xlfn.MAXIFS(Tasks[_Row],Tasks[_Pred2UID],Tasks[[#This Row],[UID]]),_xlfn.MAXIFS(Tasks[_Row],Tasks[_Pred3UID],Tasks[[#This Row],[UID]]),_xlfn.MAXIFS(Tasks[_Row],Tasks[_Pred4UID],Tasks[[#This Row],[UID]])))</f>
        <v/>
      </c>
      <c r="FA2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7" s="88">
        <f>IF(NOT(Tasks[[#This Row],[_IsLeaf]]=1),"",IF(N(Tasks[[#This Row],[_Days]])&lt;=0,Tasks[[#This Row],[_LeafLateFinish]],WORKDAY.INTL(Tasks[[#This Row],[_LeafLateFinish]],-(Tasks[[#This Row],[_Days]]-1),WorkWeek,Holidays)))</f>
        <v/>
      </c>
      <c r="FD2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7" s="42">
        <f>AND(Tasks[[#This Row],[_IsLeaf]]=1,Tasks[[#This Row],[_LeafProgress]]&lt;1,N(Tasks[[#This Row],[_LeafTotalSlack]])&lt;=CriticalSlackDays)</f>
        <v/>
      </c>
      <c r="FF27" s="42">
        <f>IF(AND(Tasks[[#This Row],[_IsLeaf]]=1,Tasks[[#This Row],[_ConstraintCode]]=1,Tasks[[#This Row],[Mode]]&lt;&gt;"Manual",N(Tasks[[#This Row],[Actual Start]])=0),MAX(0,N(Tasks[[#This Row],[Free Slack]])),0)</f>
        <v/>
      </c>
      <c r="FG27" s="88">
        <f>IF(NOT(Tasks[[#This Row],[_IsLeaf]]=1),"",IF(Tasks[[#This Row],[_AlapShift]]=0,Tasks[[#This Row],[_LeafCalcStart]],WORKDAY.INTL(Tasks[[#This Row],[_LeafCalcStart]],Tasks[[#This Row],[_AlapShift]],WorkWeek,Holidays)))</f>
        <v/>
      </c>
      <c r="FH27" s="88">
        <f>IF(NOT(Tasks[[#This Row],[_IsLeaf]]=1),"",IF(Tasks[[#This Row],[_AlapShift]]=0,Tasks[[#This Row],[_LeafCalcFinish]],WORKDAY.INTL(Tasks[[#This Row],[_LeafCalcFinish]],Tasks[[#This Row],[_AlapShift]],WorkWeek,Holidays)))</f>
        <v/>
      </c>
      <c r="FI27" s="88">
        <f>IF(NOT(Tasks[[#This Row],[_IsLeaf]]=1),"",IF(Tasks[[#This Row],[_AlapShift]]=0,Tasks[[#This Row],[_LeafFcstStart]],WORKDAY.INTL(Tasks[[#This Row],[_LeafFcstStart]],Tasks[[#This Row],[_AlapShift]],WorkWeek,Holidays)))</f>
        <v/>
      </c>
      <c r="FJ27" s="88">
        <f>IF(NOT(Tasks[[#This Row],[_IsLeaf]]=1),"",IF(Tasks[[#This Row],[_AlapShift]]=0,Tasks[[#This Row],[_LeafFcstFinish]],WORKDAY.INTL(Tasks[[#This Row],[_LeafFcstFinish]],Tasks[[#This Row],[_AlapShift]],WorkWeek,Holidays)))</f>
        <v/>
      </c>
      <c r="FK27" s="88">
        <f>IF(Tasks[[#This Row],[Task Name]]="","",IF(Tasks[[#This Row],[_IsSummary]],MIN(INDEX(Tasks[_ShownCalcStart],Tasks[[#This Row],[_Row]]+1):INDEX(Tasks[_ShownCalcStart],Tasks[[#This Row],[_Row]]+Tasks[[#This Row],[_Descendants]])),Tasks[[#This Row],[_ShownCalcStart]]))</f>
        <v/>
      </c>
      <c r="FL27" s="88">
        <f>IF(Tasks[[#This Row],[Task Name]]="","",IF(Tasks[[#This Row],[_IsSummary]],MAX(INDEX(Tasks[_ShownCalcFinish],Tasks[[#This Row],[_Row]]+1):INDEX(Tasks[_ShownCalcFinish],Tasks[[#This Row],[_Row]]+Tasks[[#This Row],[_Descendants]])),Tasks[[#This Row],[_ShownCalcFinish]]))</f>
        <v/>
      </c>
      <c r="FM2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7" s="42">
        <f>IF(AND(Tasks[[#This Row],[_IsLeaf]]=1,Tasks[[#This Row],[_LeafTotalWork]]&gt;0),NETWORKDAYS.INTL(ProjectStart,Tasks[[#This Row],[_ShownFcstStart]],WorkWeek,Holidays),0)</f>
        <v/>
      </c>
      <c r="FZ27" s="42">
        <f>IF(AND(Tasks[[#This Row],[_IsLeaf]]=1,Tasks[[#This Row],[_LeafTotalWork]]&gt;0),MAX(Tasks[[#This Row],[_StartWorkday]],NETWORKDAYS.INTL(ProjectStart,Tasks[[#This Row],[_ShownFcstFinish]],WorkWeek,Holidays)),0)</f>
        <v/>
      </c>
      <c r="GA27" s="42">
        <f>IF(AND(Tasks[[#This Row],[_IsLeaf]]=1,Tasks[[#This Row],[_LeafTotalWork]]&gt;0),Tasks[[#This Row],[_LeafWork]]/(Tasks[[#This Row],[_FinishWorkday]]-Tasks[[#This Row],[_StartWorkday]]+1),0)</f>
        <v/>
      </c>
      <c r="GB27" s="42">
        <f>Tasks[[#This Row],[_WorkPerWorkday]]*(Tasks[[#This Row],[_StartWorkday]]-1)</f>
        <v/>
      </c>
      <c r="GC27" s="42">
        <f>IF(Tasks[[#This Row],[_IsLeaf]]=1,MAX(N(Tasks[[#This Row],[_Days]]),0.1),0)</f>
        <v/>
      </c>
      <c r="GD27" s="42">
        <f>Tasks[[#This Row],[_WeightDur]]*Tasks[[#This Row],[_LeafProgress]]</f>
        <v/>
      </c>
      <c r="GE27" s="42">
        <f>Tasks[[#This Row],[_WeightDur]]*Tasks[[#This Row],[_PlannedPct]]</f>
        <v/>
      </c>
      <c r="GF2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7" s="42">
        <f>IF(AND(Tasks[[#This Row],[_IsLeaf]]=1,N(Tasks[[#This Row],[_Days]])=0,Tasks[[#This Row],[_LeafProgress]]&lt;1),Tasks[[#This Row],[_ShownFcstFinish]]+Tasks[[#This Row],[_Row]]/100000,"")</f>
        <v/>
      </c>
      <c r="GH2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7" s="42">
        <f>IF(Tasks[[#This Row],[Task Name]]="","",LEFT(Tasks[[#This Row],[WBS]],FIND(".",Tasks[[#This Row],[WBS]]&amp;".")-1))</f>
        <v/>
      </c>
      <c r="GJ27" s="42">
        <f>IF(AND(Tasks[[#This Row],[Task Name]]&lt;&gt;"",Tasks[[#This Row],[_Level]]=1),Tasks[[#This Row],[_Row]],"")</f>
        <v/>
      </c>
      <c r="GK27" s="42">
        <f>IF(AND(Tasks[[#This Row],[_IsLeaf]]=1,N(Tasks[[#This Row],[_Days]])=0),Tasks[[#This Row],[Planned Finish]]+Tasks[[#This Row],[_Row]]/100000,"")</f>
        <v/>
      </c>
      <c r="GL27" s="42">
        <f>IF(AND(Tasks[[#This Row],[_IsLeaf]]=1,Tasks[[#This Row],[_LeafProgress]]&lt;1,OR(N(Tasks[[#This Row],[Finish Var]])&gt;0,Tasks[[#This Row],[Status]]="Late Start")),MAX(0,Tasks[[#This Row],[Finish Var]])+1-Tasks[[#This Row],[_Row]]/1000000,"")</f>
        <v/>
      </c>
      <c r="GM27" s="42">
        <f>IF(AND(Tasks[[#This Row],[_IsLeaf]]=1,N(Tasks[[#This Row],[Actual Start]])=0,Tasks[[#This Row],[_ShownFcstStart]]&gt;=StatusDate,Tasks[[#This Row],[_ShownFcstStart]]&lt;=LookaheadEnd),Tasks[[#This Row],[_ShownFcstStart]]+Tasks[[#This Row],[_Row]]/100000,"")</f>
        <v/>
      </c>
      <c r="GN27" s="42">
        <f>IF(AND(Tasks[[#This Row],[_IsLeaf]]=1,Tasks[[#This Row],[_LeafProgress]]&lt;1,Tasks[[#This Row],[_ShownFcstFinish]]&gt;=StatusDate,Tasks[[#This Row],[_ShownFcstFinish]]&lt;=LookaheadEnd),Tasks[[#This Row],[_ShownFcstFinish]]+Tasks[[#This Row],[_Row]]/100000,"")</f>
        <v/>
      </c>
      <c r="GO27" s="42">
        <f>IF(Tasks[[#This Row],[_LeafCritical]],Tasks[[#This Row],[_ShownFcstStart]]+Tasks[[#This Row],[_Row]]/100000,"")</f>
        <v/>
      </c>
      <c r="GP27" s="42">
        <f>Tasks[[#This Row],[_LeafWork]]*Tasks[[#This Row],[_LeafProgress]]</f>
        <v/>
      </c>
      <c r="GQ27" s="88">
        <f>IF(AND(Tasks[[#This Row],[_IsLeaf]]=1,Tasks[[#This Row],[_LeafProgress]]&gt;=1),IF(N(Tasks[[#This Row],[Actual Finish]])&gt;0,Tasks[[#This Row],[Actual Finish]],Tasks[[#This Row],[_ShownFcstFinish]]),"")</f>
        <v/>
      </c>
      <c r="GR27" s="42">
        <f>IF(Tasks[[#This Row],[_IsLeaf]]=1,N(Tasks[[#This Row],[Story Points]]),0)</f>
        <v/>
      </c>
      <c r="GS27" s="42">
        <f>""</f>
        <v/>
      </c>
      <c r="GT27" s="42">
        <f>IF(Tasks[[#This Row],[Task Name]]="",FALSE(),AND(Tasks[[#This Row],[_IsLeaf]]=1,N(Tasks[[#This Row],[_Days]])=0))</f>
        <v/>
      </c>
      <c r="GU27" s="88">
        <f>IF(Tasks[[#This Row],[Task Name]]="",0,IF(AND(Tasks[[#This Row],[_IsLeaf]]=1,NOT(Tasks[[#This Row],[_IsMilestone]]),N(Tasks[[#This Row],[Progress]])&gt;0),Tasks[[#This Row],[Start]],0))</f>
        <v/>
      </c>
      <c r="GV27" s="88">
        <f>IF(Tasks[[#This Row],[_DoneFrom]]=0,0,IF(Tasks[[#This Row],[Progress]]&gt;=1,Tasks[[#This Row],[Finish]],MAX(Tasks[[#This Row],[_DoneFrom]],Tasks[[#This Row],[Start]]+ROUND((Tasks[[#This Row],[Finish]]-Tasks[[#This Row],[Start]]+1)*Tasks[[#This Row],[Progress]],0)-1)))</f>
        <v/>
      </c>
      <c r="GW27" s="88">
        <f>IF(Tasks[[#This Row],[Task Name]]="",0,IF(OR(NOT(Tasks[[#This Row],[_IsLeaf]]=1),Tasks[[#This Row],[_IsMilestone]],N(Tasks[[#This Row],[Progress]])&gt;=1),0,IF(Tasks[[#This Row],[_DoneTo]]&gt;0,Tasks[[#This Row],[_DoneTo]]+1,Tasks[[#This Row],[Start]])))</f>
        <v/>
      </c>
      <c r="GX27" s="88">
        <f>IF(Tasks[[#This Row],[_RemFrom]]=0,0,Tasks[[#This Row],[Finish]])</f>
        <v/>
      </c>
      <c r="GY27" s="42">
        <f>IF(Tasks[[#This Row],[Task Name]]="",FALSE(),OR(NOT(BaselineSet),N(Tasks[[#This Row],[Baseline Start]])&gt;0))</f>
        <v/>
      </c>
      <c r="GZ27" s="42">
        <f>IF(AND(Sandbox="Yes",L_PARSE_DURATION(Tasks[[#This Row],[Sandbox Duration]])&lt;&gt;""),L_PARSE_DURATION(Tasks[[#This Row],[Sandbox Duration]]),L_PARSE_DURATION(Tasks[[#This Row],[Duration]]))</f>
        <v/>
      </c>
      <c r="HA2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7" s="42">
        <f>IF(Tasks[[#This Row],[_IsLeaf]]=1,Tasks[[#This Row],[_Row]],"")</f>
        <v/>
      </c>
      <c r="HD27" s="42">
        <f>IFERROR(INDEX(Tasks[UID],SMALL(Tasks[_PickKey],Tasks[[#This Row],[_Row]]))&amp;" "&amp;INDEX(Tasks[Task Name],SMALL(Tasks[_PickKey],Tasks[[#This Row],[_Row]])),"")</f>
        <v/>
      </c>
      <c r="HE27" s="42">
        <f>IF(Tasks[[#This Row],[Task Name]]="","",IF(Tasks[[#This Row],[_IsSummary]],NETWORKDAYS.INTL(Tasks[[#This Row],[Start]],Tasks[[#This Row],[Finish]],WorkWeek,Holidays),N(Tasks[[#This Row],[_Days]])))</f>
        <v/>
      </c>
      <c r="HF27" s="42">
        <f>IF(Tasks[[#This Row],[Expected]]="",0,((Tasks[[#This Row],[Pessimistic]]-Tasks[[#This Row],[Optimistic]])/6)^2)</f>
        <v/>
      </c>
      <c r="HG27" s="42">
        <f>IF(Tasks[[#This Row],[Expected]]="",0,Tasks[[#This Row],[Expected]]-N(Tasks[[#This Row],[_Days]]))</f>
        <v/>
      </c>
    </row>
    <row r="28">
      <c r="A28" s="21">
        <f>IF(Tasks[[#This Row],[Task Name]]="","",COUNTA(Tasks[[#Headers],[Task Name]]:Tasks[[#This Row],[Task Name]])-1)</f>
        <v/>
      </c>
      <c r="B28" s="22" t="n">
        <v>36</v>
      </c>
      <c r="C28" s="22" t="n"/>
      <c r="D28" s="23" t="n"/>
      <c r="E28" s="22" t="n"/>
      <c r="F28" s="23" t="n"/>
      <c r="G28" s="22" t="n"/>
      <c r="H28" s="22" t="n"/>
      <c r="I28" s="23" t="n"/>
      <c r="J28" s="22" t="n"/>
      <c r="K28" s="22" t="n"/>
      <c r="L28" s="23" t="n"/>
      <c r="M28" s="22" t="n"/>
      <c r="N28" s="22" t="n"/>
      <c r="O28" s="23" t="n"/>
      <c r="P28" s="22" t="n"/>
      <c r="Q28" s="22" t="n"/>
      <c r="R28" s="23" t="n"/>
      <c r="S28" s="23" t="n"/>
      <c r="T28" s="82" t="n"/>
      <c r="U28" s="23" t="n"/>
      <c r="V28" s="82" t="n"/>
      <c r="W28" s="23" t="n"/>
      <c r="X28" s="82" t="n"/>
      <c r="Y28" s="23" t="n"/>
      <c r="Z28" s="82" t="n"/>
      <c r="AA28" s="23" t="n"/>
      <c r="AB28" s="23" t="n"/>
      <c r="AC28" s="7" t="n"/>
      <c r="AD28" s="7" t="n"/>
      <c r="AE28" s="61">
        <f>IF(Tasks[[#This Row],[Task Name]]="","",IF(Tasks[[#This Row],[_IsSummary]],MIN(INDEX(Tasks[_ShownFcstStart],Tasks[[#This Row],[_Row]]+1):INDEX(Tasks[_ShownFcstStart],Tasks[[#This Row],[_Row]]+Tasks[[#This Row],[_Descendants]])),Tasks[[#This Row],[_ShownFcstStart]]))</f>
        <v/>
      </c>
      <c r="AF28" s="61">
        <f>IF(Tasks[[#This Row],[Task Name]]="","",IF(Tasks[[#This Row],[_IsSummary]],MAX(INDEX(Tasks[_ShownFcstFinish],Tasks[[#This Row],[_Row]]+1):INDEX(Tasks[_ShownFcstFinish],Tasks[[#This Row],[_Row]]+Tasks[[#This Row],[_Descendants]])),Tasks[[#This Row],[_ShownFcstFinish]]))</f>
        <v/>
      </c>
      <c r="AG28" s="21">
        <f>""</f>
        <v/>
      </c>
      <c r="AH28" s="23" t="n"/>
      <c r="AI2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8" s="7" t="n"/>
      <c r="AK28" s="22" t="n"/>
      <c r="AL28" s="23" t="n"/>
      <c r="AM28" s="7" t="n"/>
      <c r="AN28" s="21">
        <f>IF(Tasks[[#This Row],[Task Name]]="","",IF(Tasks[[#This Row],[Finish]]&gt;=Tasks[[#This Row],[Planned Finish]],NETWORKDAYS.INTL(Tasks[[#This Row],[Planned Finish]],Tasks[[#This Row],[Finish]],WorkWeek,Holidays)-1,1-NETWORKDAYS.INTL(Tasks[[#This Row],[Finish]],Tasks[[#This Row],[Planned Finish]],WorkWeek,Holidays)))</f>
        <v/>
      </c>
      <c r="AO28" s="21">
        <f>IF(Tasks[[#This Row],[Task Name]]="","",IF(Tasks[[#This Row],[Progress]]&gt;=1,"Complete",IF(OR(N(Tasks[[#This Row],[Actual Start]])&gt;0,Tasks[[#This Row],[Progress]]&gt;0),IF(Tasks[[#This Row],[Finish Var]]&gt;0,"Behind","In Progress"),IF(Tasks[[#This Row],[Planned Start]]&lt;StatusDate,"Late Start","Not Started"))))</f>
        <v/>
      </c>
      <c r="AP28" s="21">
        <f>IF(Tasks[[#This Row],[Task Name]]="","",IF(IF(Tasks[[#This Row],[_IsSummary]],COUNTIF(INDEX(Tasks[_LeafCritical],Tasks[[#This Row],[_Row]]+1):INDEX(Tasks[_LeafCritical],Tasks[[#This Row],[_Row]]+Tasks[[#This Row],[_Descendants]]),TRUE())&gt;0,Tasks[[#This Row],[_LeafCritical]]),"Yes",""))</f>
        <v/>
      </c>
      <c r="AQ28" s="61">
        <f>IF(Tasks[[#This Row],[Task Name]]="","",IF(N(Tasks[[#This Row],[Baseline Start]])&gt;0,Tasks[[#This Row],[Baseline Start]],Tasks[[#This Row],[_CalcStart]]))</f>
        <v/>
      </c>
      <c r="AR28" s="61">
        <f>IF(Tasks[[#This Row],[Task Name]]="","",IF(N(Tasks[[#This Row],[Baseline Finish]])&gt;0,Tasks[[#This Row],[Baseline Finish]],Tasks[[#This Row],[_CalcFinish]]))</f>
        <v/>
      </c>
      <c r="AS28" s="21">
        <f>IF(Tasks[[#This Row],[Task Name]]="","",IF(Tasks[[#This Row],[Start]]&gt;=Tasks[[#This Row],[Planned Start]],NETWORKDAYS.INTL(Tasks[[#This Row],[Planned Start]],Tasks[[#This Row],[Start]],WorkWeek,Holidays)-1,1-NETWORKDAYS.INTL(Tasks[[#This Row],[Start]],Tasks[[#This Row],[Planned Start]],WorkWeek,Holidays)))</f>
        <v/>
      </c>
      <c r="AT28" s="61">
        <f>IF(Tasks[[#This Row],[Task Name]]="","",IF(Tasks[[#This Row],[_IsSummary]],MIN(INDEX(Tasks[_LeafLateStart],Tasks[[#This Row],[_Row]]+1):INDEX(Tasks[_LeafLateStart],Tasks[[#This Row],[_Row]]+Tasks[[#This Row],[_Descendants]])),Tasks[[#This Row],[_LeafLateStart]]))</f>
        <v/>
      </c>
      <c r="AU28" s="61">
        <f>IF(Tasks[[#This Row],[Task Name]]="","",IF(Tasks[[#This Row],[_IsSummary]],MAX(INDEX(Tasks[_LeafLateFinish],Tasks[[#This Row],[_Row]]+1):INDEX(Tasks[_LeafLateFinish],Tasks[[#This Row],[_Row]]+Tasks[[#This Row],[_Descendants]])),Tasks[[#This Row],[_LeafLateFinish]]))</f>
        <v/>
      </c>
      <c r="AV28" s="21">
        <f>IF(Tasks[[#This Row],[Task Name]]="","",IF(Tasks[[#This Row],[_IsSummary]],MIN(INDEX(Tasks[_LeafTotalSlack],Tasks[[#This Row],[_Row]]+1):INDEX(Tasks[_LeafTotalSlack],Tasks[[#This Row],[_Row]]+Tasks[[#This Row],[_Descendants]])),Tasks[[#This Row],[_LeafTotalSlack]]))</f>
        <v/>
      </c>
      <c r="AW2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3" t="n"/>
      <c r="BA2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f>IF(Tasks[[#This Row],[Task Name]]="","",IF(Tasks[[#This Row],[_Level]]&lt;=OutlineShowLevel,"Yes","No"))</f>
        <v/>
      </c>
      <c r="BE28" s="84">
        <f>IF(Tasks[[#This Row],[Task Name]]="","",IF(Tasks[[#This Row],[_IsSummary]],SUM(INDEX(Tasks[_LeafTotalWork],Tasks[[#This Row],[_Row]]+1):INDEX(Tasks[_LeafTotalWork],Tasks[[#This Row],[_Row]]+Tasks[[#This Row],[_Descendants]])),Tasks[[#This Row],[_LeafTotalWork]]))</f>
        <v/>
      </c>
      <c r="BF28" s="23" t="n"/>
      <c r="BG2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f>""</f>
        <v/>
      </c>
      <c r="BI28" s="85" t="n"/>
      <c r="BJ28" s="22" t="n"/>
      <c r="BK28" s="21">
        <f>IF(OR(Tasks[[#This Row],[Task Name]]="",Tasks[[#This Row],[Baseline Duration]]=""),"",Tasks[[#This Row],[_SpanDays]]-N(Tasks[[#This Row],[Baseline Duration]]))</f>
        <v/>
      </c>
      <c r="BL28" s="84">
        <f>IF(OR(Tasks[[#This Row],[Task Name]]="",Tasks[[#This Row],[Baseline Work]]=""),"",Tasks[[#This Row],[Work]]-N(Tasks[[#This Row],[Baseline Work]]))</f>
        <v/>
      </c>
      <c r="BM28" s="61">
        <f>IF(Tasks[[#This Row],[Task Name]]="","",IF(OR(TakeBaseline="Yes",N(Tasks[[#This Row],[Baseline Start]])=0),Tasks[[#This Row],[Start]],Tasks[[#This Row],[Baseline Start]]))</f>
        <v/>
      </c>
      <c r="BN28" s="61">
        <f>IF(Tasks[[#This Row],[Task Name]]="","",IF(OR(TakeBaseline="Yes",N(Tasks[[#This Row],[Baseline Finish]])=0),Tasks[[#This Row],[Finish]],Tasks[[#This Row],[Baseline Finish]]))</f>
        <v/>
      </c>
      <c r="BO28" s="21">
        <f>IF(Tasks[[#This Row],[Task Name]]="","",IF(OR(TakeBaseline="Yes",N(Tasks[[#This Row],[Baseline Duration]])=0),Tasks[[#This Row],[_SpanDays]],Tasks[[#This Row],[Baseline Duration]]))</f>
        <v/>
      </c>
      <c r="BP28" s="84">
        <f>IF(Tasks[[#This Row],[Task Name]]="","",IF(OR(TakeBaseline="Yes",N(Tasks[[#This Row],[Baseline Work]])=0),Tasks[[#This Row],[Work]],Tasks[[#This Row],[Baseline Work]]))</f>
        <v/>
      </c>
      <c r="BQ28" s="7" t="n"/>
      <c r="BR28" s="7" t="n"/>
      <c r="BS28" s="22" t="n"/>
      <c r="BT28" s="86" t="n"/>
      <c r="BU28" s="23" t="n"/>
      <c r="BV28" s="23" t="n"/>
      <c r="BW28" s="23" t="n"/>
      <c r="BX28" s="87">
        <f>IF(AND(Tasks[[#This Row],[_IsLeaf]]=1,ISNUMBER(Tasks[[#This Row],[Optimistic]]),ISNUMBER(Tasks[[#This Row],[Pessimistic]])),ROUND((Tasks[[#This Row],[Optimistic]]+4*N(Tasks[[#This Row],[_Days]])+Tasks[[#This Row],[Pessimistic]])/6,1),"")</f>
        <v/>
      </c>
      <c r="BY28" s="85" t="n"/>
      <c r="BZ28" s="85" t="n"/>
      <c r="CA28" s="22" t="n"/>
      <c r="CB28" s="42">
        <f>IF(Tasks[[#This Row],[Task Name]]="","",MAX(1,N(Tasks[[#This Row],[Level]])))</f>
        <v/>
      </c>
      <c r="CC28" s="42">
        <f>ROW()-ROW(Tasks[[#Headers],[ID]])</f>
        <v/>
      </c>
      <c r="CD28" s="42">
        <f>IF(OR(Tasks[[#This Row],[Task Name]]="",Tasks[[#This Row],[_Level]]&lt;=1),0,IFERROR(LOOKUP(2,1/(Tasks[[#Headers],[_Level]]:Tasks[[#This Row],[_Level]]=Tasks[[#This Row],[_Level]]-1),ROW(Tasks[[#Headers],[_Level]]:Tasks[[#This Row],[_Level]])),0))</f>
        <v/>
      </c>
      <c r="CE28" s="42">
        <f>IFERROR(N(INDEX(Tasks[_Level],Tasks[[#This Row],[_Row]]+1)),0)</f>
        <v/>
      </c>
      <c r="CF28" s="42">
        <f>AND(Tasks[[#This Row],[Task Name]]&lt;&gt;"",Tasks[[#This Row],[_NextLevel]]&gt;Tasks[[#This Row],[_Level]])</f>
        <v/>
      </c>
      <c r="CG28" s="42">
        <f>IF(Tasks[[#This Row],[_IsSummary]],COUNTIF(Tasks[WBS],Tasks[[#This Row],[WBS]]&amp;".*"),0)</f>
        <v/>
      </c>
      <c r="CH28" s="42">
        <f>IF(AND(Tasks[[#This Row],[Task Name]]&lt;&gt;"",NOT(Tasks[[#This Row],[_IsSummary]])),1,0)</f>
        <v/>
      </c>
      <c r="CI28" s="42">
        <f>IF(N(Tasks[[#This Row],[_Pred1UID]])=0,0,IFERROR(MATCH(Tasks[[#This Row],[_Pred1UID]],Tasks[UID],0),-1))</f>
        <v/>
      </c>
      <c r="CJ28" s="42">
        <f>IF(N(Tasks[[#This Row],[_Pred2UID]])=0,0,IFERROR(MATCH(Tasks[[#This Row],[_Pred2UID]],Tasks[UID],0),-1))</f>
        <v/>
      </c>
      <c r="CK28" s="42">
        <f>IF(N(Tasks[[#This Row],[_Pred3UID]])=0,0,IFERROR(MATCH(Tasks[[#This Row],[_Pred3UID]],Tasks[UID],0),-1))</f>
        <v/>
      </c>
      <c r="CL28" s="42">
        <f>IF(N(Tasks[[#This Row],[_Pred4UID]])=0,0,IFERROR(MATCH(Tasks[[#This Row],[_Pred4UID]],Tasks[UID],0),-1))</f>
        <v/>
      </c>
      <c r="CM2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8" s="88">
        <f>IF(N(Tasks[[#This Row],[Constraint Date]])=0,0,IF(AND(OR(Tasks[[#This Row],[_ConstraintCode]]=3,Tasks[[#This Row],[_ConstraintCode]]=6,Tasks[[#This Row],[_ConstraintCode]]=7),N(Tasks[[#This Row],[_Days]])&gt;1),WORKDAY.INTL(N(Tasks[[#This Row],[Constraint Date]]),-(N(Tasks[[#This Row],[_Days]])-1),WorkWeek,Holidays),N(Tasks[[#This Row],[Constraint Date]])))</f>
        <v/>
      </c>
      <c r="CO28" s="88">
        <f>IF(OR(Tasks[[#This Row],[_ConstraintCode]]=2,Tasks[[#This Row],[_ConstraintCode]]=3,Tasks[[#This Row],[_ConstraintCode]]=4,Tasks[[#This Row],[_ConstraintCode]]=6),Tasks[[#This Row],[_ConstraintStart]],0)</f>
        <v/>
      </c>
      <c r="CP28" s="88">
        <f>IF(OR(Tasks[[#This Row],[_ConstraintCode]]=2,Tasks[[#This Row],[_ConstraintCode]]=3,Tasks[[#This Row],[_ConstraintCode]]=5,Tasks[[#This Row],[_ConstraintCode]]=7),Tasks[[#This Row],[_ConstraintStart]],2958465)</f>
        <v/>
      </c>
      <c r="CQ2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8" s="88">
        <f>IF(NOT(Tasks[[#This Row],[_IsLeaf]]=1),"",IF(N(Tasks[[#This Row],[_Days]])&lt;=0,Tasks[[#This Row],[_LeafCalcStart]],WORKDAY.INTL(Tasks[[#This Row],[_LeafCalcStart]],Tasks[[#This Row],[_Days]]-1,WorkWeek,Holidays)))</f>
        <v/>
      </c>
      <c r="CS2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8" s="42">
        <f>IF(Tasks[[#This Row],[_Predecessors]]="","",TRIM(MID(SUBSTITUTE(SUBSTITUTE(SUBSTITUTE(UPPER(Tasks[[#This Row],[_Predecessors]]),";",",")," ",""),",",REPT(" ",99)),1,99)))</f>
        <v/>
      </c>
      <c r="CV28" s="42">
        <f>IF(Tasks[[#This Row],[_Pred1Text]]="","",IFERROR(VALUE(LEFT(Tasks[[#This Row],[_Pred1Text]],MIN(FIND("F",Tasks[[#This Row],[_Pred1Text]]&amp;"F"),FIND("S",Tasks[[#This Row],[_Pred1Text]]&amp;"S"),FIND("+",Tasks[[#This Row],[_Pred1Text]]&amp;"+"),FIND("-",Tasks[[#This Row],[_Pred1Text]]&amp;"-"))-1)),""))</f>
        <v/>
      </c>
      <c r="CW2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8" s="42">
        <f>IF(Tasks[[#This Row],[_Pred1Text]]="","",TRIM(MID(SUBSTITUTE(SUBSTITUTE(SUBSTITUTE(UPPER(Tasks[[#This Row],[_Predecessors]]),";",",")," ",""),",",REPT(" ",99)),100,99)))</f>
        <v/>
      </c>
      <c r="CZ28" s="42">
        <f>IF(Tasks[[#This Row],[_Pred2Text]]="","",IFERROR(VALUE(LEFT(Tasks[[#This Row],[_Pred2Text]],MIN(FIND("F",Tasks[[#This Row],[_Pred2Text]]&amp;"F"),FIND("S",Tasks[[#This Row],[_Pred2Text]]&amp;"S"),FIND("+",Tasks[[#This Row],[_Pred2Text]]&amp;"+"),FIND("-",Tasks[[#This Row],[_Pred2Text]]&amp;"-"))-1)),""))</f>
        <v/>
      </c>
      <c r="DA2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8" s="42">
        <f>IF(Tasks[[#This Row],[_Pred2Text]]="","",TRIM(MID(SUBSTITUTE(SUBSTITUTE(SUBSTITUTE(UPPER(Tasks[[#This Row],[_Predecessors]]),";",",")," ",""),",",REPT(" ",99)),199,99)))</f>
        <v/>
      </c>
      <c r="DD28" s="42">
        <f>IF(Tasks[[#This Row],[_Pred3Text]]="","",IFERROR(VALUE(LEFT(Tasks[[#This Row],[_Pred3Text]],MIN(FIND("F",Tasks[[#This Row],[_Pred3Text]]&amp;"F"),FIND("S",Tasks[[#This Row],[_Pred3Text]]&amp;"S"),FIND("+",Tasks[[#This Row],[_Pred3Text]]&amp;"+"),FIND("-",Tasks[[#This Row],[_Pred3Text]]&amp;"-"))-1)),""))</f>
        <v/>
      </c>
      <c r="DE2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8" s="42">
        <f>IF(Tasks[[#This Row],[_Pred3Text]]="","",TRIM(MID(SUBSTITUTE(SUBSTITUTE(SUBSTITUTE(UPPER(Tasks[[#This Row],[_Predecessors]]),";",",")," ",""),",",REPT(" ",99)),298,99)))</f>
        <v/>
      </c>
      <c r="DH28" s="42">
        <f>IF(Tasks[[#This Row],[_Pred4Text]]="","",IFERROR(VALUE(LEFT(Tasks[[#This Row],[_Pred4Text]],MIN(FIND("F",Tasks[[#This Row],[_Pred4Text]]&amp;"F"),FIND("S",Tasks[[#This Row],[_Pred4Text]]&amp;"S"),FIND("+",Tasks[[#This Row],[_Pred4Text]]&amp;"+"),FIND("-",Tasks[[#This Row],[_Pred4Text]]&amp;"-"))-1)),""))</f>
        <v/>
      </c>
      <c r="DI2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8" s="42">
        <f>IF(OR(Tasks[[#This Row],[Task Name]]="",Tasks[[#This Row],[_Resources]]=""),"",TRIM(MID(SUBSTITUTE(Tasks[[#This Row],[_Resources]],",",REPT(" ",99)),1,99)))</f>
        <v/>
      </c>
      <c r="DL28" s="42">
        <f>IF(Tasks[[#This Row],[_Res1Text]]="","",TRIM(MID(SUBSTITUTE(Tasks[[#This Row],[_Resources]],",",REPT(" ",99)),100,99)))</f>
        <v/>
      </c>
      <c r="DM28" s="42">
        <f>IF(Tasks[[#This Row],[_Res2Text]]="","",TRIM(MID(SUBSTITUTE(Tasks[[#This Row],[_Resources]],",",REPT(" ",99)),199,99)))</f>
        <v/>
      </c>
      <c r="DN28" s="42">
        <f>IF(Tasks[[#This Row],[_Res3Text]]="","",TRIM(MID(SUBSTITUTE(Tasks[[#This Row],[_Resources]],",",REPT(" ",99)),298,99)))</f>
        <v/>
      </c>
      <c r="DO28" s="42">
        <f>IF(Tasks[[#This Row],[_Res1Text]]="",0,IFERROR(MATCH(TRIM(LEFT(Tasks[[#This Row],[_Res1Text]],FIND("[",Tasks[[#This Row],[_Res1Text]]&amp;"[")-1)),res_Name,0),IFERROR(MATCH(TRIM(LEFT(Tasks[[#This Row],[_Res1Text]],FIND("[",Tasks[[#This Row],[_Res1Text]]&amp;"[")-1)),res_Initials,0),0)))</f>
        <v/>
      </c>
      <c r="DP28" s="42">
        <f>IF(Tasks[[#This Row],[_Res2Text]]="",0,IFERROR(MATCH(TRIM(LEFT(Tasks[[#This Row],[_Res2Text]],FIND("[",Tasks[[#This Row],[_Res2Text]]&amp;"[")-1)),res_Name,0),IFERROR(MATCH(TRIM(LEFT(Tasks[[#This Row],[_Res2Text]],FIND("[",Tasks[[#This Row],[_Res2Text]]&amp;"[")-1)),res_Initials,0),0)))</f>
        <v/>
      </c>
      <c r="DQ28" s="42">
        <f>IF(Tasks[[#This Row],[_Res3Text]]="",0,IFERROR(MATCH(TRIM(LEFT(Tasks[[#This Row],[_Res3Text]],FIND("[",Tasks[[#This Row],[_Res3Text]]&amp;"[")-1)),res_Name,0),IFERROR(MATCH(TRIM(LEFT(Tasks[[#This Row],[_Res3Text]],FIND("[",Tasks[[#This Row],[_Res3Text]]&amp;"[")-1)),res_Initials,0),0)))</f>
        <v/>
      </c>
      <c r="DR28" s="42">
        <f>IF(Tasks[[#This Row],[_Res4Text]]="",0,IFERROR(MATCH(TRIM(LEFT(Tasks[[#This Row],[_Res4Text]],FIND("[",Tasks[[#This Row],[_Res4Text]]&amp;"[")-1)),res_Name,0),IFERROR(MATCH(TRIM(LEFT(Tasks[[#This Row],[_Res4Text]],FIND("[",Tasks[[#This Row],[_Res4Text]]&amp;"[")-1)),res_Initials,0),0)))</f>
        <v/>
      </c>
      <c r="DS28" s="42">
        <f>IF(Tasks[[#This Row],[_Res1Text]]="","",IF(Tasks[[#This Row],[_Res1Row]]&gt;0,INDEX(res_Name,Tasks[[#This Row],[_Res1Row]]),TRIM(LEFT(Tasks[[#This Row],[_Res1Text]],FIND("[",Tasks[[#This Row],[_Res1Text]]&amp;"[")-1))))</f>
        <v/>
      </c>
      <c r="DT2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8" s="42">
        <f>IF(NOT(Tasks[[#This Row],[_IsLeaf]]=1),0,(Tasks[[#This Row],[_Resource1]]&lt;&gt;"")+(Tasks[[#This Row],[_Res2]]&lt;&gt;"")+(Tasks[[#This Row],[_Res3]]&lt;&gt;"")+(Tasks[[#This Row],[_Res4]]&lt;&gt;""))</f>
        <v/>
      </c>
      <c r="DV28" s="42">
        <f>IF(Tasks[[#This Row],[_Res2Text]]="","",IF(Tasks[[#This Row],[_Res2Row]]&gt;0,INDEX(res_Name,Tasks[[#This Row],[_Res2Row]]),TRIM(LEFT(Tasks[[#This Row],[_Res2Text]],FIND("[",Tasks[[#This Row],[_Res2Text]]&amp;"[")-1))))</f>
        <v/>
      </c>
      <c r="DW2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8" s="42">
        <f>IF(OR(NOT(Tasks[[#This Row],[_IsLeaf]]=1),Tasks[[#This Row],[_Res2Row]]=0),0,N(Tasks[[#This Row],[_Days]])*HoursPerDay*IF(Tasks[[#This Row],[_Res2Units]]="",DefaultUnits,Tasks[[#This Row],[_Res2Units]]))</f>
        <v/>
      </c>
      <c r="DY28" s="42">
        <f>IF(AND(AND(Tasks[[#This Row],[_IsLeaf]]=1,Tasks[[#This Row],[_LeafTotalWork]]&gt;0),Tasks[[#This Row],[_Res2Work]]&gt;0),Tasks[[#This Row],[_Res2Work]]/(Tasks[[#This Row],[_FinishWorkday]]-Tasks[[#This Row],[_StartWorkday]]+1),0)</f>
        <v/>
      </c>
      <c r="DZ28" s="42">
        <f>Tasks[[#This Row],[_Res2WorkPerWD]]*MAX(0,Tasks[[#This Row],[_StartWorkday]]-1)</f>
        <v/>
      </c>
      <c r="EA28" s="42">
        <f>Tasks[[#This Row],[_Res2Work]]*Tasks[[#This Row],[_LeafProgress]]</f>
        <v/>
      </c>
      <c r="EB28" s="42">
        <f>IF(Tasks[[#This Row],[_Res3Text]]="","",IF(Tasks[[#This Row],[_Res3Row]]&gt;0,INDEX(res_Name,Tasks[[#This Row],[_Res3Row]]),TRIM(LEFT(Tasks[[#This Row],[_Res3Text]],FIND("[",Tasks[[#This Row],[_Res3Text]]&amp;"[")-1))))</f>
        <v/>
      </c>
      <c r="EC2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8" s="42">
        <f>IF(OR(NOT(Tasks[[#This Row],[_IsLeaf]]=1),Tasks[[#This Row],[_Res3Row]]=0),0,N(Tasks[[#This Row],[_Days]])*HoursPerDay*IF(Tasks[[#This Row],[_Res3Units]]="",DefaultUnits,Tasks[[#This Row],[_Res3Units]]))</f>
        <v/>
      </c>
      <c r="EE28" s="42">
        <f>IF(AND(AND(Tasks[[#This Row],[_IsLeaf]]=1,Tasks[[#This Row],[_LeafTotalWork]]&gt;0),Tasks[[#This Row],[_Res3Work]]&gt;0),Tasks[[#This Row],[_Res3Work]]/(Tasks[[#This Row],[_FinishWorkday]]-Tasks[[#This Row],[_StartWorkday]]+1),0)</f>
        <v/>
      </c>
      <c r="EF28" s="42">
        <f>Tasks[[#This Row],[_Res3WorkPerWD]]*MAX(0,Tasks[[#This Row],[_StartWorkday]]-1)</f>
        <v/>
      </c>
      <c r="EG28" s="42">
        <f>Tasks[[#This Row],[_Res3Work]]*Tasks[[#This Row],[_LeafProgress]]</f>
        <v/>
      </c>
      <c r="EH28" s="42">
        <f>IF(Tasks[[#This Row],[_Res4Text]]="","",IF(Tasks[[#This Row],[_Res4Row]]&gt;0,INDEX(res_Name,Tasks[[#This Row],[_Res4Row]]),TRIM(LEFT(Tasks[[#This Row],[_Res4Text]],FIND("[",Tasks[[#This Row],[_Res4Text]]&amp;"[")-1))))</f>
        <v/>
      </c>
      <c r="EI2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8" s="42">
        <f>IF(OR(NOT(Tasks[[#This Row],[_IsLeaf]]=1),Tasks[[#This Row],[_Res4Row]]=0),0,N(Tasks[[#This Row],[_Days]])*HoursPerDay*IF(Tasks[[#This Row],[_Res4Units]]="",DefaultUnits,Tasks[[#This Row],[_Res4Units]]))</f>
        <v/>
      </c>
      <c r="EK28" s="42">
        <f>IF(AND(AND(Tasks[[#This Row],[_IsLeaf]]=1,Tasks[[#This Row],[_LeafTotalWork]]&gt;0),Tasks[[#This Row],[_Res4Work]]&gt;0),Tasks[[#This Row],[_Res4Work]]/(Tasks[[#This Row],[_FinishWorkday]]-Tasks[[#This Row],[_StartWorkday]]+1),0)</f>
        <v/>
      </c>
      <c r="EL28" s="42">
        <f>Tasks[[#This Row],[_Res4WorkPerWD]]*MAX(0,Tasks[[#This Row],[_StartWorkday]]-1)</f>
        <v/>
      </c>
      <c r="EM28" s="42">
        <f>Tasks[[#This Row],[_Res4Work]]*Tasks[[#This Row],[_LeafProgress]]</f>
        <v/>
      </c>
      <c r="EN28" s="42">
        <f>IF(ISNUMBER(Tasks[[#This Row],[% Complete]]),Tasks[[#This Row],[% Complete]],IF(Tasks[[#This Row],[Stage]]="",0,IFERROR(INDEX(stg_Pct,MATCH(Tasks[[#This Row],[Stage]],stg_Name,0)),0)))</f>
        <v/>
      </c>
      <c r="EO28" s="42">
        <f>IF(NOT(Tasks[[#This Row],[_IsLeaf]]=1),0,IF(N(Tasks[[#This Row],[Actual Finish]])&gt;0,1,MIN(1,Tasks[[#This Row],[_Pct]])))</f>
        <v/>
      </c>
      <c r="EP28" s="42">
        <f>IF(OR(NOT(Tasks[[#This Row],[_IsLeaf]]=1),Tasks[[#This Row],[_Res1Row]]=0),0,N(Tasks[[#This Row],[_Days]])*HoursPerDay*IF(Tasks[[#This Row],[_Units1]]="",DefaultUnits,Tasks[[#This Row],[_Units1]]))</f>
        <v/>
      </c>
      <c r="EQ28" s="42">
        <f>Tasks[[#This Row],[_LeafWork]]+Tasks[[#This Row],[_Res2Work]]+Tasks[[#This Row],[_Res3Work]]+Tasks[[#This Row],[_Res4Work]]</f>
        <v/>
      </c>
      <c r="ER2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8" s="42">
        <f>IF(NOT(Tasks[[#This Row],[_IsLeaf]]=1),0,MAX(_xlfn.MAXIFS(Tasks[_Row],Tasks[_Pred1UID],Tasks[[#This Row],[UID]]),_xlfn.MAXIFS(Tasks[_Row],Tasks[_Pred2UID],Tasks[[#This Row],[UID]]),_xlfn.MAXIFS(Tasks[_Row],Tasks[_Pred3UID],Tasks[[#This Row],[UID]]),_xlfn.MAXIFS(Tasks[_Row],Tasks[_Pred4UID],Tasks[[#This Row],[UID]])))</f>
        <v/>
      </c>
      <c r="FA2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8" s="88">
        <f>IF(NOT(Tasks[[#This Row],[_IsLeaf]]=1),"",IF(N(Tasks[[#This Row],[_Days]])&lt;=0,Tasks[[#This Row],[_LeafLateFinish]],WORKDAY.INTL(Tasks[[#This Row],[_LeafLateFinish]],-(Tasks[[#This Row],[_Days]]-1),WorkWeek,Holidays)))</f>
        <v/>
      </c>
      <c r="FD2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8" s="42">
        <f>AND(Tasks[[#This Row],[_IsLeaf]]=1,Tasks[[#This Row],[_LeafProgress]]&lt;1,N(Tasks[[#This Row],[_LeafTotalSlack]])&lt;=CriticalSlackDays)</f>
        <v/>
      </c>
      <c r="FF28" s="42">
        <f>IF(AND(Tasks[[#This Row],[_IsLeaf]]=1,Tasks[[#This Row],[_ConstraintCode]]=1,Tasks[[#This Row],[Mode]]&lt;&gt;"Manual",N(Tasks[[#This Row],[Actual Start]])=0),MAX(0,N(Tasks[[#This Row],[Free Slack]])),0)</f>
        <v/>
      </c>
      <c r="FG28" s="88">
        <f>IF(NOT(Tasks[[#This Row],[_IsLeaf]]=1),"",IF(Tasks[[#This Row],[_AlapShift]]=0,Tasks[[#This Row],[_LeafCalcStart]],WORKDAY.INTL(Tasks[[#This Row],[_LeafCalcStart]],Tasks[[#This Row],[_AlapShift]],WorkWeek,Holidays)))</f>
        <v/>
      </c>
      <c r="FH28" s="88">
        <f>IF(NOT(Tasks[[#This Row],[_IsLeaf]]=1),"",IF(Tasks[[#This Row],[_AlapShift]]=0,Tasks[[#This Row],[_LeafCalcFinish]],WORKDAY.INTL(Tasks[[#This Row],[_LeafCalcFinish]],Tasks[[#This Row],[_AlapShift]],WorkWeek,Holidays)))</f>
        <v/>
      </c>
      <c r="FI28" s="88">
        <f>IF(NOT(Tasks[[#This Row],[_IsLeaf]]=1),"",IF(Tasks[[#This Row],[_AlapShift]]=0,Tasks[[#This Row],[_LeafFcstStart]],WORKDAY.INTL(Tasks[[#This Row],[_LeafFcstStart]],Tasks[[#This Row],[_AlapShift]],WorkWeek,Holidays)))</f>
        <v/>
      </c>
      <c r="FJ28" s="88">
        <f>IF(NOT(Tasks[[#This Row],[_IsLeaf]]=1),"",IF(Tasks[[#This Row],[_AlapShift]]=0,Tasks[[#This Row],[_LeafFcstFinish]],WORKDAY.INTL(Tasks[[#This Row],[_LeafFcstFinish]],Tasks[[#This Row],[_AlapShift]],WorkWeek,Holidays)))</f>
        <v/>
      </c>
      <c r="FK28" s="88">
        <f>IF(Tasks[[#This Row],[Task Name]]="","",IF(Tasks[[#This Row],[_IsSummary]],MIN(INDEX(Tasks[_ShownCalcStart],Tasks[[#This Row],[_Row]]+1):INDEX(Tasks[_ShownCalcStart],Tasks[[#This Row],[_Row]]+Tasks[[#This Row],[_Descendants]])),Tasks[[#This Row],[_ShownCalcStart]]))</f>
        <v/>
      </c>
      <c r="FL28" s="88">
        <f>IF(Tasks[[#This Row],[Task Name]]="","",IF(Tasks[[#This Row],[_IsSummary]],MAX(INDEX(Tasks[_ShownCalcFinish],Tasks[[#This Row],[_Row]]+1):INDEX(Tasks[_ShownCalcFinish],Tasks[[#This Row],[_Row]]+Tasks[[#This Row],[_Descendants]])),Tasks[[#This Row],[_ShownCalcFinish]]))</f>
        <v/>
      </c>
      <c r="FM2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8" s="42">
        <f>IF(AND(Tasks[[#This Row],[_IsLeaf]]=1,Tasks[[#This Row],[_LeafTotalWork]]&gt;0),NETWORKDAYS.INTL(ProjectStart,Tasks[[#This Row],[_ShownFcstStart]],WorkWeek,Holidays),0)</f>
        <v/>
      </c>
      <c r="FZ28" s="42">
        <f>IF(AND(Tasks[[#This Row],[_IsLeaf]]=1,Tasks[[#This Row],[_LeafTotalWork]]&gt;0),MAX(Tasks[[#This Row],[_StartWorkday]],NETWORKDAYS.INTL(ProjectStart,Tasks[[#This Row],[_ShownFcstFinish]],WorkWeek,Holidays)),0)</f>
        <v/>
      </c>
      <c r="GA28" s="42">
        <f>IF(AND(Tasks[[#This Row],[_IsLeaf]]=1,Tasks[[#This Row],[_LeafTotalWork]]&gt;0),Tasks[[#This Row],[_LeafWork]]/(Tasks[[#This Row],[_FinishWorkday]]-Tasks[[#This Row],[_StartWorkday]]+1),0)</f>
        <v/>
      </c>
      <c r="GB28" s="42">
        <f>Tasks[[#This Row],[_WorkPerWorkday]]*(Tasks[[#This Row],[_StartWorkday]]-1)</f>
        <v/>
      </c>
      <c r="GC28" s="42">
        <f>IF(Tasks[[#This Row],[_IsLeaf]]=1,MAX(N(Tasks[[#This Row],[_Days]]),0.1),0)</f>
        <v/>
      </c>
      <c r="GD28" s="42">
        <f>Tasks[[#This Row],[_WeightDur]]*Tasks[[#This Row],[_LeafProgress]]</f>
        <v/>
      </c>
      <c r="GE28" s="42">
        <f>Tasks[[#This Row],[_WeightDur]]*Tasks[[#This Row],[_PlannedPct]]</f>
        <v/>
      </c>
      <c r="GF2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8" s="42">
        <f>IF(AND(Tasks[[#This Row],[_IsLeaf]]=1,N(Tasks[[#This Row],[_Days]])=0,Tasks[[#This Row],[_LeafProgress]]&lt;1),Tasks[[#This Row],[_ShownFcstFinish]]+Tasks[[#This Row],[_Row]]/100000,"")</f>
        <v/>
      </c>
      <c r="GH2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8" s="42">
        <f>IF(Tasks[[#This Row],[Task Name]]="","",LEFT(Tasks[[#This Row],[WBS]],FIND(".",Tasks[[#This Row],[WBS]]&amp;".")-1))</f>
        <v/>
      </c>
      <c r="GJ28" s="42">
        <f>IF(AND(Tasks[[#This Row],[Task Name]]&lt;&gt;"",Tasks[[#This Row],[_Level]]=1),Tasks[[#This Row],[_Row]],"")</f>
        <v/>
      </c>
      <c r="GK28" s="42">
        <f>IF(AND(Tasks[[#This Row],[_IsLeaf]]=1,N(Tasks[[#This Row],[_Days]])=0),Tasks[[#This Row],[Planned Finish]]+Tasks[[#This Row],[_Row]]/100000,"")</f>
        <v/>
      </c>
      <c r="GL28" s="42">
        <f>IF(AND(Tasks[[#This Row],[_IsLeaf]]=1,Tasks[[#This Row],[_LeafProgress]]&lt;1,OR(N(Tasks[[#This Row],[Finish Var]])&gt;0,Tasks[[#This Row],[Status]]="Late Start")),MAX(0,Tasks[[#This Row],[Finish Var]])+1-Tasks[[#This Row],[_Row]]/1000000,"")</f>
        <v/>
      </c>
      <c r="GM28" s="42">
        <f>IF(AND(Tasks[[#This Row],[_IsLeaf]]=1,N(Tasks[[#This Row],[Actual Start]])=0,Tasks[[#This Row],[_ShownFcstStart]]&gt;=StatusDate,Tasks[[#This Row],[_ShownFcstStart]]&lt;=LookaheadEnd),Tasks[[#This Row],[_ShownFcstStart]]+Tasks[[#This Row],[_Row]]/100000,"")</f>
        <v/>
      </c>
      <c r="GN28" s="42">
        <f>IF(AND(Tasks[[#This Row],[_IsLeaf]]=1,Tasks[[#This Row],[_LeafProgress]]&lt;1,Tasks[[#This Row],[_ShownFcstFinish]]&gt;=StatusDate,Tasks[[#This Row],[_ShownFcstFinish]]&lt;=LookaheadEnd),Tasks[[#This Row],[_ShownFcstFinish]]+Tasks[[#This Row],[_Row]]/100000,"")</f>
        <v/>
      </c>
      <c r="GO28" s="42">
        <f>IF(Tasks[[#This Row],[_LeafCritical]],Tasks[[#This Row],[_ShownFcstStart]]+Tasks[[#This Row],[_Row]]/100000,"")</f>
        <v/>
      </c>
      <c r="GP28" s="42">
        <f>Tasks[[#This Row],[_LeafWork]]*Tasks[[#This Row],[_LeafProgress]]</f>
        <v/>
      </c>
      <c r="GQ28" s="88">
        <f>IF(AND(Tasks[[#This Row],[_IsLeaf]]=1,Tasks[[#This Row],[_LeafProgress]]&gt;=1),IF(N(Tasks[[#This Row],[Actual Finish]])&gt;0,Tasks[[#This Row],[Actual Finish]],Tasks[[#This Row],[_ShownFcstFinish]]),"")</f>
        <v/>
      </c>
      <c r="GR28" s="42">
        <f>IF(Tasks[[#This Row],[_IsLeaf]]=1,N(Tasks[[#This Row],[Story Points]]),0)</f>
        <v/>
      </c>
      <c r="GS28" s="42">
        <f>""</f>
        <v/>
      </c>
      <c r="GT28" s="42">
        <f>IF(Tasks[[#This Row],[Task Name]]="",FALSE(),AND(Tasks[[#This Row],[_IsLeaf]]=1,N(Tasks[[#This Row],[_Days]])=0))</f>
        <v/>
      </c>
      <c r="GU28" s="88">
        <f>IF(Tasks[[#This Row],[Task Name]]="",0,IF(AND(Tasks[[#This Row],[_IsLeaf]]=1,NOT(Tasks[[#This Row],[_IsMilestone]]),N(Tasks[[#This Row],[Progress]])&gt;0),Tasks[[#This Row],[Start]],0))</f>
        <v/>
      </c>
      <c r="GV28" s="88">
        <f>IF(Tasks[[#This Row],[_DoneFrom]]=0,0,IF(Tasks[[#This Row],[Progress]]&gt;=1,Tasks[[#This Row],[Finish]],MAX(Tasks[[#This Row],[_DoneFrom]],Tasks[[#This Row],[Start]]+ROUND((Tasks[[#This Row],[Finish]]-Tasks[[#This Row],[Start]]+1)*Tasks[[#This Row],[Progress]],0)-1)))</f>
        <v/>
      </c>
      <c r="GW28" s="88">
        <f>IF(Tasks[[#This Row],[Task Name]]="",0,IF(OR(NOT(Tasks[[#This Row],[_IsLeaf]]=1),Tasks[[#This Row],[_IsMilestone]],N(Tasks[[#This Row],[Progress]])&gt;=1),0,IF(Tasks[[#This Row],[_DoneTo]]&gt;0,Tasks[[#This Row],[_DoneTo]]+1,Tasks[[#This Row],[Start]])))</f>
        <v/>
      </c>
      <c r="GX28" s="88">
        <f>IF(Tasks[[#This Row],[_RemFrom]]=0,0,Tasks[[#This Row],[Finish]])</f>
        <v/>
      </c>
      <c r="GY28" s="42">
        <f>IF(Tasks[[#This Row],[Task Name]]="",FALSE(),OR(NOT(BaselineSet),N(Tasks[[#This Row],[Baseline Start]])&gt;0))</f>
        <v/>
      </c>
      <c r="GZ28" s="42">
        <f>IF(AND(Sandbox="Yes",L_PARSE_DURATION(Tasks[[#This Row],[Sandbox Duration]])&lt;&gt;""),L_PARSE_DURATION(Tasks[[#This Row],[Sandbox Duration]]),L_PARSE_DURATION(Tasks[[#This Row],[Duration]]))</f>
        <v/>
      </c>
      <c r="HA2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8" s="42">
        <f>IF(Tasks[[#This Row],[_IsLeaf]]=1,Tasks[[#This Row],[_Row]],"")</f>
        <v/>
      </c>
      <c r="HD28" s="42">
        <f>IFERROR(INDEX(Tasks[UID],SMALL(Tasks[_PickKey],Tasks[[#This Row],[_Row]]))&amp;" "&amp;INDEX(Tasks[Task Name],SMALL(Tasks[_PickKey],Tasks[[#This Row],[_Row]])),"")</f>
        <v/>
      </c>
      <c r="HE28" s="42">
        <f>IF(Tasks[[#This Row],[Task Name]]="","",IF(Tasks[[#This Row],[_IsSummary]],NETWORKDAYS.INTL(Tasks[[#This Row],[Start]],Tasks[[#This Row],[Finish]],WorkWeek,Holidays),N(Tasks[[#This Row],[_Days]])))</f>
        <v/>
      </c>
      <c r="HF28" s="42">
        <f>IF(Tasks[[#This Row],[Expected]]="",0,((Tasks[[#This Row],[Pessimistic]]-Tasks[[#This Row],[Optimistic]])/6)^2)</f>
        <v/>
      </c>
      <c r="HG28" s="42">
        <f>IF(Tasks[[#This Row],[Expected]]="",0,Tasks[[#This Row],[Expected]]-N(Tasks[[#This Row],[_Days]]))</f>
        <v/>
      </c>
    </row>
    <row r="29">
      <c r="A29" s="21">
        <f>IF(Tasks[[#This Row],[Task Name]]="","",COUNTA(Tasks[[#Headers],[Task Name]]:Tasks[[#This Row],[Task Name]])-1)</f>
        <v/>
      </c>
      <c r="B29" s="22" t="n">
        <v>37</v>
      </c>
      <c r="C29" s="22" t="n"/>
      <c r="D29" s="23" t="n"/>
      <c r="E29" s="22" t="n"/>
      <c r="F29" s="23" t="n"/>
      <c r="G29" s="22" t="n"/>
      <c r="H29" s="22" t="n"/>
      <c r="I29" s="23" t="n"/>
      <c r="J29" s="22" t="n"/>
      <c r="K29" s="22" t="n"/>
      <c r="L29" s="23" t="n"/>
      <c r="M29" s="22" t="n"/>
      <c r="N29" s="22" t="n"/>
      <c r="O29" s="23" t="n"/>
      <c r="P29" s="22" t="n"/>
      <c r="Q29" s="22" t="n"/>
      <c r="R29" s="23" t="n"/>
      <c r="S29" s="23" t="n"/>
      <c r="T29" s="82" t="n"/>
      <c r="U29" s="23" t="n"/>
      <c r="V29" s="82" t="n"/>
      <c r="W29" s="23" t="n"/>
      <c r="X29" s="82" t="n"/>
      <c r="Y29" s="23" t="n"/>
      <c r="Z29" s="82" t="n"/>
      <c r="AA29" s="23" t="n"/>
      <c r="AB29" s="23" t="n"/>
      <c r="AC29" s="7" t="n"/>
      <c r="AD29" s="7" t="n"/>
      <c r="AE29" s="61">
        <f>IF(Tasks[[#This Row],[Task Name]]="","",IF(Tasks[[#This Row],[_IsSummary]],MIN(INDEX(Tasks[_ShownFcstStart],Tasks[[#This Row],[_Row]]+1):INDEX(Tasks[_ShownFcstStart],Tasks[[#This Row],[_Row]]+Tasks[[#This Row],[_Descendants]])),Tasks[[#This Row],[_ShownFcstStart]]))</f>
        <v/>
      </c>
      <c r="AF29" s="61">
        <f>IF(Tasks[[#This Row],[Task Name]]="","",IF(Tasks[[#This Row],[_IsSummary]],MAX(INDEX(Tasks[_ShownFcstFinish],Tasks[[#This Row],[_Row]]+1):INDEX(Tasks[_ShownFcstFinish],Tasks[[#This Row],[_Row]]+Tasks[[#This Row],[_Descendants]])),Tasks[[#This Row],[_ShownFcstFinish]]))</f>
        <v/>
      </c>
      <c r="AG29" s="21">
        <f>""</f>
        <v/>
      </c>
      <c r="AH29" s="23" t="n"/>
      <c r="AI2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9" s="7" t="n"/>
      <c r="AK29" s="22" t="n"/>
      <c r="AL29" s="23" t="n"/>
      <c r="AM29" s="7" t="n"/>
      <c r="AN29" s="21">
        <f>IF(Tasks[[#This Row],[Task Name]]="","",IF(Tasks[[#This Row],[Finish]]&gt;=Tasks[[#This Row],[Planned Finish]],NETWORKDAYS.INTL(Tasks[[#This Row],[Planned Finish]],Tasks[[#This Row],[Finish]],WorkWeek,Holidays)-1,1-NETWORKDAYS.INTL(Tasks[[#This Row],[Finish]],Tasks[[#This Row],[Planned Finish]],WorkWeek,Holidays)))</f>
        <v/>
      </c>
      <c r="AO29" s="21">
        <f>IF(Tasks[[#This Row],[Task Name]]="","",IF(Tasks[[#This Row],[Progress]]&gt;=1,"Complete",IF(OR(N(Tasks[[#This Row],[Actual Start]])&gt;0,Tasks[[#This Row],[Progress]]&gt;0),IF(Tasks[[#This Row],[Finish Var]]&gt;0,"Behind","In Progress"),IF(Tasks[[#This Row],[Planned Start]]&lt;StatusDate,"Late Start","Not Started"))))</f>
        <v/>
      </c>
      <c r="AP29" s="21">
        <f>IF(Tasks[[#This Row],[Task Name]]="","",IF(IF(Tasks[[#This Row],[_IsSummary]],COUNTIF(INDEX(Tasks[_LeafCritical],Tasks[[#This Row],[_Row]]+1):INDEX(Tasks[_LeafCritical],Tasks[[#This Row],[_Row]]+Tasks[[#This Row],[_Descendants]]),TRUE())&gt;0,Tasks[[#This Row],[_LeafCritical]]),"Yes",""))</f>
        <v/>
      </c>
      <c r="AQ29" s="61">
        <f>IF(Tasks[[#This Row],[Task Name]]="","",IF(N(Tasks[[#This Row],[Baseline Start]])&gt;0,Tasks[[#This Row],[Baseline Start]],Tasks[[#This Row],[_CalcStart]]))</f>
        <v/>
      </c>
      <c r="AR29" s="61">
        <f>IF(Tasks[[#This Row],[Task Name]]="","",IF(N(Tasks[[#This Row],[Baseline Finish]])&gt;0,Tasks[[#This Row],[Baseline Finish]],Tasks[[#This Row],[_CalcFinish]]))</f>
        <v/>
      </c>
      <c r="AS29" s="21">
        <f>IF(Tasks[[#This Row],[Task Name]]="","",IF(Tasks[[#This Row],[Start]]&gt;=Tasks[[#This Row],[Planned Start]],NETWORKDAYS.INTL(Tasks[[#This Row],[Planned Start]],Tasks[[#This Row],[Start]],WorkWeek,Holidays)-1,1-NETWORKDAYS.INTL(Tasks[[#This Row],[Start]],Tasks[[#This Row],[Planned Start]],WorkWeek,Holidays)))</f>
        <v/>
      </c>
      <c r="AT29" s="61">
        <f>IF(Tasks[[#This Row],[Task Name]]="","",IF(Tasks[[#This Row],[_IsSummary]],MIN(INDEX(Tasks[_LeafLateStart],Tasks[[#This Row],[_Row]]+1):INDEX(Tasks[_LeafLateStart],Tasks[[#This Row],[_Row]]+Tasks[[#This Row],[_Descendants]])),Tasks[[#This Row],[_LeafLateStart]]))</f>
        <v/>
      </c>
      <c r="AU29" s="61">
        <f>IF(Tasks[[#This Row],[Task Name]]="","",IF(Tasks[[#This Row],[_IsSummary]],MAX(INDEX(Tasks[_LeafLateFinish],Tasks[[#This Row],[_Row]]+1):INDEX(Tasks[_LeafLateFinish],Tasks[[#This Row],[_Row]]+Tasks[[#This Row],[_Descendants]])),Tasks[[#This Row],[_LeafLateFinish]]))</f>
        <v/>
      </c>
      <c r="AV29" s="21">
        <f>IF(Tasks[[#This Row],[Task Name]]="","",IF(Tasks[[#This Row],[_IsSummary]],MIN(INDEX(Tasks[_LeafTotalSlack],Tasks[[#This Row],[_Row]]+1):INDEX(Tasks[_LeafTotalSlack],Tasks[[#This Row],[_Row]]+Tasks[[#This Row],[_Descendants]])),Tasks[[#This Row],[_LeafTotalSlack]]))</f>
        <v/>
      </c>
      <c r="AW2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3" t="n"/>
      <c r="BA2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f>IF(Tasks[[#This Row],[Task Name]]="","",IF(Tasks[[#This Row],[_Level]]&lt;=OutlineShowLevel,"Yes","No"))</f>
        <v/>
      </c>
      <c r="BE29" s="84">
        <f>IF(Tasks[[#This Row],[Task Name]]="","",IF(Tasks[[#This Row],[_IsSummary]],SUM(INDEX(Tasks[_LeafTotalWork],Tasks[[#This Row],[_Row]]+1):INDEX(Tasks[_LeafTotalWork],Tasks[[#This Row],[_Row]]+Tasks[[#This Row],[_Descendants]])),Tasks[[#This Row],[_LeafTotalWork]]))</f>
        <v/>
      </c>
      <c r="BF29" s="23" t="n"/>
      <c r="BG2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f>""</f>
        <v/>
      </c>
      <c r="BI29" s="85" t="n"/>
      <c r="BJ29" s="22" t="n"/>
      <c r="BK29" s="21">
        <f>IF(OR(Tasks[[#This Row],[Task Name]]="",Tasks[[#This Row],[Baseline Duration]]=""),"",Tasks[[#This Row],[_SpanDays]]-N(Tasks[[#This Row],[Baseline Duration]]))</f>
        <v/>
      </c>
      <c r="BL29" s="84">
        <f>IF(OR(Tasks[[#This Row],[Task Name]]="",Tasks[[#This Row],[Baseline Work]]=""),"",Tasks[[#This Row],[Work]]-N(Tasks[[#This Row],[Baseline Work]]))</f>
        <v/>
      </c>
      <c r="BM29" s="61">
        <f>IF(Tasks[[#This Row],[Task Name]]="","",IF(OR(TakeBaseline="Yes",N(Tasks[[#This Row],[Baseline Start]])=0),Tasks[[#This Row],[Start]],Tasks[[#This Row],[Baseline Start]]))</f>
        <v/>
      </c>
      <c r="BN29" s="61">
        <f>IF(Tasks[[#This Row],[Task Name]]="","",IF(OR(TakeBaseline="Yes",N(Tasks[[#This Row],[Baseline Finish]])=0),Tasks[[#This Row],[Finish]],Tasks[[#This Row],[Baseline Finish]]))</f>
        <v/>
      </c>
      <c r="BO29" s="21">
        <f>IF(Tasks[[#This Row],[Task Name]]="","",IF(OR(TakeBaseline="Yes",N(Tasks[[#This Row],[Baseline Duration]])=0),Tasks[[#This Row],[_SpanDays]],Tasks[[#This Row],[Baseline Duration]]))</f>
        <v/>
      </c>
      <c r="BP29" s="84">
        <f>IF(Tasks[[#This Row],[Task Name]]="","",IF(OR(TakeBaseline="Yes",N(Tasks[[#This Row],[Baseline Work]])=0),Tasks[[#This Row],[Work]],Tasks[[#This Row],[Baseline Work]]))</f>
        <v/>
      </c>
      <c r="BQ29" s="7" t="n"/>
      <c r="BR29" s="7" t="n"/>
      <c r="BS29" s="22" t="n"/>
      <c r="BT29" s="86" t="n"/>
      <c r="BU29" s="23" t="n"/>
      <c r="BV29" s="23" t="n"/>
      <c r="BW29" s="23" t="n"/>
      <c r="BX29" s="87">
        <f>IF(AND(Tasks[[#This Row],[_IsLeaf]]=1,ISNUMBER(Tasks[[#This Row],[Optimistic]]),ISNUMBER(Tasks[[#This Row],[Pessimistic]])),ROUND((Tasks[[#This Row],[Optimistic]]+4*N(Tasks[[#This Row],[_Days]])+Tasks[[#This Row],[Pessimistic]])/6,1),"")</f>
        <v/>
      </c>
      <c r="BY29" s="85" t="n"/>
      <c r="BZ29" s="85" t="n"/>
      <c r="CA29" s="22" t="n"/>
      <c r="CB29" s="42">
        <f>IF(Tasks[[#This Row],[Task Name]]="","",MAX(1,N(Tasks[[#This Row],[Level]])))</f>
        <v/>
      </c>
      <c r="CC29" s="42">
        <f>ROW()-ROW(Tasks[[#Headers],[ID]])</f>
        <v/>
      </c>
      <c r="CD29" s="42">
        <f>IF(OR(Tasks[[#This Row],[Task Name]]="",Tasks[[#This Row],[_Level]]&lt;=1),0,IFERROR(LOOKUP(2,1/(Tasks[[#Headers],[_Level]]:Tasks[[#This Row],[_Level]]=Tasks[[#This Row],[_Level]]-1),ROW(Tasks[[#Headers],[_Level]]:Tasks[[#This Row],[_Level]])),0))</f>
        <v/>
      </c>
      <c r="CE29" s="42">
        <f>IFERROR(N(INDEX(Tasks[_Level],Tasks[[#This Row],[_Row]]+1)),0)</f>
        <v/>
      </c>
      <c r="CF29" s="42">
        <f>AND(Tasks[[#This Row],[Task Name]]&lt;&gt;"",Tasks[[#This Row],[_NextLevel]]&gt;Tasks[[#This Row],[_Level]])</f>
        <v/>
      </c>
      <c r="CG29" s="42">
        <f>IF(Tasks[[#This Row],[_IsSummary]],COUNTIF(Tasks[WBS],Tasks[[#This Row],[WBS]]&amp;".*"),0)</f>
        <v/>
      </c>
      <c r="CH29" s="42">
        <f>IF(AND(Tasks[[#This Row],[Task Name]]&lt;&gt;"",NOT(Tasks[[#This Row],[_IsSummary]])),1,0)</f>
        <v/>
      </c>
      <c r="CI29" s="42">
        <f>IF(N(Tasks[[#This Row],[_Pred1UID]])=0,0,IFERROR(MATCH(Tasks[[#This Row],[_Pred1UID]],Tasks[UID],0),-1))</f>
        <v/>
      </c>
      <c r="CJ29" s="42">
        <f>IF(N(Tasks[[#This Row],[_Pred2UID]])=0,0,IFERROR(MATCH(Tasks[[#This Row],[_Pred2UID]],Tasks[UID],0),-1))</f>
        <v/>
      </c>
      <c r="CK29" s="42">
        <f>IF(N(Tasks[[#This Row],[_Pred3UID]])=0,0,IFERROR(MATCH(Tasks[[#This Row],[_Pred3UID]],Tasks[UID],0),-1))</f>
        <v/>
      </c>
      <c r="CL29" s="42">
        <f>IF(N(Tasks[[#This Row],[_Pred4UID]])=0,0,IFERROR(MATCH(Tasks[[#This Row],[_Pred4UID]],Tasks[UID],0),-1))</f>
        <v/>
      </c>
      <c r="CM2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9" s="88">
        <f>IF(N(Tasks[[#This Row],[Constraint Date]])=0,0,IF(AND(OR(Tasks[[#This Row],[_ConstraintCode]]=3,Tasks[[#This Row],[_ConstraintCode]]=6,Tasks[[#This Row],[_ConstraintCode]]=7),N(Tasks[[#This Row],[_Days]])&gt;1),WORKDAY.INTL(N(Tasks[[#This Row],[Constraint Date]]),-(N(Tasks[[#This Row],[_Days]])-1),WorkWeek,Holidays),N(Tasks[[#This Row],[Constraint Date]])))</f>
        <v/>
      </c>
      <c r="CO29" s="88">
        <f>IF(OR(Tasks[[#This Row],[_ConstraintCode]]=2,Tasks[[#This Row],[_ConstraintCode]]=3,Tasks[[#This Row],[_ConstraintCode]]=4,Tasks[[#This Row],[_ConstraintCode]]=6),Tasks[[#This Row],[_ConstraintStart]],0)</f>
        <v/>
      </c>
      <c r="CP29" s="88">
        <f>IF(OR(Tasks[[#This Row],[_ConstraintCode]]=2,Tasks[[#This Row],[_ConstraintCode]]=3,Tasks[[#This Row],[_ConstraintCode]]=5,Tasks[[#This Row],[_ConstraintCode]]=7),Tasks[[#This Row],[_ConstraintStart]],2958465)</f>
        <v/>
      </c>
      <c r="CQ2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9" s="88">
        <f>IF(NOT(Tasks[[#This Row],[_IsLeaf]]=1),"",IF(N(Tasks[[#This Row],[_Days]])&lt;=0,Tasks[[#This Row],[_LeafCalcStart]],WORKDAY.INTL(Tasks[[#This Row],[_LeafCalcStart]],Tasks[[#This Row],[_Days]]-1,WorkWeek,Holidays)))</f>
        <v/>
      </c>
      <c r="CS2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9" s="42">
        <f>IF(Tasks[[#This Row],[_Predecessors]]="","",TRIM(MID(SUBSTITUTE(SUBSTITUTE(SUBSTITUTE(UPPER(Tasks[[#This Row],[_Predecessors]]),";",",")," ",""),",",REPT(" ",99)),1,99)))</f>
        <v/>
      </c>
      <c r="CV29" s="42">
        <f>IF(Tasks[[#This Row],[_Pred1Text]]="","",IFERROR(VALUE(LEFT(Tasks[[#This Row],[_Pred1Text]],MIN(FIND("F",Tasks[[#This Row],[_Pred1Text]]&amp;"F"),FIND("S",Tasks[[#This Row],[_Pred1Text]]&amp;"S"),FIND("+",Tasks[[#This Row],[_Pred1Text]]&amp;"+"),FIND("-",Tasks[[#This Row],[_Pred1Text]]&amp;"-"))-1)),""))</f>
        <v/>
      </c>
      <c r="CW2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9" s="42">
        <f>IF(Tasks[[#This Row],[_Pred1Text]]="","",TRIM(MID(SUBSTITUTE(SUBSTITUTE(SUBSTITUTE(UPPER(Tasks[[#This Row],[_Predecessors]]),";",",")," ",""),",",REPT(" ",99)),100,99)))</f>
        <v/>
      </c>
      <c r="CZ29" s="42">
        <f>IF(Tasks[[#This Row],[_Pred2Text]]="","",IFERROR(VALUE(LEFT(Tasks[[#This Row],[_Pred2Text]],MIN(FIND("F",Tasks[[#This Row],[_Pred2Text]]&amp;"F"),FIND("S",Tasks[[#This Row],[_Pred2Text]]&amp;"S"),FIND("+",Tasks[[#This Row],[_Pred2Text]]&amp;"+"),FIND("-",Tasks[[#This Row],[_Pred2Text]]&amp;"-"))-1)),""))</f>
        <v/>
      </c>
      <c r="DA2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9" s="42">
        <f>IF(Tasks[[#This Row],[_Pred2Text]]="","",TRIM(MID(SUBSTITUTE(SUBSTITUTE(SUBSTITUTE(UPPER(Tasks[[#This Row],[_Predecessors]]),";",",")," ",""),",",REPT(" ",99)),199,99)))</f>
        <v/>
      </c>
      <c r="DD29" s="42">
        <f>IF(Tasks[[#This Row],[_Pred3Text]]="","",IFERROR(VALUE(LEFT(Tasks[[#This Row],[_Pred3Text]],MIN(FIND("F",Tasks[[#This Row],[_Pred3Text]]&amp;"F"),FIND("S",Tasks[[#This Row],[_Pred3Text]]&amp;"S"),FIND("+",Tasks[[#This Row],[_Pred3Text]]&amp;"+"),FIND("-",Tasks[[#This Row],[_Pred3Text]]&amp;"-"))-1)),""))</f>
        <v/>
      </c>
      <c r="DE2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9" s="42">
        <f>IF(Tasks[[#This Row],[_Pred3Text]]="","",TRIM(MID(SUBSTITUTE(SUBSTITUTE(SUBSTITUTE(UPPER(Tasks[[#This Row],[_Predecessors]]),";",",")," ",""),",",REPT(" ",99)),298,99)))</f>
        <v/>
      </c>
      <c r="DH29" s="42">
        <f>IF(Tasks[[#This Row],[_Pred4Text]]="","",IFERROR(VALUE(LEFT(Tasks[[#This Row],[_Pred4Text]],MIN(FIND("F",Tasks[[#This Row],[_Pred4Text]]&amp;"F"),FIND("S",Tasks[[#This Row],[_Pred4Text]]&amp;"S"),FIND("+",Tasks[[#This Row],[_Pred4Text]]&amp;"+"),FIND("-",Tasks[[#This Row],[_Pred4Text]]&amp;"-"))-1)),""))</f>
        <v/>
      </c>
      <c r="DI2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9" s="42">
        <f>IF(OR(Tasks[[#This Row],[Task Name]]="",Tasks[[#This Row],[_Resources]]=""),"",TRIM(MID(SUBSTITUTE(Tasks[[#This Row],[_Resources]],",",REPT(" ",99)),1,99)))</f>
        <v/>
      </c>
      <c r="DL29" s="42">
        <f>IF(Tasks[[#This Row],[_Res1Text]]="","",TRIM(MID(SUBSTITUTE(Tasks[[#This Row],[_Resources]],",",REPT(" ",99)),100,99)))</f>
        <v/>
      </c>
      <c r="DM29" s="42">
        <f>IF(Tasks[[#This Row],[_Res2Text]]="","",TRIM(MID(SUBSTITUTE(Tasks[[#This Row],[_Resources]],",",REPT(" ",99)),199,99)))</f>
        <v/>
      </c>
      <c r="DN29" s="42">
        <f>IF(Tasks[[#This Row],[_Res3Text]]="","",TRIM(MID(SUBSTITUTE(Tasks[[#This Row],[_Resources]],",",REPT(" ",99)),298,99)))</f>
        <v/>
      </c>
      <c r="DO29" s="42">
        <f>IF(Tasks[[#This Row],[_Res1Text]]="",0,IFERROR(MATCH(TRIM(LEFT(Tasks[[#This Row],[_Res1Text]],FIND("[",Tasks[[#This Row],[_Res1Text]]&amp;"[")-1)),res_Name,0),IFERROR(MATCH(TRIM(LEFT(Tasks[[#This Row],[_Res1Text]],FIND("[",Tasks[[#This Row],[_Res1Text]]&amp;"[")-1)),res_Initials,0),0)))</f>
        <v/>
      </c>
      <c r="DP29" s="42">
        <f>IF(Tasks[[#This Row],[_Res2Text]]="",0,IFERROR(MATCH(TRIM(LEFT(Tasks[[#This Row],[_Res2Text]],FIND("[",Tasks[[#This Row],[_Res2Text]]&amp;"[")-1)),res_Name,0),IFERROR(MATCH(TRIM(LEFT(Tasks[[#This Row],[_Res2Text]],FIND("[",Tasks[[#This Row],[_Res2Text]]&amp;"[")-1)),res_Initials,0),0)))</f>
        <v/>
      </c>
      <c r="DQ29" s="42">
        <f>IF(Tasks[[#This Row],[_Res3Text]]="",0,IFERROR(MATCH(TRIM(LEFT(Tasks[[#This Row],[_Res3Text]],FIND("[",Tasks[[#This Row],[_Res3Text]]&amp;"[")-1)),res_Name,0),IFERROR(MATCH(TRIM(LEFT(Tasks[[#This Row],[_Res3Text]],FIND("[",Tasks[[#This Row],[_Res3Text]]&amp;"[")-1)),res_Initials,0),0)))</f>
        <v/>
      </c>
      <c r="DR29" s="42">
        <f>IF(Tasks[[#This Row],[_Res4Text]]="",0,IFERROR(MATCH(TRIM(LEFT(Tasks[[#This Row],[_Res4Text]],FIND("[",Tasks[[#This Row],[_Res4Text]]&amp;"[")-1)),res_Name,0),IFERROR(MATCH(TRIM(LEFT(Tasks[[#This Row],[_Res4Text]],FIND("[",Tasks[[#This Row],[_Res4Text]]&amp;"[")-1)),res_Initials,0),0)))</f>
        <v/>
      </c>
      <c r="DS29" s="42">
        <f>IF(Tasks[[#This Row],[_Res1Text]]="","",IF(Tasks[[#This Row],[_Res1Row]]&gt;0,INDEX(res_Name,Tasks[[#This Row],[_Res1Row]]),TRIM(LEFT(Tasks[[#This Row],[_Res1Text]],FIND("[",Tasks[[#This Row],[_Res1Text]]&amp;"[")-1))))</f>
        <v/>
      </c>
      <c r="DT2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9" s="42">
        <f>IF(NOT(Tasks[[#This Row],[_IsLeaf]]=1),0,(Tasks[[#This Row],[_Resource1]]&lt;&gt;"")+(Tasks[[#This Row],[_Res2]]&lt;&gt;"")+(Tasks[[#This Row],[_Res3]]&lt;&gt;"")+(Tasks[[#This Row],[_Res4]]&lt;&gt;""))</f>
        <v/>
      </c>
      <c r="DV29" s="42">
        <f>IF(Tasks[[#This Row],[_Res2Text]]="","",IF(Tasks[[#This Row],[_Res2Row]]&gt;0,INDEX(res_Name,Tasks[[#This Row],[_Res2Row]]),TRIM(LEFT(Tasks[[#This Row],[_Res2Text]],FIND("[",Tasks[[#This Row],[_Res2Text]]&amp;"[")-1))))</f>
        <v/>
      </c>
      <c r="DW2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9" s="42">
        <f>IF(OR(NOT(Tasks[[#This Row],[_IsLeaf]]=1),Tasks[[#This Row],[_Res2Row]]=0),0,N(Tasks[[#This Row],[_Days]])*HoursPerDay*IF(Tasks[[#This Row],[_Res2Units]]="",DefaultUnits,Tasks[[#This Row],[_Res2Units]]))</f>
        <v/>
      </c>
      <c r="DY29" s="42">
        <f>IF(AND(AND(Tasks[[#This Row],[_IsLeaf]]=1,Tasks[[#This Row],[_LeafTotalWork]]&gt;0),Tasks[[#This Row],[_Res2Work]]&gt;0),Tasks[[#This Row],[_Res2Work]]/(Tasks[[#This Row],[_FinishWorkday]]-Tasks[[#This Row],[_StartWorkday]]+1),0)</f>
        <v/>
      </c>
      <c r="DZ29" s="42">
        <f>Tasks[[#This Row],[_Res2WorkPerWD]]*MAX(0,Tasks[[#This Row],[_StartWorkday]]-1)</f>
        <v/>
      </c>
      <c r="EA29" s="42">
        <f>Tasks[[#This Row],[_Res2Work]]*Tasks[[#This Row],[_LeafProgress]]</f>
        <v/>
      </c>
      <c r="EB29" s="42">
        <f>IF(Tasks[[#This Row],[_Res3Text]]="","",IF(Tasks[[#This Row],[_Res3Row]]&gt;0,INDEX(res_Name,Tasks[[#This Row],[_Res3Row]]),TRIM(LEFT(Tasks[[#This Row],[_Res3Text]],FIND("[",Tasks[[#This Row],[_Res3Text]]&amp;"[")-1))))</f>
        <v/>
      </c>
      <c r="EC2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9" s="42">
        <f>IF(OR(NOT(Tasks[[#This Row],[_IsLeaf]]=1),Tasks[[#This Row],[_Res3Row]]=0),0,N(Tasks[[#This Row],[_Days]])*HoursPerDay*IF(Tasks[[#This Row],[_Res3Units]]="",DefaultUnits,Tasks[[#This Row],[_Res3Units]]))</f>
        <v/>
      </c>
      <c r="EE29" s="42">
        <f>IF(AND(AND(Tasks[[#This Row],[_IsLeaf]]=1,Tasks[[#This Row],[_LeafTotalWork]]&gt;0),Tasks[[#This Row],[_Res3Work]]&gt;0),Tasks[[#This Row],[_Res3Work]]/(Tasks[[#This Row],[_FinishWorkday]]-Tasks[[#This Row],[_StartWorkday]]+1),0)</f>
        <v/>
      </c>
      <c r="EF29" s="42">
        <f>Tasks[[#This Row],[_Res3WorkPerWD]]*MAX(0,Tasks[[#This Row],[_StartWorkday]]-1)</f>
        <v/>
      </c>
      <c r="EG29" s="42">
        <f>Tasks[[#This Row],[_Res3Work]]*Tasks[[#This Row],[_LeafProgress]]</f>
        <v/>
      </c>
      <c r="EH29" s="42">
        <f>IF(Tasks[[#This Row],[_Res4Text]]="","",IF(Tasks[[#This Row],[_Res4Row]]&gt;0,INDEX(res_Name,Tasks[[#This Row],[_Res4Row]]),TRIM(LEFT(Tasks[[#This Row],[_Res4Text]],FIND("[",Tasks[[#This Row],[_Res4Text]]&amp;"[")-1))))</f>
        <v/>
      </c>
      <c r="EI2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9" s="42">
        <f>IF(OR(NOT(Tasks[[#This Row],[_IsLeaf]]=1),Tasks[[#This Row],[_Res4Row]]=0),0,N(Tasks[[#This Row],[_Days]])*HoursPerDay*IF(Tasks[[#This Row],[_Res4Units]]="",DefaultUnits,Tasks[[#This Row],[_Res4Units]]))</f>
        <v/>
      </c>
      <c r="EK29" s="42">
        <f>IF(AND(AND(Tasks[[#This Row],[_IsLeaf]]=1,Tasks[[#This Row],[_LeafTotalWork]]&gt;0),Tasks[[#This Row],[_Res4Work]]&gt;0),Tasks[[#This Row],[_Res4Work]]/(Tasks[[#This Row],[_FinishWorkday]]-Tasks[[#This Row],[_StartWorkday]]+1),0)</f>
        <v/>
      </c>
      <c r="EL29" s="42">
        <f>Tasks[[#This Row],[_Res4WorkPerWD]]*MAX(0,Tasks[[#This Row],[_StartWorkday]]-1)</f>
        <v/>
      </c>
      <c r="EM29" s="42">
        <f>Tasks[[#This Row],[_Res4Work]]*Tasks[[#This Row],[_LeafProgress]]</f>
        <v/>
      </c>
      <c r="EN29" s="42">
        <f>IF(ISNUMBER(Tasks[[#This Row],[% Complete]]),Tasks[[#This Row],[% Complete]],IF(Tasks[[#This Row],[Stage]]="",0,IFERROR(INDEX(stg_Pct,MATCH(Tasks[[#This Row],[Stage]],stg_Name,0)),0)))</f>
        <v/>
      </c>
      <c r="EO29" s="42">
        <f>IF(NOT(Tasks[[#This Row],[_IsLeaf]]=1),0,IF(N(Tasks[[#This Row],[Actual Finish]])&gt;0,1,MIN(1,Tasks[[#This Row],[_Pct]])))</f>
        <v/>
      </c>
      <c r="EP29" s="42">
        <f>IF(OR(NOT(Tasks[[#This Row],[_IsLeaf]]=1),Tasks[[#This Row],[_Res1Row]]=0),0,N(Tasks[[#This Row],[_Days]])*HoursPerDay*IF(Tasks[[#This Row],[_Units1]]="",DefaultUnits,Tasks[[#This Row],[_Units1]]))</f>
        <v/>
      </c>
      <c r="EQ29" s="42">
        <f>Tasks[[#This Row],[_LeafWork]]+Tasks[[#This Row],[_Res2Work]]+Tasks[[#This Row],[_Res3Work]]+Tasks[[#This Row],[_Res4Work]]</f>
        <v/>
      </c>
      <c r="ER2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9" s="42">
        <f>IF(NOT(Tasks[[#This Row],[_IsLeaf]]=1),0,MAX(_xlfn.MAXIFS(Tasks[_Row],Tasks[_Pred1UID],Tasks[[#This Row],[UID]]),_xlfn.MAXIFS(Tasks[_Row],Tasks[_Pred2UID],Tasks[[#This Row],[UID]]),_xlfn.MAXIFS(Tasks[_Row],Tasks[_Pred3UID],Tasks[[#This Row],[UID]]),_xlfn.MAXIFS(Tasks[_Row],Tasks[_Pred4UID],Tasks[[#This Row],[UID]])))</f>
        <v/>
      </c>
      <c r="FA2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9" s="88">
        <f>IF(NOT(Tasks[[#This Row],[_IsLeaf]]=1),"",IF(N(Tasks[[#This Row],[_Days]])&lt;=0,Tasks[[#This Row],[_LeafLateFinish]],WORKDAY.INTL(Tasks[[#This Row],[_LeafLateFinish]],-(Tasks[[#This Row],[_Days]]-1),WorkWeek,Holidays)))</f>
        <v/>
      </c>
      <c r="FD2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9" s="42">
        <f>AND(Tasks[[#This Row],[_IsLeaf]]=1,Tasks[[#This Row],[_LeafProgress]]&lt;1,N(Tasks[[#This Row],[_LeafTotalSlack]])&lt;=CriticalSlackDays)</f>
        <v/>
      </c>
      <c r="FF29" s="42">
        <f>IF(AND(Tasks[[#This Row],[_IsLeaf]]=1,Tasks[[#This Row],[_ConstraintCode]]=1,Tasks[[#This Row],[Mode]]&lt;&gt;"Manual",N(Tasks[[#This Row],[Actual Start]])=0),MAX(0,N(Tasks[[#This Row],[Free Slack]])),0)</f>
        <v/>
      </c>
      <c r="FG29" s="88">
        <f>IF(NOT(Tasks[[#This Row],[_IsLeaf]]=1),"",IF(Tasks[[#This Row],[_AlapShift]]=0,Tasks[[#This Row],[_LeafCalcStart]],WORKDAY.INTL(Tasks[[#This Row],[_LeafCalcStart]],Tasks[[#This Row],[_AlapShift]],WorkWeek,Holidays)))</f>
        <v/>
      </c>
      <c r="FH29" s="88">
        <f>IF(NOT(Tasks[[#This Row],[_IsLeaf]]=1),"",IF(Tasks[[#This Row],[_AlapShift]]=0,Tasks[[#This Row],[_LeafCalcFinish]],WORKDAY.INTL(Tasks[[#This Row],[_LeafCalcFinish]],Tasks[[#This Row],[_AlapShift]],WorkWeek,Holidays)))</f>
        <v/>
      </c>
      <c r="FI29" s="88">
        <f>IF(NOT(Tasks[[#This Row],[_IsLeaf]]=1),"",IF(Tasks[[#This Row],[_AlapShift]]=0,Tasks[[#This Row],[_LeafFcstStart]],WORKDAY.INTL(Tasks[[#This Row],[_LeafFcstStart]],Tasks[[#This Row],[_AlapShift]],WorkWeek,Holidays)))</f>
        <v/>
      </c>
      <c r="FJ29" s="88">
        <f>IF(NOT(Tasks[[#This Row],[_IsLeaf]]=1),"",IF(Tasks[[#This Row],[_AlapShift]]=0,Tasks[[#This Row],[_LeafFcstFinish]],WORKDAY.INTL(Tasks[[#This Row],[_LeafFcstFinish]],Tasks[[#This Row],[_AlapShift]],WorkWeek,Holidays)))</f>
        <v/>
      </c>
      <c r="FK29" s="88">
        <f>IF(Tasks[[#This Row],[Task Name]]="","",IF(Tasks[[#This Row],[_IsSummary]],MIN(INDEX(Tasks[_ShownCalcStart],Tasks[[#This Row],[_Row]]+1):INDEX(Tasks[_ShownCalcStart],Tasks[[#This Row],[_Row]]+Tasks[[#This Row],[_Descendants]])),Tasks[[#This Row],[_ShownCalcStart]]))</f>
        <v/>
      </c>
      <c r="FL29" s="88">
        <f>IF(Tasks[[#This Row],[Task Name]]="","",IF(Tasks[[#This Row],[_IsSummary]],MAX(INDEX(Tasks[_ShownCalcFinish],Tasks[[#This Row],[_Row]]+1):INDEX(Tasks[_ShownCalcFinish],Tasks[[#This Row],[_Row]]+Tasks[[#This Row],[_Descendants]])),Tasks[[#This Row],[_ShownCalcFinish]]))</f>
        <v/>
      </c>
      <c r="FM2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9" s="42">
        <f>IF(AND(Tasks[[#This Row],[_IsLeaf]]=1,Tasks[[#This Row],[_LeafTotalWork]]&gt;0),NETWORKDAYS.INTL(ProjectStart,Tasks[[#This Row],[_ShownFcstStart]],WorkWeek,Holidays),0)</f>
        <v/>
      </c>
      <c r="FZ29" s="42">
        <f>IF(AND(Tasks[[#This Row],[_IsLeaf]]=1,Tasks[[#This Row],[_LeafTotalWork]]&gt;0),MAX(Tasks[[#This Row],[_StartWorkday]],NETWORKDAYS.INTL(ProjectStart,Tasks[[#This Row],[_ShownFcstFinish]],WorkWeek,Holidays)),0)</f>
        <v/>
      </c>
      <c r="GA29" s="42">
        <f>IF(AND(Tasks[[#This Row],[_IsLeaf]]=1,Tasks[[#This Row],[_LeafTotalWork]]&gt;0),Tasks[[#This Row],[_LeafWork]]/(Tasks[[#This Row],[_FinishWorkday]]-Tasks[[#This Row],[_StartWorkday]]+1),0)</f>
        <v/>
      </c>
      <c r="GB29" s="42">
        <f>Tasks[[#This Row],[_WorkPerWorkday]]*(Tasks[[#This Row],[_StartWorkday]]-1)</f>
        <v/>
      </c>
      <c r="GC29" s="42">
        <f>IF(Tasks[[#This Row],[_IsLeaf]]=1,MAX(N(Tasks[[#This Row],[_Days]]),0.1),0)</f>
        <v/>
      </c>
      <c r="GD29" s="42">
        <f>Tasks[[#This Row],[_WeightDur]]*Tasks[[#This Row],[_LeafProgress]]</f>
        <v/>
      </c>
      <c r="GE29" s="42">
        <f>Tasks[[#This Row],[_WeightDur]]*Tasks[[#This Row],[_PlannedPct]]</f>
        <v/>
      </c>
      <c r="GF2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9" s="42">
        <f>IF(AND(Tasks[[#This Row],[_IsLeaf]]=1,N(Tasks[[#This Row],[_Days]])=0,Tasks[[#This Row],[_LeafProgress]]&lt;1),Tasks[[#This Row],[_ShownFcstFinish]]+Tasks[[#This Row],[_Row]]/100000,"")</f>
        <v/>
      </c>
      <c r="GH2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9" s="42">
        <f>IF(Tasks[[#This Row],[Task Name]]="","",LEFT(Tasks[[#This Row],[WBS]],FIND(".",Tasks[[#This Row],[WBS]]&amp;".")-1))</f>
        <v/>
      </c>
      <c r="GJ29" s="42">
        <f>IF(AND(Tasks[[#This Row],[Task Name]]&lt;&gt;"",Tasks[[#This Row],[_Level]]=1),Tasks[[#This Row],[_Row]],"")</f>
        <v/>
      </c>
      <c r="GK29" s="42">
        <f>IF(AND(Tasks[[#This Row],[_IsLeaf]]=1,N(Tasks[[#This Row],[_Days]])=0),Tasks[[#This Row],[Planned Finish]]+Tasks[[#This Row],[_Row]]/100000,"")</f>
        <v/>
      </c>
      <c r="GL29" s="42">
        <f>IF(AND(Tasks[[#This Row],[_IsLeaf]]=1,Tasks[[#This Row],[_LeafProgress]]&lt;1,OR(N(Tasks[[#This Row],[Finish Var]])&gt;0,Tasks[[#This Row],[Status]]="Late Start")),MAX(0,Tasks[[#This Row],[Finish Var]])+1-Tasks[[#This Row],[_Row]]/1000000,"")</f>
        <v/>
      </c>
      <c r="GM29" s="42">
        <f>IF(AND(Tasks[[#This Row],[_IsLeaf]]=1,N(Tasks[[#This Row],[Actual Start]])=0,Tasks[[#This Row],[_ShownFcstStart]]&gt;=StatusDate,Tasks[[#This Row],[_ShownFcstStart]]&lt;=LookaheadEnd),Tasks[[#This Row],[_ShownFcstStart]]+Tasks[[#This Row],[_Row]]/100000,"")</f>
        <v/>
      </c>
      <c r="GN29" s="42">
        <f>IF(AND(Tasks[[#This Row],[_IsLeaf]]=1,Tasks[[#This Row],[_LeafProgress]]&lt;1,Tasks[[#This Row],[_ShownFcstFinish]]&gt;=StatusDate,Tasks[[#This Row],[_ShownFcstFinish]]&lt;=LookaheadEnd),Tasks[[#This Row],[_ShownFcstFinish]]+Tasks[[#This Row],[_Row]]/100000,"")</f>
        <v/>
      </c>
      <c r="GO29" s="42">
        <f>IF(Tasks[[#This Row],[_LeafCritical]],Tasks[[#This Row],[_ShownFcstStart]]+Tasks[[#This Row],[_Row]]/100000,"")</f>
        <v/>
      </c>
      <c r="GP29" s="42">
        <f>Tasks[[#This Row],[_LeafWork]]*Tasks[[#This Row],[_LeafProgress]]</f>
        <v/>
      </c>
      <c r="GQ29" s="88">
        <f>IF(AND(Tasks[[#This Row],[_IsLeaf]]=1,Tasks[[#This Row],[_LeafProgress]]&gt;=1),IF(N(Tasks[[#This Row],[Actual Finish]])&gt;0,Tasks[[#This Row],[Actual Finish]],Tasks[[#This Row],[_ShownFcstFinish]]),"")</f>
        <v/>
      </c>
      <c r="GR29" s="42">
        <f>IF(Tasks[[#This Row],[_IsLeaf]]=1,N(Tasks[[#This Row],[Story Points]]),0)</f>
        <v/>
      </c>
      <c r="GS29" s="42">
        <f>""</f>
        <v/>
      </c>
      <c r="GT29" s="42">
        <f>IF(Tasks[[#This Row],[Task Name]]="",FALSE(),AND(Tasks[[#This Row],[_IsLeaf]]=1,N(Tasks[[#This Row],[_Days]])=0))</f>
        <v/>
      </c>
      <c r="GU29" s="88">
        <f>IF(Tasks[[#This Row],[Task Name]]="",0,IF(AND(Tasks[[#This Row],[_IsLeaf]]=1,NOT(Tasks[[#This Row],[_IsMilestone]]),N(Tasks[[#This Row],[Progress]])&gt;0),Tasks[[#This Row],[Start]],0))</f>
        <v/>
      </c>
      <c r="GV29" s="88">
        <f>IF(Tasks[[#This Row],[_DoneFrom]]=0,0,IF(Tasks[[#This Row],[Progress]]&gt;=1,Tasks[[#This Row],[Finish]],MAX(Tasks[[#This Row],[_DoneFrom]],Tasks[[#This Row],[Start]]+ROUND((Tasks[[#This Row],[Finish]]-Tasks[[#This Row],[Start]]+1)*Tasks[[#This Row],[Progress]],0)-1)))</f>
        <v/>
      </c>
      <c r="GW29" s="88">
        <f>IF(Tasks[[#This Row],[Task Name]]="",0,IF(OR(NOT(Tasks[[#This Row],[_IsLeaf]]=1),Tasks[[#This Row],[_IsMilestone]],N(Tasks[[#This Row],[Progress]])&gt;=1),0,IF(Tasks[[#This Row],[_DoneTo]]&gt;0,Tasks[[#This Row],[_DoneTo]]+1,Tasks[[#This Row],[Start]])))</f>
        <v/>
      </c>
      <c r="GX29" s="88">
        <f>IF(Tasks[[#This Row],[_RemFrom]]=0,0,Tasks[[#This Row],[Finish]])</f>
        <v/>
      </c>
      <c r="GY29" s="42">
        <f>IF(Tasks[[#This Row],[Task Name]]="",FALSE(),OR(NOT(BaselineSet),N(Tasks[[#This Row],[Baseline Start]])&gt;0))</f>
        <v/>
      </c>
      <c r="GZ29" s="42">
        <f>IF(AND(Sandbox="Yes",L_PARSE_DURATION(Tasks[[#This Row],[Sandbox Duration]])&lt;&gt;""),L_PARSE_DURATION(Tasks[[#This Row],[Sandbox Duration]]),L_PARSE_DURATION(Tasks[[#This Row],[Duration]]))</f>
        <v/>
      </c>
      <c r="HA2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9" s="42">
        <f>IF(Tasks[[#This Row],[_IsLeaf]]=1,Tasks[[#This Row],[_Row]],"")</f>
        <v/>
      </c>
      <c r="HD29" s="42">
        <f>IFERROR(INDEX(Tasks[UID],SMALL(Tasks[_PickKey],Tasks[[#This Row],[_Row]]))&amp;" "&amp;INDEX(Tasks[Task Name],SMALL(Tasks[_PickKey],Tasks[[#This Row],[_Row]])),"")</f>
        <v/>
      </c>
      <c r="HE29" s="42">
        <f>IF(Tasks[[#This Row],[Task Name]]="","",IF(Tasks[[#This Row],[_IsSummary]],NETWORKDAYS.INTL(Tasks[[#This Row],[Start]],Tasks[[#This Row],[Finish]],WorkWeek,Holidays),N(Tasks[[#This Row],[_Days]])))</f>
        <v/>
      </c>
      <c r="HF29" s="42">
        <f>IF(Tasks[[#This Row],[Expected]]="",0,((Tasks[[#This Row],[Pessimistic]]-Tasks[[#This Row],[Optimistic]])/6)^2)</f>
        <v/>
      </c>
      <c r="HG29" s="42">
        <f>IF(Tasks[[#This Row],[Expected]]="",0,Tasks[[#This Row],[Expected]]-N(Tasks[[#This Row],[_Days]]))</f>
        <v/>
      </c>
    </row>
    <row r="30">
      <c r="A30" s="21">
        <f>IF(Tasks[[#This Row],[Task Name]]="","",COUNTA(Tasks[[#Headers],[Task Name]]:Tasks[[#This Row],[Task Name]])-1)</f>
        <v/>
      </c>
      <c r="B30" s="22" t="n">
        <v>38</v>
      </c>
      <c r="C30" s="22" t="n"/>
      <c r="D30" s="23" t="n"/>
      <c r="E30" s="22" t="n"/>
      <c r="F30" s="23" t="n"/>
      <c r="G30" s="22" t="n"/>
      <c r="H30" s="22" t="n"/>
      <c r="I30" s="23" t="n"/>
      <c r="J30" s="22" t="n"/>
      <c r="K30" s="22" t="n"/>
      <c r="L30" s="23" t="n"/>
      <c r="M30" s="22" t="n"/>
      <c r="N30" s="22" t="n"/>
      <c r="O30" s="23" t="n"/>
      <c r="P30" s="22" t="n"/>
      <c r="Q30" s="22" t="n"/>
      <c r="R30" s="23" t="n"/>
      <c r="S30" s="23" t="n"/>
      <c r="T30" s="82" t="n"/>
      <c r="U30" s="23" t="n"/>
      <c r="V30" s="82" t="n"/>
      <c r="W30" s="23" t="n"/>
      <c r="X30" s="82" t="n"/>
      <c r="Y30" s="23" t="n"/>
      <c r="Z30" s="82" t="n"/>
      <c r="AA30" s="23" t="n"/>
      <c r="AB30" s="23" t="n"/>
      <c r="AC30" s="7" t="n"/>
      <c r="AD30" s="7" t="n"/>
      <c r="AE30" s="61">
        <f>IF(Tasks[[#This Row],[Task Name]]="","",IF(Tasks[[#This Row],[_IsSummary]],MIN(INDEX(Tasks[_ShownFcstStart],Tasks[[#This Row],[_Row]]+1):INDEX(Tasks[_ShownFcstStart],Tasks[[#This Row],[_Row]]+Tasks[[#This Row],[_Descendants]])),Tasks[[#This Row],[_ShownFcstStart]]))</f>
        <v/>
      </c>
      <c r="AF30" s="61">
        <f>IF(Tasks[[#This Row],[Task Name]]="","",IF(Tasks[[#This Row],[_IsSummary]],MAX(INDEX(Tasks[_ShownFcstFinish],Tasks[[#This Row],[_Row]]+1):INDEX(Tasks[_ShownFcstFinish],Tasks[[#This Row],[_Row]]+Tasks[[#This Row],[_Descendants]])),Tasks[[#This Row],[_ShownFcstFinish]]))</f>
        <v/>
      </c>
      <c r="AG30" s="21">
        <f>""</f>
        <v/>
      </c>
      <c r="AH30" s="23" t="n"/>
      <c r="AI3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0" s="7" t="n"/>
      <c r="AK30" s="22" t="n"/>
      <c r="AL30" s="23" t="n"/>
      <c r="AM30" s="7" t="n"/>
      <c r="AN30" s="21">
        <f>IF(Tasks[[#This Row],[Task Name]]="","",IF(Tasks[[#This Row],[Finish]]&gt;=Tasks[[#This Row],[Planned Finish]],NETWORKDAYS.INTL(Tasks[[#This Row],[Planned Finish]],Tasks[[#This Row],[Finish]],WorkWeek,Holidays)-1,1-NETWORKDAYS.INTL(Tasks[[#This Row],[Finish]],Tasks[[#This Row],[Planned Finish]],WorkWeek,Holidays)))</f>
        <v/>
      </c>
      <c r="AO30" s="21">
        <f>IF(Tasks[[#This Row],[Task Name]]="","",IF(Tasks[[#This Row],[Progress]]&gt;=1,"Complete",IF(OR(N(Tasks[[#This Row],[Actual Start]])&gt;0,Tasks[[#This Row],[Progress]]&gt;0),IF(Tasks[[#This Row],[Finish Var]]&gt;0,"Behind","In Progress"),IF(Tasks[[#This Row],[Planned Start]]&lt;StatusDate,"Late Start","Not Started"))))</f>
        <v/>
      </c>
      <c r="AP30" s="21">
        <f>IF(Tasks[[#This Row],[Task Name]]="","",IF(IF(Tasks[[#This Row],[_IsSummary]],COUNTIF(INDEX(Tasks[_LeafCritical],Tasks[[#This Row],[_Row]]+1):INDEX(Tasks[_LeafCritical],Tasks[[#This Row],[_Row]]+Tasks[[#This Row],[_Descendants]]),TRUE())&gt;0,Tasks[[#This Row],[_LeafCritical]]),"Yes",""))</f>
        <v/>
      </c>
      <c r="AQ30" s="61">
        <f>IF(Tasks[[#This Row],[Task Name]]="","",IF(N(Tasks[[#This Row],[Baseline Start]])&gt;0,Tasks[[#This Row],[Baseline Start]],Tasks[[#This Row],[_CalcStart]]))</f>
        <v/>
      </c>
      <c r="AR30" s="61">
        <f>IF(Tasks[[#This Row],[Task Name]]="","",IF(N(Tasks[[#This Row],[Baseline Finish]])&gt;0,Tasks[[#This Row],[Baseline Finish]],Tasks[[#This Row],[_CalcFinish]]))</f>
        <v/>
      </c>
      <c r="AS30" s="21">
        <f>IF(Tasks[[#This Row],[Task Name]]="","",IF(Tasks[[#This Row],[Start]]&gt;=Tasks[[#This Row],[Planned Start]],NETWORKDAYS.INTL(Tasks[[#This Row],[Planned Start]],Tasks[[#This Row],[Start]],WorkWeek,Holidays)-1,1-NETWORKDAYS.INTL(Tasks[[#This Row],[Start]],Tasks[[#This Row],[Planned Start]],WorkWeek,Holidays)))</f>
        <v/>
      </c>
      <c r="AT30" s="61">
        <f>IF(Tasks[[#This Row],[Task Name]]="","",IF(Tasks[[#This Row],[_IsSummary]],MIN(INDEX(Tasks[_LeafLateStart],Tasks[[#This Row],[_Row]]+1):INDEX(Tasks[_LeafLateStart],Tasks[[#This Row],[_Row]]+Tasks[[#This Row],[_Descendants]])),Tasks[[#This Row],[_LeafLateStart]]))</f>
        <v/>
      </c>
      <c r="AU30" s="61">
        <f>IF(Tasks[[#This Row],[Task Name]]="","",IF(Tasks[[#This Row],[_IsSummary]],MAX(INDEX(Tasks[_LeafLateFinish],Tasks[[#This Row],[_Row]]+1):INDEX(Tasks[_LeafLateFinish],Tasks[[#This Row],[_Row]]+Tasks[[#This Row],[_Descendants]])),Tasks[[#This Row],[_LeafLateFinish]]))</f>
        <v/>
      </c>
      <c r="AV30" s="21">
        <f>IF(Tasks[[#This Row],[Task Name]]="","",IF(Tasks[[#This Row],[_IsSummary]],MIN(INDEX(Tasks[_LeafTotalSlack],Tasks[[#This Row],[_Row]]+1):INDEX(Tasks[_LeafTotalSlack],Tasks[[#This Row],[_Row]]+Tasks[[#This Row],[_Descendants]])),Tasks[[#This Row],[_LeafTotalSlack]]))</f>
        <v/>
      </c>
      <c r="AW3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3" t="n"/>
      <c r="BA3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f>IF(Tasks[[#This Row],[Task Name]]="","",IF(Tasks[[#This Row],[_Level]]&lt;=OutlineShowLevel,"Yes","No"))</f>
        <v/>
      </c>
      <c r="BE30" s="84">
        <f>IF(Tasks[[#This Row],[Task Name]]="","",IF(Tasks[[#This Row],[_IsSummary]],SUM(INDEX(Tasks[_LeafTotalWork],Tasks[[#This Row],[_Row]]+1):INDEX(Tasks[_LeafTotalWork],Tasks[[#This Row],[_Row]]+Tasks[[#This Row],[_Descendants]])),Tasks[[#This Row],[_LeafTotalWork]]))</f>
        <v/>
      </c>
      <c r="BF30" s="23" t="n"/>
      <c r="BG3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f>""</f>
        <v/>
      </c>
      <c r="BI30" s="85" t="n"/>
      <c r="BJ30" s="22" t="n"/>
      <c r="BK30" s="21">
        <f>IF(OR(Tasks[[#This Row],[Task Name]]="",Tasks[[#This Row],[Baseline Duration]]=""),"",Tasks[[#This Row],[_SpanDays]]-N(Tasks[[#This Row],[Baseline Duration]]))</f>
        <v/>
      </c>
      <c r="BL30" s="84">
        <f>IF(OR(Tasks[[#This Row],[Task Name]]="",Tasks[[#This Row],[Baseline Work]]=""),"",Tasks[[#This Row],[Work]]-N(Tasks[[#This Row],[Baseline Work]]))</f>
        <v/>
      </c>
      <c r="BM30" s="61">
        <f>IF(Tasks[[#This Row],[Task Name]]="","",IF(OR(TakeBaseline="Yes",N(Tasks[[#This Row],[Baseline Start]])=0),Tasks[[#This Row],[Start]],Tasks[[#This Row],[Baseline Start]]))</f>
        <v/>
      </c>
      <c r="BN30" s="61">
        <f>IF(Tasks[[#This Row],[Task Name]]="","",IF(OR(TakeBaseline="Yes",N(Tasks[[#This Row],[Baseline Finish]])=0),Tasks[[#This Row],[Finish]],Tasks[[#This Row],[Baseline Finish]]))</f>
        <v/>
      </c>
      <c r="BO30" s="21">
        <f>IF(Tasks[[#This Row],[Task Name]]="","",IF(OR(TakeBaseline="Yes",N(Tasks[[#This Row],[Baseline Duration]])=0),Tasks[[#This Row],[_SpanDays]],Tasks[[#This Row],[Baseline Duration]]))</f>
        <v/>
      </c>
      <c r="BP30" s="84">
        <f>IF(Tasks[[#This Row],[Task Name]]="","",IF(OR(TakeBaseline="Yes",N(Tasks[[#This Row],[Baseline Work]])=0),Tasks[[#This Row],[Work]],Tasks[[#This Row],[Baseline Work]]))</f>
        <v/>
      </c>
      <c r="BQ30" s="7" t="n"/>
      <c r="BR30" s="7" t="n"/>
      <c r="BS30" s="22" t="n"/>
      <c r="BT30" s="86" t="n"/>
      <c r="BU30" s="23" t="n"/>
      <c r="BV30" s="23" t="n"/>
      <c r="BW30" s="23" t="n"/>
      <c r="BX30" s="87">
        <f>IF(AND(Tasks[[#This Row],[_IsLeaf]]=1,ISNUMBER(Tasks[[#This Row],[Optimistic]]),ISNUMBER(Tasks[[#This Row],[Pessimistic]])),ROUND((Tasks[[#This Row],[Optimistic]]+4*N(Tasks[[#This Row],[_Days]])+Tasks[[#This Row],[Pessimistic]])/6,1),"")</f>
        <v/>
      </c>
      <c r="BY30" s="85" t="n"/>
      <c r="BZ30" s="85" t="n"/>
      <c r="CA30" s="22" t="n"/>
      <c r="CB30" s="42">
        <f>IF(Tasks[[#This Row],[Task Name]]="","",MAX(1,N(Tasks[[#This Row],[Level]])))</f>
        <v/>
      </c>
      <c r="CC30" s="42">
        <f>ROW()-ROW(Tasks[[#Headers],[ID]])</f>
        <v/>
      </c>
      <c r="CD30" s="42">
        <f>IF(OR(Tasks[[#This Row],[Task Name]]="",Tasks[[#This Row],[_Level]]&lt;=1),0,IFERROR(LOOKUP(2,1/(Tasks[[#Headers],[_Level]]:Tasks[[#This Row],[_Level]]=Tasks[[#This Row],[_Level]]-1),ROW(Tasks[[#Headers],[_Level]]:Tasks[[#This Row],[_Level]])),0))</f>
        <v/>
      </c>
      <c r="CE30" s="42">
        <f>IFERROR(N(INDEX(Tasks[_Level],Tasks[[#This Row],[_Row]]+1)),0)</f>
        <v/>
      </c>
      <c r="CF30" s="42">
        <f>AND(Tasks[[#This Row],[Task Name]]&lt;&gt;"",Tasks[[#This Row],[_NextLevel]]&gt;Tasks[[#This Row],[_Level]])</f>
        <v/>
      </c>
      <c r="CG30" s="42">
        <f>IF(Tasks[[#This Row],[_IsSummary]],COUNTIF(Tasks[WBS],Tasks[[#This Row],[WBS]]&amp;".*"),0)</f>
        <v/>
      </c>
      <c r="CH30" s="42">
        <f>IF(AND(Tasks[[#This Row],[Task Name]]&lt;&gt;"",NOT(Tasks[[#This Row],[_IsSummary]])),1,0)</f>
        <v/>
      </c>
      <c r="CI30" s="42">
        <f>IF(N(Tasks[[#This Row],[_Pred1UID]])=0,0,IFERROR(MATCH(Tasks[[#This Row],[_Pred1UID]],Tasks[UID],0),-1))</f>
        <v/>
      </c>
      <c r="CJ30" s="42">
        <f>IF(N(Tasks[[#This Row],[_Pred2UID]])=0,0,IFERROR(MATCH(Tasks[[#This Row],[_Pred2UID]],Tasks[UID],0),-1))</f>
        <v/>
      </c>
      <c r="CK30" s="42">
        <f>IF(N(Tasks[[#This Row],[_Pred3UID]])=0,0,IFERROR(MATCH(Tasks[[#This Row],[_Pred3UID]],Tasks[UID],0),-1))</f>
        <v/>
      </c>
      <c r="CL30" s="42">
        <f>IF(N(Tasks[[#This Row],[_Pred4UID]])=0,0,IFERROR(MATCH(Tasks[[#This Row],[_Pred4UID]],Tasks[UID],0),-1))</f>
        <v/>
      </c>
      <c r="CM3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0" s="88">
        <f>IF(N(Tasks[[#This Row],[Constraint Date]])=0,0,IF(AND(OR(Tasks[[#This Row],[_ConstraintCode]]=3,Tasks[[#This Row],[_ConstraintCode]]=6,Tasks[[#This Row],[_ConstraintCode]]=7),N(Tasks[[#This Row],[_Days]])&gt;1),WORKDAY.INTL(N(Tasks[[#This Row],[Constraint Date]]),-(N(Tasks[[#This Row],[_Days]])-1),WorkWeek,Holidays),N(Tasks[[#This Row],[Constraint Date]])))</f>
        <v/>
      </c>
      <c r="CO30" s="88">
        <f>IF(OR(Tasks[[#This Row],[_ConstraintCode]]=2,Tasks[[#This Row],[_ConstraintCode]]=3,Tasks[[#This Row],[_ConstraintCode]]=4,Tasks[[#This Row],[_ConstraintCode]]=6),Tasks[[#This Row],[_ConstraintStart]],0)</f>
        <v/>
      </c>
      <c r="CP30" s="88">
        <f>IF(OR(Tasks[[#This Row],[_ConstraintCode]]=2,Tasks[[#This Row],[_ConstraintCode]]=3,Tasks[[#This Row],[_ConstraintCode]]=5,Tasks[[#This Row],[_ConstraintCode]]=7),Tasks[[#This Row],[_ConstraintStart]],2958465)</f>
        <v/>
      </c>
      <c r="CQ3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0" s="88">
        <f>IF(NOT(Tasks[[#This Row],[_IsLeaf]]=1),"",IF(N(Tasks[[#This Row],[_Days]])&lt;=0,Tasks[[#This Row],[_LeafCalcStart]],WORKDAY.INTL(Tasks[[#This Row],[_LeafCalcStart]],Tasks[[#This Row],[_Days]]-1,WorkWeek,Holidays)))</f>
        <v/>
      </c>
      <c r="CS3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0" s="42">
        <f>IF(Tasks[[#This Row],[_Predecessors]]="","",TRIM(MID(SUBSTITUTE(SUBSTITUTE(SUBSTITUTE(UPPER(Tasks[[#This Row],[_Predecessors]]),";",",")," ",""),",",REPT(" ",99)),1,99)))</f>
        <v/>
      </c>
      <c r="CV30" s="42">
        <f>IF(Tasks[[#This Row],[_Pred1Text]]="","",IFERROR(VALUE(LEFT(Tasks[[#This Row],[_Pred1Text]],MIN(FIND("F",Tasks[[#This Row],[_Pred1Text]]&amp;"F"),FIND("S",Tasks[[#This Row],[_Pred1Text]]&amp;"S"),FIND("+",Tasks[[#This Row],[_Pred1Text]]&amp;"+"),FIND("-",Tasks[[#This Row],[_Pred1Text]]&amp;"-"))-1)),""))</f>
        <v/>
      </c>
      <c r="CW3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0" s="42">
        <f>IF(Tasks[[#This Row],[_Pred1Text]]="","",TRIM(MID(SUBSTITUTE(SUBSTITUTE(SUBSTITUTE(UPPER(Tasks[[#This Row],[_Predecessors]]),";",",")," ",""),",",REPT(" ",99)),100,99)))</f>
        <v/>
      </c>
      <c r="CZ30" s="42">
        <f>IF(Tasks[[#This Row],[_Pred2Text]]="","",IFERROR(VALUE(LEFT(Tasks[[#This Row],[_Pred2Text]],MIN(FIND("F",Tasks[[#This Row],[_Pred2Text]]&amp;"F"),FIND("S",Tasks[[#This Row],[_Pred2Text]]&amp;"S"),FIND("+",Tasks[[#This Row],[_Pred2Text]]&amp;"+"),FIND("-",Tasks[[#This Row],[_Pred2Text]]&amp;"-"))-1)),""))</f>
        <v/>
      </c>
      <c r="DA3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0" s="42">
        <f>IF(Tasks[[#This Row],[_Pred2Text]]="","",TRIM(MID(SUBSTITUTE(SUBSTITUTE(SUBSTITUTE(UPPER(Tasks[[#This Row],[_Predecessors]]),";",",")," ",""),",",REPT(" ",99)),199,99)))</f>
        <v/>
      </c>
      <c r="DD30" s="42">
        <f>IF(Tasks[[#This Row],[_Pred3Text]]="","",IFERROR(VALUE(LEFT(Tasks[[#This Row],[_Pred3Text]],MIN(FIND("F",Tasks[[#This Row],[_Pred3Text]]&amp;"F"),FIND("S",Tasks[[#This Row],[_Pred3Text]]&amp;"S"),FIND("+",Tasks[[#This Row],[_Pred3Text]]&amp;"+"),FIND("-",Tasks[[#This Row],[_Pred3Text]]&amp;"-"))-1)),""))</f>
        <v/>
      </c>
      <c r="DE3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0" s="42">
        <f>IF(Tasks[[#This Row],[_Pred3Text]]="","",TRIM(MID(SUBSTITUTE(SUBSTITUTE(SUBSTITUTE(UPPER(Tasks[[#This Row],[_Predecessors]]),";",",")," ",""),",",REPT(" ",99)),298,99)))</f>
        <v/>
      </c>
      <c r="DH30" s="42">
        <f>IF(Tasks[[#This Row],[_Pred4Text]]="","",IFERROR(VALUE(LEFT(Tasks[[#This Row],[_Pred4Text]],MIN(FIND("F",Tasks[[#This Row],[_Pred4Text]]&amp;"F"),FIND("S",Tasks[[#This Row],[_Pred4Text]]&amp;"S"),FIND("+",Tasks[[#This Row],[_Pred4Text]]&amp;"+"),FIND("-",Tasks[[#This Row],[_Pred4Text]]&amp;"-"))-1)),""))</f>
        <v/>
      </c>
      <c r="DI3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0" s="42">
        <f>IF(OR(Tasks[[#This Row],[Task Name]]="",Tasks[[#This Row],[_Resources]]=""),"",TRIM(MID(SUBSTITUTE(Tasks[[#This Row],[_Resources]],",",REPT(" ",99)),1,99)))</f>
        <v/>
      </c>
      <c r="DL30" s="42">
        <f>IF(Tasks[[#This Row],[_Res1Text]]="","",TRIM(MID(SUBSTITUTE(Tasks[[#This Row],[_Resources]],",",REPT(" ",99)),100,99)))</f>
        <v/>
      </c>
      <c r="DM30" s="42">
        <f>IF(Tasks[[#This Row],[_Res2Text]]="","",TRIM(MID(SUBSTITUTE(Tasks[[#This Row],[_Resources]],",",REPT(" ",99)),199,99)))</f>
        <v/>
      </c>
      <c r="DN30" s="42">
        <f>IF(Tasks[[#This Row],[_Res3Text]]="","",TRIM(MID(SUBSTITUTE(Tasks[[#This Row],[_Resources]],",",REPT(" ",99)),298,99)))</f>
        <v/>
      </c>
      <c r="DO30" s="42">
        <f>IF(Tasks[[#This Row],[_Res1Text]]="",0,IFERROR(MATCH(TRIM(LEFT(Tasks[[#This Row],[_Res1Text]],FIND("[",Tasks[[#This Row],[_Res1Text]]&amp;"[")-1)),res_Name,0),IFERROR(MATCH(TRIM(LEFT(Tasks[[#This Row],[_Res1Text]],FIND("[",Tasks[[#This Row],[_Res1Text]]&amp;"[")-1)),res_Initials,0),0)))</f>
        <v/>
      </c>
      <c r="DP30" s="42">
        <f>IF(Tasks[[#This Row],[_Res2Text]]="",0,IFERROR(MATCH(TRIM(LEFT(Tasks[[#This Row],[_Res2Text]],FIND("[",Tasks[[#This Row],[_Res2Text]]&amp;"[")-1)),res_Name,0),IFERROR(MATCH(TRIM(LEFT(Tasks[[#This Row],[_Res2Text]],FIND("[",Tasks[[#This Row],[_Res2Text]]&amp;"[")-1)),res_Initials,0),0)))</f>
        <v/>
      </c>
      <c r="DQ30" s="42">
        <f>IF(Tasks[[#This Row],[_Res3Text]]="",0,IFERROR(MATCH(TRIM(LEFT(Tasks[[#This Row],[_Res3Text]],FIND("[",Tasks[[#This Row],[_Res3Text]]&amp;"[")-1)),res_Name,0),IFERROR(MATCH(TRIM(LEFT(Tasks[[#This Row],[_Res3Text]],FIND("[",Tasks[[#This Row],[_Res3Text]]&amp;"[")-1)),res_Initials,0),0)))</f>
        <v/>
      </c>
      <c r="DR30" s="42">
        <f>IF(Tasks[[#This Row],[_Res4Text]]="",0,IFERROR(MATCH(TRIM(LEFT(Tasks[[#This Row],[_Res4Text]],FIND("[",Tasks[[#This Row],[_Res4Text]]&amp;"[")-1)),res_Name,0),IFERROR(MATCH(TRIM(LEFT(Tasks[[#This Row],[_Res4Text]],FIND("[",Tasks[[#This Row],[_Res4Text]]&amp;"[")-1)),res_Initials,0),0)))</f>
        <v/>
      </c>
      <c r="DS30" s="42">
        <f>IF(Tasks[[#This Row],[_Res1Text]]="","",IF(Tasks[[#This Row],[_Res1Row]]&gt;0,INDEX(res_Name,Tasks[[#This Row],[_Res1Row]]),TRIM(LEFT(Tasks[[#This Row],[_Res1Text]],FIND("[",Tasks[[#This Row],[_Res1Text]]&amp;"[")-1))))</f>
        <v/>
      </c>
      <c r="DT3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0" s="42">
        <f>IF(NOT(Tasks[[#This Row],[_IsLeaf]]=1),0,(Tasks[[#This Row],[_Resource1]]&lt;&gt;"")+(Tasks[[#This Row],[_Res2]]&lt;&gt;"")+(Tasks[[#This Row],[_Res3]]&lt;&gt;"")+(Tasks[[#This Row],[_Res4]]&lt;&gt;""))</f>
        <v/>
      </c>
      <c r="DV30" s="42">
        <f>IF(Tasks[[#This Row],[_Res2Text]]="","",IF(Tasks[[#This Row],[_Res2Row]]&gt;0,INDEX(res_Name,Tasks[[#This Row],[_Res2Row]]),TRIM(LEFT(Tasks[[#This Row],[_Res2Text]],FIND("[",Tasks[[#This Row],[_Res2Text]]&amp;"[")-1))))</f>
        <v/>
      </c>
      <c r="DW3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0" s="42">
        <f>IF(OR(NOT(Tasks[[#This Row],[_IsLeaf]]=1),Tasks[[#This Row],[_Res2Row]]=0),0,N(Tasks[[#This Row],[_Days]])*HoursPerDay*IF(Tasks[[#This Row],[_Res2Units]]="",DefaultUnits,Tasks[[#This Row],[_Res2Units]]))</f>
        <v/>
      </c>
      <c r="DY30" s="42">
        <f>IF(AND(AND(Tasks[[#This Row],[_IsLeaf]]=1,Tasks[[#This Row],[_LeafTotalWork]]&gt;0),Tasks[[#This Row],[_Res2Work]]&gt;0),Tasks[[#This Row],[_Res2Work]]/(Tasks[[#This Row],[_FinishWorkday]]-Tasks[[#This Row],[_StartWorkday]]+1),0)</f>
        <v/>
      </c>
      <c r="DZ30" s="42">
        <f>Tasks[[#This Row],[_Res2WorkPerWD]]*MAX(0,Tasks[[#This Row],[_StartWorkday]]-1)</f>
        <v/>
      </c>
      <c r="EA30" s="42">
        <f>Tasks[[#This Row],[_Res2Work]]*Tasks[[#This Row],[_LeafProgress]]</f>
        <v/>
      </c>
      <c r="EB30" s="42">
        <f>IF(Tasks[[#This Row],[_Res3Text]]="","",IF(Tasks[[#This Row],[_Res3Row]]&gt;0,INDEX(res_Name,Tasks[[#This Row],[_Res3Row]]),TRIM(LEFT(Tasks[[#This Row],[_Res3Text]],FIND("[",Tasks[[#This Row],[_Res3Text]]&amp;"[")-1))))</f>
        <v/>
      </c>
      <c r="EC3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0" s="42">
        <f>IF(OR(NOT(Tasks[[#This Row],[_IsLeaf]]=1),Tasks[[#This Row],[_Res3Row]]=0),0,N(Tasks[[#This Row],[_Days]])*HoursPerDay*IF(Tasks[[#This Row],[_Res3Units]]="",DefaultUnits,Tasks[[#This Row],[_Res3Units]]))</f>
        <v/>
      </c>
      <c r="EE30" s="42">
        <f>IF(AND(AND(Tasks[[#This Row],[_IsLeaf]]=1,Tasks[[#This Row],[_LeafTotalWork]]&gt;0),Tasks[[#This Row],[_Res3Work]]&gt;0),Tasks[[#This Row],[_Res3Work]]/(Tasks[[#This Row],[_FinishWorkday]]-Tasks[[#This Row],[_StartWorkday]]+1),0)</f>
        <v/>
      </c>
      <c r="EF30" s="42">
        <f>Tasks[[#This Row],[_Res3WorkPerWD]]*MAX(0,Tasks[[#This Row],[_StartWorkday]]-1)</f>
        <v/>
      </c>
      <c r="EG30" s="42">
        <f>Tasks[[#This Row],[_Res3Work]]*Tasks[[#This Row],[_LeafProgress]]</f>
        <v/>
      </c>
      <c r="EH30" s="42">
        <f>IF(Tasks[[#This Row],[_Res4Text]]="","",IF(Tasks[[#This Row],[_Res4Row]]&gt;0,INDEX(res_Name,Tasks[[#This Row],[_Res4Row]]),TRIM(LEFT(Tasks[[#This Row],[_Res4Text]],FIND("[",Tasks[[#This Row],[_Res4Text]]&amp;"[")-1))))</f>
        <v/>
      </c>
      <c r="EI3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0" s="42">
        <f>IF(OR(NOT(Tasks[[#This Row],[_IsLeaf]]=1),Tasks[[#This Row],[_Res4Row]]=0),0,N(Tasks[[#This Row],[_Days]])*HoursPerDay*IF(Tasks[[#This Row],[_Res4Units]]="",DefaultUnits,Tasks[[#This Row],[_Res4Units]]))</f>
        <v/>
      </c>
      <c r="EK30" s="42">
        <f>IF(AND(AND(Tasks[[#This Row],[_IsLeaf]]=1,Tasks[[#This Row],[_LeafTotalWork]]&gt;0),Tasks[[#This Row],[_Res4Work]]&gt;0),Tasks[[#This Row],[_Res4Work]]/(Tasks[[#This Row],[_FinishWorkday]]-Tasks[[#This Row],[_StartWorkday]]+1),0)</f>
        <v/>
      </c>
      <c r="EL30" s="42">
        <f>Tasks[[#This Row],[_Res4WorkPerWD]]*MAX(0,Tasks[[#This Row],[_StartWorkday]]-1)</f>
        <v/>
      </c>
      <c r="EM30" s="42">
        <f>Tasks[[#This Row],[_Res4Work]]*Tasks[[#This Row],[_LeafProgress]]</f>
        <v/>
      </c>
      <c r="EN30" s="42">
        <f>IF(ISNUMBER(Tasks[[#This Row],[% Complete]]),Tasks[[#This Row],[% Complete]],IF(Tasks[[#This Row],[Stage]]="",0,IFERROR(INDEX(stg_Pct,MATCH(Tasks[[#This Row],[Stage]],stg_Name,0)),0)))</f>
        <v/>
      </c>
      <c r="EO30" s="42">
        <f>IF(NOT(Tasks[[#This Row],[_IsLeaf]]=1),0,IF(N(Tasks[[#This Row],[Actual Finish]])&gt;0,1,MIN(1,Tasks[[#This Row],[_Pct]])))</f>
        <v/>
      </c>
      <c r="EP30" s="42">
        <f>IF(OR(NOT(Tasks[[#This Row],[_IsLeaf]]=1),Tasks[[#This Row],[_Res1Row]]=0),0,N(Tasks[[#This Row],[_Days]])*HoursPerDay*IF(Tasks[[#This Row],[_Units1]]="",DefaultUnits,Tasks[[#This Row],[_Units1]]))</f>
        <v/>
      </c>
      <c r="EQ30" s="42">
        <f>Tasks[[#This Row],[_LeafWork]]+Tasks[[#This Row],[_Res2Work]]+Tasks[[#This Row],[_Res3Work]]+Tasks[[#This Row],[_Res4Work]]</f>
        <v/>
      </c>
      <c r="ER3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0" s="42">
        <f>IF(NOT(Tasks[[#This Row],[_IsLeaf]]=1),0,MAX(_xlfn.MAXIFS(Tasks[_Row],Tasks[_Pred1UID],Tasks[[#This Row],[UID]]),_xlfn.MAXIFS(Tasks[_Row],Tasks[_Pred2UID],Tasks[[#This Row],[UID]]),_xlfn.MAXIFS(Tasks[_Row],Tasks[_Pred3UID],Tasks[[#This Row],[UID]]),_xlfn.MAXIFS(Tasks[_Row],Tasks[_Pred4UID],Tasks[[#This Row],[UID]])))</f>
        <v/>
      </c>
      <c r="FA3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0" s="88">
        <f>IF(NOT(Tasks[[#This Row],[_IsLeaf]]=1),"",IF(N(Tasks[[#This Row],[_Days]])&lt;=0,Tasks[[#This Row],[_LeafLateFinish]],WORKDAY.INTL(Tasks[[#This Row],[_LeafLateFinish]],-(Tasks[[#This Row],[_Days]]-1),WorkWeek,Holidays)))</f>
        <v/>
      </c>
      <c r="FD3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0" s="42">
        <f>AND(Tasks[[#This Row],[_IsLeaf]]=1,Tasks[[#This Row],[_LeafProgress]]&lt;1,N(Tasks[[#This Row],[_LeafTotalSlack]])&lt;=CriticalSlackDays)</f>
        <v/>
      </c>
      <c r="FF30" s="42">
        <f>IF(AND(Tasks[[#This Row],[_IsLeaf]]=1,Tasks[[#This Row],[_ConstraintCode]]=1,Tasks[[#This Row],[Mode]]&lt;&gt;"Manual",N(Tasks[[#This Row],[Actual Start]])=0),MAX(0,N(Tasks[[#This Row],[Free Slack]])),0)</f>
        <v/>
      </c>
      <c r="FG30" s="88">
        <f>IF(NOT(Tasks[[#This Row],[_IsLeaf]]=1),"",IF(Tasks[[#This Row],[_AlapShift]]=0,Tasks[[#This Row],[_LeafCalcStart]],WORKDAY.INTL(Tasks[[#This Row],[_LeafCalcStart]],Tasks[[#This Row],[_AlapShift]],WorkWeek,Holidays)))</f>
        <v/>
      </c>
      <c r="FH30" s="88">
        <f>IF(NOT(Tasks[[#This Row],[_IsLeaf]]=1),"",IF(Tasks[[#This Row],[_AlapShift]]=0,Tasks[[#This Row],[_LeafCalcFinish]],WORKDAY.INTL(Tasks[[#This Row],[_LeafCalcFinish]],Tasks[[#This Row],[_AlapShift]],WorkWeek,Holidays)))</f>
        <v/>
      </c>
      <c r="FI30" s="88">
        <f>IF(NOT(Tasks[[#This Row],[_IsLeaf]]=1),"",IF(Tasks[[#This Row],[_AlapShift]]=0,Tasks[[#This Row],[_LeafFcstStart]],WORKDAY.INTL(Tasks[[#This Row],[_LeafFcstStart]],Tasks[[#This Row],[_AlapShift]],WorkWeek,Holidays)))</f>
        <v/>
      </c>
      <c r="FJ30" s="88">
        <f>IF(NOT(Tasks[[#This Row],[_IsLeaf]]=1),"",IF(Tasks[[#This Row],[_AlapShift]]=0,Tasks[[#This Row],[_LeafFcstFinish]],WORKDAY.INTL(Tasks[[#This Row],[_LeafFcstFinish]],Tasks[[#This Row],[_AlapShift]],WorkWeek,Holidays)))</f>
        <v/>
      </c>
      <c r="FK30" s="88">
        <f>IF(Tasks[[#This Row],[Task Name]]="","",IF(Tasks[[#This Row],[_IsSummary]],MIN(INDEX(Tasks[_ShownCalcStart],Tasks[[#This Row],[_Row]]+1):INDEX(Tasks[_ShownCalcStart],Tasks[[#This Row],[_Row]]+Tasks[[#This Row],[_Descendants]])),Tasks[[#This Row],[_ShownCalcStart]]))</f>
        <v/>
      </c>
      <c r="FL30" s="88">
        <f>IF(Tasks[[#This Row],[Task Name]]="","",IF(Tasks[[#This Row],[_IsSummary]],MAX(INDEX(Tasks[_ShownCalcFinish],Tasks[[#This Row],[_Row]]+1):INDEX(Tasks[_ShownCalcFinish],Tasks[[#This Row],[_Row]]+Tasks[[#This Row],[_Descendants]])),Tasks[[#This Row],[_ShownCalcFinish]]))</f>
        <v/>
      </c>
      <c r="FM3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0" s="42">
        <f>IF(AND(Tasks[[#This Row],[_IsLeaf]]=1,Tasks[[#This Row],[_LeafTotalWork]]&gt;0),NETWORKDAYS.INTL(ProjectStart,Tasks[[#This Row],[_ShownFcstStart]],WorkWeek,Holidays),0)</f>
        <v/>
      </c>
      <c r="FZ30" s="42">
        <f>IF(AND(Tasks[[#This Row],[_IsLeaf]]=1,Tasks[[#This Row],[_LeafTotalWork]]&gt;0),MAX(Tasks[[#This Row],[_StartWorkday]],NETWORKDAYS.INTL(ProjectStart,Tasks[[#This Row],[_ShownFcstFinish]],WorkWeek,Holidays)),0)</f>
        <v/>
      </c>
      <c r="GA30" s="42">
        <f>IF(AND(Tasks[[#This Row],[_IsLeaf]]=1,Tasks[[#This Row],[_LeafTotalWork]]&gt;0),Tasks[[#This Row],[_LeafWork]]/(Tasks[[#This Row],[_FinishWorkday]]-Tasks[[#This Row],[_StartWorkday]]+1),0)</f>
        <v/>
      </c>
      <c r="GB30" s="42">
        <f>Tasks[[#This Row],[_WorkPerWorkday]]*(Tasks[[#This Row],[_StartWorkday]]-1)</f>
        <v/>
      </c>
      <c r="GC30" s="42">
        <f>IF(Tasks[[#This Row],[_IsLeaf]]=1,MAX(N(Tasks[[#This Row],[_Days]]),0.1),0)</f>
        <v/>
      </c>
      <c r="GD30" s="42">
        <f>Tasks[[#This Row],[_WeightDur]]*Tasks[[#This Row],[_LeafProgress]]</f>
        <v/>
      </c>
      <c r="GE30" s="42">
        <f>Tasks[[#This Row],[_WeightDur]]*Tasks[[#This Row],[_PlannedPct]]</f>
        <v/>
      </c>
      <c r="GF3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0" s="42">
        <f>IF(AND(Tasks[[#This Row],[_IsLeaf]]=1,N(Tasks[[#This Row],[_Days]])=0,Tasks[[#This Row],[_LeafProgress]]&lt;1),Tasks[[#This Row],[_ShownFcstFinish]]+Tasks[[#This Row],[_Row]]/100000,"")</f>
        <v/>
      </c>
      <c r="GH3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0" s="42">
        <f>IF(Tasks[[#This Row],[Task Name]]="","",LEFT(Tasks[[#This Row],[WBS]],FIND(".",Tasks[[#This Row],[WBS]]&amp;".")-1))</f>
        <v/>
      </c>
      <c r="GJ30" s="42">
        <f>IF(AND(Tasks[[#This Row],[Task Name]]&lt;&gt;"",Tasks[[#This Row],[_Level]]=1),Tasks[[#This Row],[_Row]],"")</f>
        <v/>
      </c>
      <c r="GK30" s="42">
        <f>IF(AND(Tasks[[#This Row],[_IsLeaf]]=1,N(Tasks[[#This Row],[_Days]])=0),Tasks[[#This Row],[Planned Finish]]+Tasks[[#This Row],[_Row]]/100000,"")</f>
        <v/>
      </c>
      <c r="GL30" s="42">
        <f>IF(AND(Tasks[[#This Row],[_IsLeaf]]=1,Tasks[[#This Row],[_LeafProgress]]&lt;1,OR(N(Tasks[[#This Row],[Finish Var]])&gt;0,Tasks[[#This Row],[Status]]="Late Start")),MAX(0,Tasks[[#This Row],[Finish Var]])+1-Tasks[[#This Row],[_Row]]/1000000,"")</f>
        <v/>
      </c>
      <c r="GM30" s="42">
        <f>IF(AND(Tasks[[#This Row],[_IsLeaf]]=1,N(Tasks[[#This Row],[Actual Start]])=0,Tasks[[#This Row],[_ShownFcstStart]]&gt;=StatusDate,Tasks[[#This Row],[_ShownFcstStart]]&lt;=LookaheadEnd),Tasks[[#This Row],[_ShownFcstStart]]+Tasks[[#This Row],[_Row]]/100000,"")</f>
        <v/>
      </c>
      <c r="GN30" s="42">
        <f>IF(AND(Tasks[[#This Row],[_IsLeaf]]=1,Tasks[[#This Row],[_LeafProgress]]&lt;1,Tasks[[#This Row],[_ShownFcstFinish]]&gt;=StatusDate,Tasks[[#This Row],[_ShownFcstFinish]]&lt;=LookaheadEnd),Tasks[[#This Row],[_ShownFcstFinish]]+Tasks[[#This Row],[_Row]]/100000,"")</f>
        <v/>
      </c>
      <c r="GO30" s="42">
        <f>IF(Tasks[[#This Row],[_LeafCritical]],Tasks[[#This Row],[_ShownFcstStart]]+Tasks[[#This Row],[_Row]]/100000,"")</f>
        <v/>
      </c>
      <c r="GP30" s="42">
        <f>Tasks[[#This Row],[_LeafWork]]*Tasks[[#This Row],[_LeafProgress]]</f>
        <v/>
      </c>
      <c r="GQ30" s="88">
        <f>IF(AND(Tasks[[#This Row],[_IsLeaf]]=1,Tasks[[#This Row],[_LeafProgress]]&gt;=1),IF(N(Tasks[[#This Row],[Actual Finish]])&gt;0,Tasks[[#This Row],[Actual Finish]],Tasks[[#This Row],[_ShownFcstFinish]]),"")</f>
        <v/>
      </c>
      <c r="GR30" s="42">
        <f>IF(Tasks[[#This Row],[_IsLeaf]]=1,N(Tasks[[#This Row],[Story Points]]),0)</f>
        <v/>
      </c>
      <c r="GS30" s="42">
        <f>""</f>
        <v/>
      </c>
      <c r="GT30" s="42">
        <f>IF(Tasks[[#This Row],[Task Name]]="",FALSE(),AND(Tasks[[#This Row],[_IsLeaf]]=1,N(Tasks[[#This Row],[_Days]])=0))</f>
        <v/>
      </c>
      <c r="GU30" s="88">
        <f>IF(Tasks[[#This Row],[Task Name]]="",0,IF(AND(Tasks[[#This Row],[_IsLeaf]]=1,NOT(Tasks[[#This Row],[_IsMilestone]]),N(Tasks[[#This Row],[Progress]])&gt;0),Tasks[[#This Row],[Start]],0))</f>
        <v/>
      </c>
      <c r="GV30" s="88">
        <f>IF(Tasks[[#This Row],[_DoneFrom]]=0,0,IF(Tasks[[#This Row],[Progress]]&gt;=1,Tasks[[#This Row],[Finish]],MAX(Tasks[[#This Row],[_DoneFrom]],Tasks[[#This Row],[Start]]+ROUND((Tasks[[#This Row],[Finish]]-Tasks[[#This Row],[Start]]+1)*Tasks[[#This Row],[Progress]],0)-1)))</f>
        <v/>
      </c>
      <c r="GW30" s="88">
        <f>IF(Tasks[[#This Row],[Task Name]]="",0,IF(OR(NOT(Tasks[[#This Row],[_IsLeaf]]=1),Tasks[[#This Row],[_IsMilestone]],N(Tasks[[#This Row],[Progress]])&gt;=1),0,IF(Tasks[[#This Row],[_DoneTo]]&gt;0,Tasks[[#This Row],[_DoneTo]]+1,Tasks[[#This Row],[Start]])))</f>
        <v/>
      </c>
      <c r="GX30" s="88">
        <f>IF(Tasks[[#This Row],[_RemFrom]]=0,0,Tasks[[#This Row],[Finish]])</f>
        <v/>
      </c>
      <c r="GY30" s="42">
        <f>IF(Tasks[[#This Row],[Task Name]]="",FALSE(),OR(NOT(BaselineSet),N(Tasks[[#This Row],[Baseline Start]])&gt;0))</f>
        <v/>
      </c>
      <c r="GZ30" s="42">
        <f>IF(AND(Sandbox="Yes",L_PARSE_DURATION(Tasks[[#This Row],[Sandbox Duration]])&lt;&gt;""),L_PARSE_DURATION(Tasks[[#This Row],[Sandbox Duration]]),L_PARSE_DURATION(Tasks[[#This Row],[Duration]]))</f>
        <v/>
      </c>
      <c r="HA3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0" s="42">
        <f>IF(Tasks[[#This Row],[_IsLeaf]]=1,Tasks[[#This Row],[_Row]],"")</f>
        <v/>
      </c>
      <c r="HD30" s="42">
        <f>IFERROR(INDEX(Tasks[UID],SMALL(Tasks[_PickKey],Tasks[[#This Row],[_Row]]))&amp;" "&amp;INDEX(Tasks[Task Name],SMALL(Tasks[_PickKey],Tasks[[#This Row],[_Row]])),"")</f>
        <v/>
      </c>
      <c r="HE30" s="42">
        <f>IF(Tasks[[#This Row],[Task Name]]="","",IF(Tasks[[#This Row],[_IsSummary]],NETWORKDAYS.INTL(Tasks[[#This Row],[Start]],Tasks[[#This Row],[Finish]],WorkWeek,Holidays),N(Tasks[[#This Row],[_Days]])))</f>
        <v/>
      </c>
      <c r="HF30" s="42">
        <f>IF(Tasks[[#This Row],[Expected]]="",0,((Tasks[[#This Row],[Pessimistic]]-Tasks[[#This Row],[Optimistic]])/6)^2)</f>
        <v/>
      </c>
      <c r="HG30" s="42">
        <f>IF(Tasks[[#This Row],[Expected]]="",0,Tasks[[#This Row],[Expected]]-N(Tasks[[#This Row],[_Days]]))</f>
        <v/>
      </c>
    </row>
    <row r="31">
      <c r="A31" s="21">
        <f>IF(Tasks[[#This Row],[Task Name]]="","",COUNTA(Tasks[[#Headers],[Task Name]]:Tasks[[#This Row],[Task Name]])-1)</f>
        <v/>
      </c>
      <c r="B31" s="22" t="n">
        <v>39</v>
      </c>
      <c r="C31" s="22" t="n"/>
      <c r="D31" s="23" t="n"/>
      <c r="E31" s="22" t="n"/>
      <c r="F31" s="23" t="n"/>
      <c r="G31" s="22" t="n"/>
      <c r="H31" s="22" t="n"/>
      <c r="I31" s="23" t="n"/>
      <c r="J31" s="22" t="n"/>
      <c r="K31" s="22" t="n"/>
      <c r="L31" s="23" t="n"/>
      <c r="M31" s="22" t="n"/>
      <c r="N31" s="22" t="n"/>
      <c r="O31" s="23" t="n"/>
      <c r="P31" s="22" t="n"/>
      <c r="Q31" s="22" t="n"/>
      <c r="R31" s="23" t="n"/>
      <c r="S31" s="23" t="n"/>
      <c r="T31" s="82" t="n"/>
      <c r="U31" s="23" t="n"/>
      <c r="V31" s="82" t="n"/>
      <c r="W31" s="23" t="n"/>
      <c r="X31" s="82" t="n"/>
      <c r="Y31" s="23" t="n"/>
      <c r="Z31" s="82" t="n"/>
      <c r="AA31" s="23" t="n"/>
      <c r="AB31" s="23" t="n"/>
      <c r="AC31" s="7" t="n"/>
      <c r="AD31" s="7" t="n"/>
      <c r="AE31" s="61">
        <f>IF(Tasks[[#This Row],[Task Name]]="","",IF(Tasks[[#This Row],[_IsSummary]],MIN(INDEX(Tasks[_ShownFcstStart],Tasks[[#This Row],[_Row]]+1):INDEX(Tasks[_ShownFcstStart],Tasks[[#This Row],[_Row]]+Tasks[[#This Row],[_Descendants]])),Tasks[[#This Row],[_ShownFcstStart]]))</f>
        <v/>
      </c>
      <c r="AF31" s="61">
        <f>IF(Tasks[[#This Row],[Task Name]]="","",IF(Tasks[[#This Row],[_IsSummary]],MAX(INDEX(Tasks[_ShownFcstFinish],Tasks[[#This Row],[_Row]]+1):INDEX(Tasks[_ShownFcstFinish],Tasks[[#This Row],[_Row]]+Tasks[[#This Row],[_Descendants]])),Tasks[[#This Row],[_ShownFcstFinish]]))</f>
        <v/>
      </c>
      <c r="AG31" s="21">
        <f>""</f>
        <v/>
      </c>
      <c r="AH31" s="23" t="n"/>
      <c r="AI3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1" s="7" t="n"/>
      <c r="AK31" s="22" t="n"/>
      <c r="AL31" s="23" t="n"/>
      <c r="AM31" s="7" t="n"/>
      <c r="AN31" s="21">
        <f>IF(Tasks[[#This Row],[Task Name]]="","",IF(Tasks[[#This Row],[Finish]]&gt;=Tasks[[#This Row],[Planned Finish]],NETWORKDAYS.INTL(Tasks[[#This Row],[Planned Finish]],Tasks[[#This Row],[Finish]],WorkWeek,Holidays)-1,1-NETWORKDAYS.INTL(Tasks[[#This Row],[Finish]],Tasks[[#This Row],[Planned Finish]],WorkWeek,Holidays)))</f>
        <v/>
      </c>
      <c r="AO31" s="21">
        <f>IF(Tasks[[#This Row],[Task Name]]="","",IF(Tasks[[#This Row],[Progress]]&gt;=1,"Complete",IF(OR(N(Tasks[[#This Row],[Actual Start]])&gt;0,Tasks[[#This Row],[Progress]]&gt;0),IF(Tasks[[#This Row],[Finish Var]]&gt;0,"Behind","In Progress"),IF(Tasks[[#This Row],[Planned Start]]&lt;StatusDate,"Late Start","Not Started"))))</f>
        <v/>
      </c>
      <c r="AP31" s="21">
        <f>IF(Tasks[[#This Row],[Task Name]]="","",IF(IF(Tasks[[#This Row],[_IsSummary]],COUNTIF(INDEX(Tasks[_LeafCritical],Tasks[[#This Row],[_Row]]+1):INDEX(Tasks[_LeafCritical],Tasks[[#This Row],[_Row]]+Tasks[[#This Row],[_Descendants]]),TRUE())&gt;0,Tasks[[#This Row],[_LeafCritical]]),"Yes",""))</f>
        <v/>
      </c>
      <c r="AQ31" s="61">
        <f>IF(Tasks[[#This Row],[Task Name]]="","",IF(N(Tasks[[#This Row],[Baseline Start]])&gt;0,Tasks[[#This Row],[Baseline Start]],Tasks[[#This Row],[_CalcStart]]))</f>
        <v/>
      </c>
      <c r="AR31" s="61">
        <f>IF(Tasks[[#This Row],[Task Name]]="","",IF(N(Tasks[[#This Row],[Baseline Finish]])&gt;0,Tasks[[#This Row],[Baseline Finish]],Tasks[[#This Row],[_CalcFinish]]))</f>
        <v/>
      </c>
      <c r="AS31" s="21">
        <f>IF(Tasks[[#This Row],[Task Name]]="","",IF(Tasks[[#This Row],[Start]]&gt;=Tasks[[#This Row],[Planned Start]],NETWORKDAYS.INTL(Tasks[[#This Row],[Planned Start]],Tasks[[#This Row],[Start]],WorkWeek,Holidays)-1,1-NETWORKDAYS.INTL(Tasks[[#This Row],[Start]],Tasks[[#This Row],[Planned Start]],WorkWeek,Holidays)))</f>
        <v/>
      </c>
      <c r="AT31" s="61">
        <f>IF(Tasks[[#This Row],[Task Name]]="","",IF(Tasks[[#This Row],[_IsSummary]],MIN(INDEX(Tasks[_LeafLateStart],Tasks[[#This Row],[_Row]]+1):INDEX(Tasks[_LeafLateStart],Tasks[[#This Row],[_Row]]+Tasks[[#This Row],[_Descendants]])),Tasks[[#This Row],[_LeafLateStart]]))</f>
        <v/>
      </c>
      <c r="AU31" s="61">
        <f>IF(Tasks[[#This Row],[Task Name]]="","",IF(Tasks[[#This Row],[_IsSummary]],MAX(INDEX(Tasks[_LeafLateFinish],Tasks[[#This Row],[_Row]]+1):INDEX(Tasks[_LeafLateFinish],Tasks[[#This Row],[_Row]]+Tasks[[#This Row],[_Descendants]])),Tasks[[#This Row],[_LeafLateFinish]]))</f>
        <v/>
      </c>
      <c r="AV31" s="21">
        <f>IF(Tasks[[#This Row],[Task Name]]="","",IF(Tasks[[#This Row],[_IsSummary]],MIN(INDEX(Tasks[_LeafTotalSlack],Tasks[[#This Row],[_Row]]+1):INDEX(Tasks[_LeafTotalSlack],Tasks[[#This Row],[_Row]]+Tasks[[#This Row],[_Descendants]])),Tasks[[#This Row],[_LeafTotalSlack]]))</f>
        <v/>
      </c>
      <c r="AW3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3" t="n"/>
      <c r="BA3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f>IF(Tasks[[#This Row],[Task Name]]="","",IF(Tasks[[#This Row],[_Level]]&lt;=OutlineShowLevel,"Yes","No"))</f>
        <v/>
      </c>
      <c r="BE31" s="84">
        <f>IF(Tasks[[#This Row],[Task Name]]="","",IF(Tasks[[#This Row],[_IsSummary]],SUM(INDEX(Tasks[_LeafTotalWork],Tasks[[#This Row],[_Row]]+1):INDEX(Tasks[_LeafTotalWork],Tasks[[#This Row],[_Row]]+Tasks[[#This Row],[_Descendants]])),Tasks[[#This Row],[_LeafTotalWork]]))</f>
        <v/>
      </c>
      <c r="BF31" s="23" t="n"/>
      <c r="BG3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f>""</f>
        <v/>
      </c>
      <c r="BI31" s="85" t="n"/>
      <c r="BJ31" s="22" t="n"/>
      <c r="BK31" s="21">
        <f>IF(OR(Tasks[[#This Row],[Task Name]]="",Tasks[[#This Row],[Baseline Duration]]=""),"",Tasks[[#This Row],[_SpanDays]]-N(Tasks[[#This Row],[Baseline Duration]]))</f>
        <v/>
      </c>
      <c r="BL31" s="84">
        <f>IF(OR(Tasks[[#This Row],[Task Name]]="",Tasks[[#This Row],[Baseline Work]]=""),"",Tasks[[#This Row],[Work]]-N(Tasks[[#This Row],[Baseline Work]]))</f>
        <v/>
      </c>
      <c r="BM31" s="61">
        <f>IF(Tasks[[#This Row],[Task Name]]="","",IF(OR(TakeBaseline="Yes",N(Tasks[[#This Row],[Baseline Start]])=0),Tasks[[#This Row],[Start]],Tasks[[#This Row],[Baseline Start]]))</f>
        <v/>
      </c>
      <c r="BN31" s="61">
        <f>IF(Tasks[[#This Row],[Task Name]]="","",IF(OR(TakeBaseline="Yes",N(Tasks[[#This Row],[Baseline Finish]])=0),Tasks[[#This Row],[Finish]],Tasks[[#This Row],[Baseline Finish]]))</f>
        <v/>
      </c>
      <c r="BO31" s="21">
        <f>IF(Tasks[[#This Row],[Task Name]]="","",IF(OR(TakeBaseline="Yes",N(Tasks[[#This Row],[Baseline Duration]])=0),Tasks[[#This Row],[_SpanDays]],Tasks[[#This Row],[Baseline Duration]]))</f>
        <v/>
      </c>
      <c r="BP31" s="84">
        <f>IF(Tasks[[#This Row],[Task Name]]="","",IF(OR(TakeBaseline="Yes",N(Tasks[[#This Row],[Baseline Work]])=0),Tasks[[#This Row],[Work]],Tasks[[#This Row],[Baseline Work]]))</f>
        <v/>
      </c>
      <c r="BQ31" s="7" t="n"/>
      <c r="BR31" s="7" t="n"/>
      <c r="BS31" s="22" t="n"/>
      <c r="BT31" s="86" t="n"/>
      <c r="BU31" s="23" t="n"/>
      <c r="BV31" s="23" t="n"/>
      <c r="BW31" s="23" t="n"/>
      <c r="BX31" s="87">
        <f>IF(AND(Tasks[[#This Row],[_IsLeaf]]=1,ISNUMBER(Tasks[[#This Row],[Optimistic]]),ISNUMBER(Tasks[[#This Row],[Pessimistic]])),ROUND((Tasks[[#This Row],[Optimistic]]+4*N(Tasks[[#This Row],[_Days]])+Tasks[[#This Row],[Pessimistic]])/6,1),"")</f>
        <v/>
      </c>
      <c r="BY31" s="85" t="n"/>
      <c r="BZ31" s="85" t="n"/>
      <c r="CA31" s="22" t="n"/>
      <c r="CB31" s="42">
        <f>IF(Tasks[[#This Row],[Task Name]]="","",MAX(1,N(Tasks[[#This Row],[Level]])))</f>
        <v/>
      </c>
      <c r="CC31" s="42">
        <f>ROW()-ROW(Tasks[[#Headers],[ID]])</f>
        <v/>
      </c>
      <c r="CD31" s="42">
        <f>IF(OR(Tasks[[#This Row],[Task Name]]="",Tasks[[#This Row],[_Level]]&lt;=1),0,IFERROR(LOOKUP(2,1/(Tasks[[#Headers],[_Level]]:Tasks[[#This Row],[_Level]]=Tasks[[#This Row],[_Level]]-1),ROW(Tasks[[#Headers],[_Level]]:Tasks[[#This Row],[_Level]])),0))</f>
        <v/>
      </c>
      <c r="CE31" s="42">
        <f>IFERROR(N(INDEX(Tasks[_Level],Tasks[[#This Row],[_Row]]+1)),0)</f>
        <v/>
      </c>
      <c r="CF31" s="42">
        <f>AND(Tasks[[#This Row],[Task Name]]&lt;&gt;"",Tasks[[#This Row],[_NextLevel]]&gt;Tasks[[#This Row],[_Level]])</f>
        <v/>
      </c>
      <c r="CG31" s="42">
        <f>IF(Tasks[[#This Row],[_IsSummary]],COUNTIF(Tasks[WBS],Tasks[[#This Row],[WBS]]&amp;".*"),0)</f>
        <v/>
      </c>
      <c r="CH31" s="42">
        <f>IF(AND(Tasks[[#This Row],[Task Name]]&lt;&gt;"",NOT(Tasks[[#This Row],[_IsSummary]])),1,0)</f>
        <v/>
      </c>
      <c r="CI31" s="42">
        <f>IF(N(Tasks[[#This Row],[_Pred1UID]])=0,0,IFERROR(MATCH(Tasks[[#This Row],[_Pred1UID]],Tasks[UID],0),-1))</f>
        <v/>
      </c>
      <c r="CJ31" s="42">
        <f>IF(N(Tasks[[#This Row],[_Pred2UID]])=0,0,IFERROR(MATCH(Tasks[[#This Row],[_Pred2UID]],Tasks[UID],0),-1))</f>
        <v/>
      </c>
      <c r="CK31" s="42">
        <f>IF(N(Tasks[[#This Row],[_Pred3UID]])=0,0,IFERROR(MATCH(Tasks[[#This Row],[_Pred3UID]],Tasks[UID],0),-1))</f>
        <v/>
      </c>
      <c r="CL31" s="42">
        <f>IF(N(Tasks[[#This Row],[_Pred4UID]])=0,0,IFERROR(MATCH(Tasks[[#This Row],[_Pred4UID]],Tasks[UID],0),-1))</f>
        <v/>
      </c>
      <c r="CM3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1" s="88">
        <f>IF(N(Tasks[[#This Row],[Constraint Date]])=0,0,IF(AND(OR(Tasks[[#This Row],[_ConstraintCode]]=3,Tasks[[#This Row],[_ConstraintCode]]=6,Tasks[[#This Row],[_ConstraintCode]]=7),N(Tasks[[#This Row],[_Days]])&gt;1),WORKDAY.INTL(N(Tasks[[#This Row],[Constraint Date]]),-(N(Tasks[[#This Row],[_Days]])-1),WorkWeek,Holidays),N(Tasks[[#This Row],[Constraint Date]])))</f>
        <v/>
      </c>
      <c r="CO31" s="88">
        <f>IF(OR(Tasks[[#This Row],[_ConstraintCode]]=2,Tasks[[#This Row],[_ConstraintCode]]=3,Tasks[[#This Row],[_ConstraintCode]]=4,Tasks[[#This Row],[_ConstraintCode]]=6),Tasks[[#This Row],[_ConstraintStart]],0)</f>
        <v/>
      </c>
      <c r="CP31" s="88">
        <f>IF(OR(Tasks[[#This Row],[_ConstraintCode]]=2,Tasks[[#This Row],[_ConstraintCode]]=3,Tasks[[#This Row],[_ConstraintCode]]=5,Tasks[[#This Row],[_ConstraintCode]]=7),Tasks[[#This Row],[_ConstraintStart]],2958465)</f>
        <v/>
      </c>
      <c r="CQ3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1" s="88">
        <f>IF(NOT(Tasks[[#This Row],[_IsLeaf]]=1),"",IF(N(Tasks[[#This Row],[_Days]])&lt;=0,Tasks[[#This Row],[_LeafCalcStart]],WORKDAY.INTL(Tasks[[#This Row],[_LeafCalcStart]],Tasks[[#This Row],[_Days]]-1,WorkWeek,Holidays)))</f>
        <v/>
      </c>
      <c r="CS3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1" s="42">
        <f>IF(Tasks[[#This Row],[_Predecessors]]="","",TRIM(MID(SUBSTITUTE(SUBSTITUTE(SUBSTITUTE(UPPER(Tasks[[#This Row],[_Predecessors]]),";",",")," ",""),",",REPT(" ",99)),1,99)))</f>
        <v/>
      </c>
      <c r="CV31" s="42">
        <f>IF(Tasks[[#This Row],[_Pred1Text]]="","",IFERROR(VALUE(LEFT(Tasks[[#This Row],[_Pred1Text]],MIN(FIND("F",Tasks[[#This Row],[_Pred1Text]]&amp;"F"),FIND("S",Tasks[[#This Row],[_Pred1Text]]&amp;"S"),FIND("+",Tasks[[#This Row],[_Pred1Text]]&amp;"+"),FIND("-",Tasks[[#This Row],[_Pred1Text]]&amp;"-"))-1)),""))</f>
        <v/>
      </c>
      <c r="CW3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1" s="42">
        <f>IF(Tasks[[#This Row],[_Pred1Text]]="","",TRIM(MID(SUBSTITUTE(SUBSTITUTE(SUBSTITUTE(UPPER(Tasks[[#This Row],[_Predecessors]]),";",",")," ",""),",",REPT(" ",99)),100,99)))</f>
        <v/>
      </c>
      <c r="CZ31" s="42">
        <f>IF(Tasks[[#This Row],[_Pred2Text]]="","",IFERROR(VALUE(LEFT(Tasks[[#This Row],[_Pred2Text]],MIN(FIND("F",Tasks[[#This Row],[_Pred2Text]]&amp;"F"),FIND("S",Tasks[[#This Row],[_Pred2Text]]&amp;"S"),FIND("+",Tasks[[#This Row],[_Pred2Text]]&amp;"+"),FIND("-",Tasks[[#This Row],[_Pred2Text]]&amp;"-"))-1)),""))</f>
        <v/>
      </c>
      <c r="DA3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1" s="42">
        <f>IF(Tasks[[#This Row],[_Pred2Text]]="","",TRIM(MID(SUBSTITUTE(SUBSTITUTE(SUBSTITUTE(UPPER(Tasks[[#This Row],[_Predecessors]]),";",",")," ",""),",",REPT(" ",99)),199,99)))</f>
        <v/>
      </c>
      <c r="DD31" s="42">
        <f>IF(Tasks[[#This Row],[_Pred3Text]]="","",IFERROR(VALUE(LEFT(Tasks[[#This Row],[_Pred3Text]],MIN(FIND("F",Tasks[[#This Row],[_Pred3Text]]&amp;"F"),FIND("S",Tasks[[#This Row],[_Pred3Text]]&amp;"S"),FIND("+",Tasks[[#This Row],[_Pred3Text]]&amp;"+"),FIND("-",Tasks[[#This Row],[_Pred3Text]]&amp;"-"))-1)),""))</f>
        <v/>
      </c>
      <c r="DE3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1" s="42">
        <f>IF(Tasks[[#This Row],[_Pred3Text]]="","",TRIM(MID(SUBSTITUTE(SUBSTITUTE(SUBSTITUTE(UPPER(Tasks[[#This Row],[_Predecessors]]),";",",")," ",""),",",REPT(" ",99)),298,99)))</f>
        <v/>
      </c>
      <c r="DH31" s="42">
        <f>IF(Tasks[[#This Row],[_Pred4Text]]="","",IFERROR(VALUE(LEFT(Tasks[[#This Row],[_Pred4Text]],MIN(FIND("F",Tasks[[#This Row],[_Pred4Text]]&amp;"F"),FIND("S",Tasks[[#This Row],[_Pred4Text]]&amp;"S"),FIND("+",Tasks[[#This Row],[_Pred4Text]]&amp;"+"),FIND("-",Tasks[[#This Row],[_Pred4Text]]&amp;"-"))-1)),""))</f>
        <v/>
      </c>
      <c r="DI3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1" s="42">
        <f>IF(OR(Tasks[[#This Row],[Task Name]]="",Tasks[[#This Row],[_Resources]]=""),"",TRIM(MID(SUBSTITUTE(Tasks[[#This Row],[_Resources]],",",REPT(" ",99)),1,99)))</f>
        <v/>
      </c>
      <c r="DL31" s="42">
        <f>IF(Tasks[[#This Row],[_Res1Text]]="","",TRIM(MID(SUBSTITUTE(Tasks[[#This Row],[_Resources]],",",REPT(" ",99)),100,99)))</f>
        <v/>
      </c>
      <c r="DM31" s="42">
        <f>IF(Tasks[[#This Row],[_Res2Text]]="","",TRIM(MID(SUBSTITUTE(Tasks[[#This Row],[_Resources]],",",REPT(" ",99)),199,99)))</f>
        <v/>
      </c>
      <c r="DN31" s="42">
        <f>IF(Tasks[[#This Row],[_Res3Text]]="","",TRIM(MID(SUBSTITUTE(Tasks[[#This Row],[_Resources]],",",REPT(" ",99)),298,99)))</f>
        <v/>
      </c>
      <c r="DO31" s="42">
        <f>IF(Tasks[[#This Row],[_Res1Text]]="",0,IFERROR(MATCH(TRIM(LEFT(Tasks[[#This Row],[_Res1Text]],FIND("[",Tasks[[#This Row],[_Res1Text]]&amp;"[")-1)),res_Name,0),IFERROR(MATCH(TRIM(LEFT(Tasks[[#This Row],[_Res1Text]],FIND("[",Tasks[[#This Row],[_Res1Text]]&amp;"[")-1)),res_Initials,0),0)))</f>
        <v/>
      </c>
      <c r="DP31" s="42">
        <f>IF(Tasks[[#This Row],[_Res2Text]]="",0,IFERROR(MATCH(TRIM(LEFT(Tasks[[#This Row],[_Res2Text]],FIND("[",Tasks[[#This Row],[_Res2Text]]&amp;"[")-1)),res_Name,0),IFERROR(MATCH(TRIM(LEFT(Tasks[[#This Row],[_Res2Text]],FIND("[",Tasks[[#This Row],[_Res2Text]]&amp;"[")-1)),res_Initials,0),0)))</f>
        <v/>
      </c>
      <c r="DQ31" s="42">
        <f>IF(Tasks[[#This Row],[_Res3Text]]="",0,IFERROR(MATCH(TRIM(LEFT(Tasks[[#This Row],[_Res3Text]],FIND("[",Tasks[[#This Row],[_Res3Text]]&amp;"[")-1)),res_Name,0),IFERROR(MATCH(TRIM(LEFT(Tasks[[#This Row],[_Res3Text]],FIND("[",Tasks[[#This Row],[_Res3Text]]&amp;"[")-1)),res_Initials,0),0)))</f>
        <v/>
      </c>
      <c r="DR31" s="42">
        <f>IF(Tasks[[#This Row],[_Res4Text]]="",0,IFERROR(MATCH(TRIM(LEFT(Tasks[[#This Row],[_Res4Text]],FIND("[",Tasks[[#This Row],[_Res4Text]]&amp;"[")-1)),res_Name,0),IFERROR(MATCH(TRIM(LEFT(Tasks[[#This Row],[_Res4Text]],FIND("[",Tasks[[#This Row],[_Res4Text]]&amp;"[")-1)),res_Initials,0),0)))</f>
        <v/>
      </c>
      <c r="DS31" s="42">
        <f>IF(Tasks[[#This Row],[_Res1Text]]="","",IF(Tasks[[#This Row],[_Res1Row]]&gt;0,INDEX(res_Name,Tasks[[#This Row],[_Res1Row]]),TRIM(LEFT(Tasks[[#This Row],[_Res1Text]],FIND("[",Tasks[[#This Row],[_Res1Text]]&amp;"[")-1))))</f>
        <v/>
      </c>
      <c r="DT3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1" s="42">
        <f>IF(NOT(Tasks[[#This Row],[_IsLeaf]]=1),0,(Tasks[[#This Row],[_Resource1]]&lt;&gt;"")+(Tasks[[#This Row],[_Res2]]&lt;&gt;"")+(Tasks[[#This Row],[_Res3]]&lt;&gt;"")+(Tasks[[#This Row],[_Res4]]&lt;&gt;""))</f>
        <v/>
      </c>
      <c r="DV31" s="42">
        <f>IF(Tasks[[#This Row],[_Res2Text]]="","",IF(Tasks[[#This Row],[_Res2Row]]&gt;0,INDEX(res_Name,Tasks[[#This Row],[_Res2Row]]),TRIM(LEFT(Tasks[[#This Row],[_Res2Text]],FIND("[",Tasks[[#This Row],[_Res2Text]]&amp;"[")-1))))</f>
        <v/>
      </c>
      <c r="DW3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1" s="42">
        <f>IF(OR(NOT(Tasks[[#This Row],[_IsLeaf]]=1),Tasks[[#This Row],[_Res2Row]]=0),0,N(Tasks[[#This Row],[_Days]])*HoursPerDay*IF(Tasks[[#This Row],[_Res2Units]]="",DefaultUnits,Tasks[[#This Row],[_Res2Units]]))</f>
        <v/>
      </c>
      <c r="DY31" s="42">
        <f>IF(AND(AND(Tasks[[#This Row],[_IsLeaf]]=1,Tasks[[#This Row],[_LeafTotalWork]]&gt;0),Tasks[[#This Row],[_Res2Work]]&gt;0),Tasks[[#This Row],[_Res2Work]]/(Tasks[[#This Row],[_FinishWorkday]]-Tasks[[#This Row],[_StartWorkday]]+1),0)</f>
        <v/>
      </c>
      <c r="DZ31" s="42">
        <f>Tasks[[#This Row],[_Res2WorkPerWD]]*MAX(0,Tasks[[#This Row],[_StartWorkday]]-1)</f>
        <v/>
      </c>
      <c r="EA31" s="42">
        <f>Tasks[[#This Row],[_Res2Work]]*Tasks[[#This Row],[_LeafProgress]]</f>
        <v/>
      </c>
      <c r="EB31" s="42">
        <f>IF(Tasks[[#This Row],[_Res3Text]]="","",IF(Tasks[[#This Row],[_Res3Row]]&gt;0,INDEX(res_Name,Tasks[[#This Row],[_Res3Row]]),TRIM(LEFT(Tasks[[#This Row],[_Res3Text]],FIND("[",Tasks[[#This Row],[_Res3Text]]&amp;"[")-1))))</f>
        <v/>
      </c>
      <c r="EC3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1" s="42">
        <f>IF(OR(NOT(Tasks[[#This Row],[_IsLeaf]]=1),Tasks[[#This Row],[_Res3Row]]=0),0,N(Tasks[[#This Row],[_Days]])*HoursPerDay*IF(Tasks[[#This Row],[_Res3Units]]="",DefaultUnits,Tasks[[#This Row],[_Res3Units]]))</f>
        <v/>
      </c>
      <c r="EE31" s="42">
        <f>IF(AND(AND(Tasks[[#This Row],[_IsLeaf]]=1,Tasks[[#This Row],[_LeafTotalWork]]&gt;0),Tasks[[#This Row],[_Res3Work]]&gt;0),Tasks[[#This Row],[_Res3Work]]/(Tasks[[#This Row],[_FinishWorkday]]-Tasks[[#This Row],[_StartWorkday]]+1),0)</f>
        <v/>
      </c>
      <c r="EF31" s="42">
        <f>Tasks[[#This Row],[_Res3WorkPerWD]]*MAX(0,Tasks[[#This Row],[_StartWorkday]]-1)</f>
        <v/>
      </c>
      <c r="EG31" s="42">
        <f>Tasks[[#This Row],[_Res3Work]]*Tasks[[#This Row],[_LeafProgress]]</f>
        <v/>
      </c>
      <c r="EH31" s="42">
        <f>IF(Tasks[[#This Row],[_Res4Text]]="","",IF(Tasks[[#This Row],[_Res4Row]]&gt;0,INDEX(res_Name,Tasks[[#This Row],[_Res4Row]]),TRIM(LEFT(Tasks[[#This Row],[_Res4Text]],FIND("[",Tasks[[#This Row],[_Res4Text]]&amp;"[")-1))))</f>
        <v/>
      </c>
      <c r="EI3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1" s="42">
        <f>IF(OR(NOT(Tasks[[#This Row],[_IsLeaf]]=1),Tasks[[#This Row],[_Res4Row]]=0),0,N(Tasks[[#This Row],[_Days]])*HoursPerDay*IF(Tasks[[#This Row],[_Res4Units]]="",DefaultUnits,Tasks[[#This Row],[_Res4Units]]))</f>
        <v/>
      </c>
      <c r="EK31" s="42">
        <f>IF(AND(AND(Tasks[[#This Row],[_IsLeaf]]=1,Tasks[[#This Row],[_LeafTotalWork]]&gt;0),Tasks[[#This Row],[_Res4Work]]&gt;0),Tasks[[#This Row],[_Res4Work]]/(Tasks[[#This Row],[_FinishWorkday]]-Tasks[[#This Row],[_StartWorkday]]+1),0)</f>
        <v/>
      </c>
      <c r="EL31" s="42">
        <f>Tasks[[#This Row],[_Res4WorkPerWD]]*MAX(0,Tasks[[#This Row],[_StartWorkday]]-1)</f>
        <v/>
      </c>
      <c r="EM31" s="42">
        <f>Tasks[[#This Row],[_Res4Work]]*Tasks[[#This Row],[_LeafProgress]]</f>
        <v/>
      </c>
      <c r="EN31" s="42">
        <f>IF(ISNUMBER(Tasks[[#This Row],[% Complete]]),Tasks[[#This Row],[% Complete]],IF(Tasks[[#This Row],[Stage]]="",0,IFERROR(INDEX(stg_Pct,MATCH(Tasks[[#This Row],[Stage]],stg_Name,0)),0)))</f>
        <v/>
      </c>
      <c r="EO31" s="42">
        <f>IF(NOT(Tasks[[#This Row],[_IsLeaf]]=1),0,IF(N(Tasks[[#This Row],[Actual Finish]])&gt;0,1,MIN(1,Tasks[[#This Row],[_Pct]])))</f>
        <v/>
      </c>
      <c r="EP31" s="42">
        <f>IF(OR(NOT(Tasks[[#This Row],[_IsLeaf]]=1),Tasks[[#This Row],[_Res1Row]]=0),0,N(Tasks[[#This Row],[_Days]])*HoursPerDay*IF(Tasks[[#This Row],[_Units1]]="",DefaultUnits,Tasks[[#This Row],[_Units1]]))</f>
        <v/>
      </c>
      <c r="EQ31" s="42">
        <f>Tasks[[#This Row],[_LeafWork]]+Tasks[[#This Row],[_Res2Work]]+Tasks[[#This Row],[_Res3Work]]+Tasks[[#This Row],[_Res4Work]]</f>
        <v/>
      </c>
      <c r="ER3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1" s="42">
        <f>IF(NOT(Tasks[[#This Row],[_IsLeaf]]=1),0,MAX(_xlfn.MAXIFS(Tasks[_Row],Tasks[_Pred1UID],Tasks[[#This Row],[UID]]),_xlfn.MAXIFS(Tasks[_Row],Tasks[_Pred2UID],Tasks[[#This Row],[UID]]),_xlfn.MAXIFS(Tasks[_Row],Tasks[_Pred3UID],Tasks[[#This Row],[UID]]),_xlfn.MAXIFS(Tasks[_Row],Tasks[_Pred4UID],Tasks[[#This Row],[UID]])))</f>
        <v/>
      </c>
      <c r="FA3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1" s="88">
        <f>IF(NOT(Tasks[[#This Row],[_IsLeaf]]=1),"",IF(N(Tasks[[#This Row],[_Days]])&lt;=0,Tasks[[#This Row],[_LeafLateFinish]],WORKDAY.INTL(Tasks[[#This Row],[_LeafLateFinish]],-(Tasks[[#This Row],[_Days]]-1),WorkWeek,Holidays)))</f>
        <v/>
      </c>
      <c r="FD3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1" s="42">
        <f>AND(Tasks[[#This Row],[_IsLeaf]]=1,Tasks[[#This Row],[_LeafProgress]]&lt;1,N(Tasks[[#This Row],[_LeafTotalSlack]])&lt;=CriticalSlackDays)</f>
        <v/>
      </c>
      <c r="FF31" s="42">
        <f>IF(AND(Tasks[[#This Row],[_IsLeaf]]=1,Tasks[[#This Row],[_ConstraintCode]]=1,Tasks[[#This Row],[Mode]]&lt;&gt;"Manual",N(Tasks[[#This Row],[Actual Start]])=0),MAX(0,N(Tasks[[#This Row],[Free Slack]])),0)</f>
        <v/>
      </c>
      <c r="FG31" s="88">
        <f>IF(NOT(Tasks[[#This Row],[_IsLeaf]]=1),"",IF(Tasks[[#This Row],[_AlapShift]]=0,Tasks[[#This Row],[_LeafCalcStart]],WORKDAY.INTL(Tasks[[#This Row],[_LeafCalcStart]],Tasks[[#This Row],[_AlapShift]],WorkWeek,Holidays)))</f>
        <v/>
      </c>
      <c r="FH31" s="88">
        <f>IF(NOT(Tasks[[#This Row],[_IsLeaf]]=1),"",IF(Tasks[[#This Row],[_AlapShift]]=0,Tasks[[#This Row],[_LeafCalcFinish]],WORKDAY.INTL(Tasks[[#This Row],[_LeafCalcFinish]],Tasks[[#This Row],[_AlapShift]],WorkWeek,Holidays)))</f>
        <v/>
      </c>
      <c r="FI31" s="88">
        <f>IF(NOT(Tasks[[#This Row],[_IsLeaf]]=1),"",IF(Tasks[[#This Row],[_AlapShift]]=0,Tasks[[#This Row],[_LeafFcstStart]],WORKDAY.INTL(Tasks[[#This Row],[_LeafFcstStart]],Tasks[[#This Row],[_AlapShift]],WorkWeek,Holidays)))</f>
        <v/>
      </c>
      <c r="FJ31" s="88">
        <f>IF(NOT(Tasks[[#This Row],[_IsLeaf]]=1),"",IF(Tasks[[#This Row],[_AlapShift]]=0,Tasks[[#This Row],[_LeafFcstFinish]],WORKDAY.INTL(Tasks[[#This Row],[_LeafFcstFinish]],Tasks[[#This Row],[_AlapShift]],WorkWeek,Holidays)))</f>
        <v/>
      </c>
      <c r="FK31" s="88">
        <f>IF(Tasks[[#This Row],[Task Name]]="","",IF(Tasks[[#This Row],[_IsSummary]],MIN(INDEX(Tasks[_ShownCalcStart],Tasks[[#This Row],[_Row]]+1):INDEX(Tasks[_ShownCalcStart],Tasks[[#This Row],[_Row]]+Tasks[[#This Row],[_Descendants]])),Tasks[[#This Row],[_ShownCalcStart]]))</f>
        <v/>
      </c>
      <c r="FL31" s="88">
        <f>IF(Tasks[[#This Row],[Task Name]]="","",IF(Tasks[[#This Row],[_IsSummary]],MAX(INDEX(Tasks[_ShownCalcFinish],Tasks[[#This Row],[_Row]]+1):INDEX(Tasks[_ShownCalcFinish],Tasks[[#This Row],[_Row]]+Tasks[[#This Row],[_Descendants]])),Tasks[[#This Row],[_ShownCalcFinish]]))</f>
        <v/>
      </c>
      <c r="FM3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1" s="42">
        <f>IF(AND(Tasks[[#This Row],[_IsLeaf]]=1,Tasks[[#This Row],[_LeafTotalWork]]&gt;0),NETWORKDAYS.INTL(ProjectStart,Tasks[[#This Row],[_ShownFcstStart]],WorkWeek,Holidays),0)</f>
        <v/>
      </c>
      <c r="FZ31" s="42">
        <f>IF(AND(Tasks[[#This Row],[_IsLeaf]]=1,Tasks[[#This Row],[_LeafTotalWork]]&gt;0),MAX(Tasks[[#This Row],[_StartWorkday]],NETWORKDAYS.INTL(ProjectStart,Tasks[[#This Row],[_ShownFcstFinish]],WorkWeek,Holidays)),0)</f>
        <v/>
      </c>
      <c r="GA31" s="42">
        <f>IF(AND(Tasks[[#This Row],[_IsLeaf]]=1,Tasks[[#This Row],[_LeafTotalWork]]&gt;0),Tasks[[#This Row],[_LeafWork]]/(Tasks[[#This Row],[_FinishWorkday]]-Tasks[[#This Row],[_StartWorkday]]+1),0)</f>
        <v/>
      </c>
      <c r="GB31" s="42">
        <f>Tasks[[#This Row],[_WorkPerWorkday]]*(Tasks[[#This Row],[_StartWorkday]]-1)</f>
        <v/>
      </c>
      <c r="GC31" s="42">
        <f>IF(Tasks[[#This Row],[_IsLeaf]]=1,MAX(N(Tasks[[#This Row],[_Days]]),0.1),0)</f>
        <v/>
      </c>
      <c r="GD31" s="42">
        <f>Tasks[[#This Row],[_WeightDur]]*Tasks[[#This Row],[_LeafProgress]]</f>
        <v/>
      </c>
      <c r="GE31" s="42">
        <f>Tasks[[#This Row],[_WeightDur]]*Tasks[[#This Row],[_PlannedPct]]</f>
        <v/>
      </c>
      <c r="GF3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1" s="42">
        <f>IF(AND(Tasks[[#This Row],[_IsLeaf]]=1,N(Tasks[[#This Row],[_Days]])=0,Tasks[[#This Row],[_LeafProgress]]&lt;1),Tasks[[#This Row],[_ShownFcstFinish]]+Tasks[[#This Row],[_Row]]/100000,"")</f>
        <v/>
      </c>
      <c r="GH3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1" s="42">
        <f>IF(Tasks[[#This Row],[Task Name]]="","",LEFT(Tasks[[#This Row],[WBS]],FIND(".",Tasks[[#This Row],[WBS]]&amp;".")-1))</f>
        <v/>
      </c>
      <c r="GJ31" s="42">
        <f>IF(AND(Tasks[[#This Row],[Task Name]]&lt;&gt;"",Tasks[[#This Row],[_Level]]=1),Tasks[[#This Row],[_Row]],"")</f>
        <v/>
      </c>
      <c r="GK31" s="42">
        <f>IF(AND(Tasks[[#This Row],[_IsLeaf]]=1,N(Tasks[[#This Row],[_Days]])=0),Tasks[[#This Row],[Planned Finish]]+Tasks[[#This Row],[_Row]]/100000,"")</f>
        <v/>
      </c>
      <c r="GL31" s="42">
        <f>IF(AND(Tasks[[#This Row],[_IsLeaf]]=1,Tasks[[#This Row],[_LeafProgress]]&lt;1,OR(N(Tasks[[#This Row],[Finish Var]])&gt;0,Tasks[[#This Row],[Status]]="Late Start")),MAX(0,Tasks[[#This Row],[Finish Var]])+1-Tasks[[#This Row],[_Row]]/1000000,"")</f>
        <v/>
      </c>
      <c r="GM31" s="42">
        <f>IF(AND(Tasks[[#This Row],[_IsLeaf]]=1,N(Tasks[[#This Row],[Actual Start]])=0,Tasks[[#This Row],[_ShownFcstStart]]&gt;=StatusDate,Tasks[[#This Row],[_ShownFcstStart]]&lt;=LookaheadEnd),Tasks[[#This Row],[_ShownFcstStart]]+Tasks[[#This Row],[_Row]]/100000,"")</f>
        <v/>
      </c>
      <c r="GN31" s="42">
        <f>IF(AND(Tasks[[#This Row],[_IsLeaf]]=1,Tasks[[#This Row],[_LeafProgress]]&lt;1,Tasks[[#This Row],[_ShownFcstFinish]]&gt;=StatusDate,Tasks[[#This Row],[_ShownFcstFinish]]&lt;=LookaheadEnd),Tasks[[#This Row],[_ShownFcstFinish]]+Tasks[[#This Row],[_Row]]/100000,"")</f>
        <v/>
      </c>
      <c r="GO31" s="42">
        <f>IF(Tasks[[#This Row],[_LeafCritical]],Tasks[[#This Row],[_ShownFcstStart]]+Tasks[[#This Row],[_Row]]/100000,"")</f>
        <v/>
      </c>
      <c r="GP31" s="42">
        <f>Tasks[[#This Row],[_LeafWork]]*Tasks[[#This Row],[_LeafProgress]]</f>
        <v/>
      </c>
      <c r="GQ31" s="88">
        <f>IF(AND(Tasks[[#This Row],[_IsLeaf]]=1,Tasks[[#This Row],[_LeafProgress]]&gt;=1),IF(N(Tasks[[#This Row],[Actual Finish]])&gt;0,Tasks[[#This Row],[Actual Finish]],Tasks[[#This Row],[_ShownFcstFinish]]),"")</f>
        <v/>
      </c>
      <c r="GR31" s="42">
        <f>IF(Tasks[[#This Row],[_IsLeaf]]=1,N(Tasks[[#This Row],[Story Points]]),0)</f>
        <v/>
      </c>
      <c r="GS31" s="42">
        <f>""</f>
        <v/>
      </c>
      <c r="GT31" s="42">
        <f>IF(Tasks[[#This Row],[Task Name]]="",FALSE(),AND(Tasks[[#This Row],[_IsLeaf]]=1,N(Tasks[[#This Row],[_Days]])=0))</f>
        <v/>
      </c>
      <c r="GU31" s="88">
        <f>IF(Tasks[[#This Row],[Task Name]]="",0,IF(AND(Tasks[[#This Row],[_IsLeaf]]=1,NOT(Tasks[[#This Row],[_IsMilestone]]),N(Tasks[[#This Row],[Progress]])&gt;0),Tasks[[#This Row],[Start]],0))</f>
        <v/>
      </c>
      <c r="GV31" s="88">
        <f>IF(Tasks[[#This Row],[_DoneFrom]]=0,0,IF(Tasks[[#This Row],[Progress]]&gt;=1,Tasks[[#This Row],[Finish]],MAX(Tasks[[#This Row],[_DoneFrom]],Tasks[[#This Row],[Start]]+ROUND((Tasks[[#This Row],[Finish]]-Tasks[[#This Row],[Start]]+1)*Tasks[[#This Row],[Progress]],0)-1)))</f>
        <v/>
      </c>
      <c r="GW31" s="88">
        <f>IF(Tasks[[#This Row],[Task Name]]="",0,IF(OR(NOT(Tasks[[#This Row],[_IsLeaf]]=1),Tasks[[#This Row],[_IsMilestone]],N(Tasks[[#This Row],[Progress]])&gt;=1),0,IF(Tasks[[#This Row],[_DoneTo]]&gt;0,Tasks[[#This Row],[_DoneTo]]+1,Tasks[[#This Row],[Start]])))</f>
        <v/>
      </c>
      <c r="GX31" s="88">
        <f>IF(Tasks[[#This Row],[_RemFrom]]=0,0,Tasks[[#This Row],[Finish]])</f>
        <v/>
      </c>
      <c r="GY31" s="42">
        <f>IF(Tasks[[#This Row],[Task Name]]="",FALSE(),OR(NOT(BaselineSet),N(Tasks[[#This Row],[Baseline Start]])&gt;0))</f>
        <v/>
      </c>
      <c r="GZ31" s="42">
        <f>IF(AND(Sandbox="Yes",L_PARSE_DURATION(Tasks[[#This Row],[Sandbox Duration]])&lt;&gt;""),L_PARSE_DURATION(Tasks[[#This Row],[Sandbox Duration]]),L_PARSE_DURATION(Tasks[[#This Row],[Duration]]))</f>
        <v/>
      </c>
      <c r="HA3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1" s="42">
        <f>IF(Tasks[[#This Row],[_IsLeaf]]=1,Tasks[[#This Row],[_Row]],"")</f>
        <v/>
      </c>
      <c r="HD31" s="42">
        <f>IFERROR(INDEX(Tasks[UID],SMALL(Tasks[_PickKey],Tasks[[#This Row],[_Row]]))&amp;" "&amp;INDEX(Tasks[Task Name],SMALL(Tasks[_PickKey],Tasks[[#This Row],[_Row]])),"")</f>
        <v/>
      </c>
      <c r="HE31" s="42">
        <f>IF(Tasks[[#This Row],[Task Name]]="","",IF(Tasks[[#This Row],[_IsSummary]],NETWORKDAYS.INTL(Tasks[[#This Row],[Start]],Tasks[[#This Row],[Finish]],WorkWeek,Holidays),N(Tasks[[#This Row],[_Days]])))</f>
        <v/>
      </c>
      <c r="HF31" s="42">
        <f>IF(Tasks[[#This Row],[Expected]]="",0,((Tasks[[#This Row],[Pessimistic]]-Tasks[[#This Row],[Optimistic]])/6)^2)</f>
        <v/>
      </c>
      <c r="HG31" s="42">
        <f>IF(Tasks[[#This Row],[Expected]]="",0,Tasks[[#This Row],[Expected]]-N(Tasks[[#This Row],[_Days]]))</f>
        <v/>
      </c>
    </row>
    <row r="32">
      <c r="A32" s="21">
        <f>IF(Tasks[[#This Row],[Task Name]]="","",COUNTA(Tasks[[#Headers],[Task Name]]:Tasks[[#This Row],[Task Name]])-1)</f>
        <v/>
      </c>
      <c r="B32" s="22" t="n">
        <v>40</v>
      </c>
      <c r="C32" s="22" t="n"/>
      <c r="D32" s="23" t="n"/>
      <c r="E32" s="22" t="n"/>
      <c r="F32" s="23" t="n"/>
      <c r="G32" s="22" t="n"/>
      <c r="H32" s="22" t="n"/>
      <c r="I32" s="23" t="n"/>
      <c r="J32" s="22" t="n"/>
      <c r="K32" s="22" t="n"/>
      <c r="L32" s="23" t="n"/>
      <c r="M32" s="22" t="n"/>
      <c r="N32" s="22" t="n"/>
      <c r="O32" s="23" t="n"/>
      <c r="P32" s="22" t="n"/>
      <c r="Q32" s="22" t="n"/>
      <c r="R32" s="23" t="n"/>
      <c r="S32" s="23" t="n"/>
      <c r="T32" s="82" t="n"/>
      <c r="U32" s="23" t="n"/>
      <c r="V32" s="82" t="n"/>
      <c r="W32" s="23" t="n"/>
      <c r="X32" s="82" t="n"/>
      <c r="Y32" s="23" t="n"/>
      <c r="Z32" s="82" t="n"/>
      <c r="AA32" s="23" t="n"/>
      <c r="AB32" s="23" t="n"/>
      <c r="AC32" s="7" t="n"/>
      <c r="AD32" s="7" t="n"/>
      <c r="AE32" s="61">
        <f>IF(Tasks[[#This Row],[Task Name]]="","",IF(Tasks[[#This Row],[_IsSummary]],MIN(INDEX(Tasks[_ShownFcstStart],Tasks[[#This Row],[_Row]]+1):INDEX(Tasks[_ShownFcstStart],Tasks[[#This Row],[_Row]]+Tasks[[#This Row],[_Descendants]])),Tasks[[#This Row],[_ShownFcstStart]]))</f>
        <v/>
      </c>
      <c r="AF32" s="61">
        <f>IF(Tasks[[#This Row],[Task Name]]="","",IF(Tasks[[#This Row],[_IsSummary]],MAX(INDEX(Tasks[_ShownFcstFinish],Tasks[[#This Row],[_Row]]+1):INDEX(Tasks[_ShownFcstFinish],Tasks[[#This Row],[_Row]]+Tasks[[#This Row],[_Descendants]])),Tasks[[#This Row],[_ShownFcstFinish]]))</f>
        <v/>
      </c>
      <c r="AG32" s="21">
        <f>""</f>
        <v/>
      </c>
      <c r="AH32" s="23" t="n"/>
      <c r="AI3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2" s="7" t="n"/>
      <c r="AK32" s="22" t="n"/>
      <c r="AL32" s="23" t="n"/>
      <c r="AM32" s="7" t="n"/>
      <c r="AN32" s="21">
        <f>IF(Tasks[[#This Row],[Task Name]]="","",IF(Tasks[[#This Row],[Finish]]&gt;=Tasks[[#This Row],[Planned Finish]],NETWORKDAYS.INTL(Tasks[[#This Row],[Planned Finish]],Tasks[[#This Row],[Finish]],WorkWeek,Holidays)-1,1-NETWORKDAYS.INTL(Tasks[[#This Row],[Finish]],Tasks[[#This Row],[Planned Finish]],WorkWeek,Holidays)))</f>
        <v/>
      </c>
      <c r="AO32" s="21">
        <f>IF(Tasks[[#This Row],[Task Name]]="","",IF(Tasks[[#This Row],[Progress]]&gt;=1,"Complete",IF(OR(N(Tasks[[#This Row],[Actual Start]])&gt;0,Tasks[[#This Row],[Progress]]&gt;0),IF(Tasks[[#This Row],[Finish Var]]&gt;0,"Behind","In Progress"),IF(Tasks[[#This Row],[Planned Start]]&lt;StatusDate,"Late Start","Not Started"))))</f>
        <v/>
      </c>
      <c r="AP32" s="21">
        <f>IF(Tasks[[#This Row],[Task Name]]="","",IF(IF(Tasks[[#This Row],[_IsSummary]],COUNTIF(INDEX(Tasks[_LeafCritical],Tasks[[#This Row],[_Row]]+1):INDEX(Tasks[_LeafCritical],Tasks[[#This Row],[_Row]]+Tasks[[#This Row],[_Descendants]]),TRUE())&gt;0,Tasks[[#This Row],[_LeafCritical]]),"Yes",""))</f>
        <v/>
      </c>
      <c r="AQ32" s="61">
        <f>IF(Tasks[[#This Row],[Task Name]]="","",IF(N(Tasks[[#This Row],[Baseline Start]])&gt;0,Tasks[[#This Row],[Baseline Start]],Tasks[[#This Row],[_CalcStart]]))</f>
        <v/>
      </c>
      <c r="AR32" s="61">
        <f>IF(Tasks[[#This Row],[Task Name]]="","",IF(N(Tasks[[#This Row],[Baseline Finish]])&gt;0,Tasks[[#This Row],[Baseline Finish]],Tasks[[#This Row],[_CalcFinish]]))</f>
        <v/>
      </c>
      <c r="AS32" s="21">
        <f>IF(Tasks[[#This Row],[Task Name]]="","",IF(Tasks[[#This Row],[Start]]&gt;=Tasks[[#This Row],[Planned Start]],NETWORKDAYS.INTL(Tasks[[#This Row],[Planned Start]],Tasks[[#This Row],[Start]],WorkWeek,Holidays)-1,1-NETWORKDAYS.INTL(Tasks[[#This Row],[Start]],Tasks[[#This Row],[Planned Start]],WorkWeek,Holidays)))</f>
        <v/>
      </c>
      <c r="AT32" s="61">
        <f>IF(Tasks[[#This Row],[Task Name]]="","",IF(Tasks[[#This Row],[_IsSummary]],MIN(INDEX(Tasks[_LeafLateStart],Tasks[[#This Row],[_Row]]+1):INDEX(Tasks[_LeafLateStart],Tasks[[#This Row],[_Row]]+Tasks[[#This Row],[_Descendants]])),Tasks[[#This Row],[_LeafLateStart]]))</f>
        <v/>
      </c>
      <c r="AU32" s="61">
        <f>IF(Tasks[[#This Row],[Task Name]]="","",IF(Tasks[[#This Row],[_IsSummary]],MAX(INDEX(Tasks[_LeafLateFinish],Tasks[[#This Row],[_Row]]+1):INDEX(Tasks[_LeafLateFinish],Tasks[[#This Row],[_Row]]+Tasks[[#This Row],[_Descendants]])),Tasks[[#This Row],[_LeafLateFinish]]))</f>
        <v/>
      </c>
      <c r="AV32" s="21">
        <f>IF(Tasks[[#This Row],[Task Name]]="","",IF(Tasks[[#This Row],[_IsSummary]],MIN(INDEX(Tasks[_LeafTotalSlack],Tasks[[#This Row],[_Row]]+1):INDEX(Tasks[_LeafTotalSlack],Tasks[[#This Row],[_Row]]+Tasks[[#This Row],[_Descendants]])),Tasks[[#This Row],[_LeafTotalSlack]]))</f>
        <v/>
      </c>
      <c r="AW3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3" t="n"/>
      <c r="BA3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f>IF(Tasks[[#This Row],[Task Name]]="","",IF(Tasks[[#This Row],[_Level]]&lt;=OutlineShowLevel,"Yes","No"))</f>
        <v/>
      </c>
      <c r="BE32" s="84">
        <f>IF(Tasks[[#This Row],[Task Name]]="","",IF(Tasks[[#This Row],[_IsSummary]],SUM(INDEX(Tasks[_LeafTotalWork],Tasks[[#This Row],[_Row]]+1):INDEX(Tasks[_LeafTotalWork],Tasks[[#This Row],[_Row]]+Tasks[[#This Row],[_Descendants]])),Tasks[[#This Row],[_LeafTotalWork]]))</f>
        <v/>
      </c>
      <c r="BF32" s="23" t="n"/>
      <c r="BG3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f>""</f>
        <v/>
      </c>
      <c r="BI32" s="85" t="n"/>
      <c r="BJ32" s="22" t="n"/>
      <c r="BK32" s="21">
        <f>IF(OR(Tasks[[#This Row],[Task Name]]="",Tasks[[#This Row],[Baseline Duration]]=""),"",Tasks[[#This Row],[_SpanDays]]-N(Tasks[[#This Row],[Baseline Duration]]))</f>
        <v/>
      </c>
      <c r="BL32" s="84">
        <f>IF(OR(Tasks[[#This Row],[Task Name]]="",Tasks[[#This Row],[Baseline Work]]=""),"",Tasks[[#This Row],[Work]]-N(Tasks[[#This Row],[Baseline Work]]))</f>
        <v/>
      </c>
      <c r="BM32" s="61">
        <f>IF(Tasks[[#This Row],[Task Name]]="","",IF(OR(TakeBaseline="Yes",N(Tasks[[#This Row],[Baseline Start]])=0),Tasks[[#This Row],[Start]],Tasks[[#This Row],[Baseline Start]]))</f>
        <v/>
      </c>
      <c r="BN32" s="61">
        <f>IF(Tasks[[#This Row],[Task Name]]="","",IF(OR(TakeBaseline="Yes",N(Tasks[[#This Row],[Baseline Finish]])=0),Tasks[[#This Row],[Finish]],Tasks[[#This Row],[Baseline Finish]]))</f>
        <v/>
      </c>
      <c r="BO32" s="21">
        <f>IF(Tasks[[#This Row],[Task Name]]="","",IF(OR(TakeBaseline="Yes",N(Tasks[[#This Row],[Baseline Duration]])=0),Tasks[[#This Row],[_SpanDays]],Tasks[[#This Row],[Baseline Duration]]))</f>
        <v/>
      </c>
      <c r="BP32" s="84">
        <f>IF(Tasks[[#This Row],[Task Name]]="","",IF(OR(TakeBaseline="Yes",N(Tasks[[#This Row],[Baseline Work]])=0),Tasks[[#This Row],[Work]],Tasks[[#This Row],[Baseline Work]]))</f>
        <v/>
      </c>
      <c r="BQ32" s="7" t="n"/>
      <c r="BR32" s="7" t="n"/>
      <c r="BS32" s="22" t="n"/>
      <c r="BT32" s="86" t="n"/>
      <c r="BU32" s="23" t="n"/>
      <c r="BV32" s="23" t="n"/>
      <c r="BW32" s="23" t="n"/>
      <c r="BX32" s="87">
        <f>IF(AND(Tasks[[#This Row],[_IsLeaf]]=1,ISNUMBER(Tasks[[#This Row],[Optimistic]]),ISNUMBER(Tasks[[#This Row],[Pessimistic]])),ROUND((Tasks[[#This Row],[Optimistic]]+4*N(Tasks[[#This Row],[_Days]])+Tasks[[#This Row],[Pessimistic]])/6,1),"")</f>
        <v/>
      </c>
      <c r="BY32" s="85" t="n"/>
      <c r="BZ32" s="85" t="n"/>
      <c r="CA32" s="22" t="n"/>
      <c r="CB32" s="42">
        <f>IF(Tasks[[#This Row],[Task Name]]="","",MAX(1,N(Tasks[[#This Row],[Level]])))</f>
        <v/>
      </c>
      <c r="CC32" s="42">
        <f>ROW()-ROW(Tasks[[#Headers],[ID]])</f>
        <v/>
      </c>
      <c r="CD32" s="42">
        <f>IF(OR(Tasks[[#This Row],[Task Name]]="",Tasks[[#This Row],[_Level]]&lt;=1),0,IFERROR(LOOKUP(2,1/(Tasks[[#Headers],[_Level]]:Tasks[[#This Row],[_Level]]=Tasks[[#This Row],[_Level]]-1),ROW(Tasks[[#Headers],[_Level]]:Tasks[[#This Row],[_Level]])),0))</f>
        <v/>
      </c>
      <c r="CE32" s="42">
        <f>IFERROR(N(INDEX(Tasks[_Level],Tasks[[#This Row],[_Row]]+1)),0)</f>
        <v/>
      </c>
      <c r="CF32" s="42">
        <f>AND(Tasks[[#This Row],[Task Name]]&lt;&gt;"",Tasks[[#This Row],[_NextLevel]]&gt;Tasks[[#This Row],[_Level]])</f>
        <v/>
      </c>
      <c r="CG32" s="42">
        <f>IF(Tasks[[#This Row],[_IsSummary]],COUNTIF(Tasks[WBS],Tasks[[#This Row],[WBS]]&amp;".*"),0)</f>
        <v/>
      </c>
      <c r="CH32" s="42">
        <f>IF(AND(Tasks[[#This Row],[Task Name]]&lt;&gt;"",NOT(Tasks[[#This Row],[_IsSummary]])),1,0)</f>
        <v/>
      </c>
      <c r="CI32" s="42">
        <f>IF(N(Tasks[[#This Row],[_Pred1UID]])=0,0,IFERROR(MATCH(Tasks[[#This Row],[_Pred1UID]],Tasks[UID],0),-1))</f>
        <v/>
      </c>
      <c r="CJ32" s="42">
        <f>IF(N(Tasks[[#This Row],[_Pred2UID]])=0,0,IFERROR(MATCH(Tasks[[#This Row],[_Pred2UID]],Tasks[UID],0),-1))</f>
        <v/>
      </c>
      <c r="CK32" s="42">
        <f>IF(N(Tasks[[#This Row],[_Pred3UID]])=0,0,IFERROR(MATCH(Tasks[[#This Row],[_Pred3UID]],Tasks[UID],0),-1))</f>
        <v/>
      </c>
      <c r="CL32" s="42">
        <f>IF(N(Tasks[[#This Row],[_Pred4UID]])=0,0,IFERROR(MATCH(Tasks[[#This Row],[_Pred4UID]],Tasks[UID],0),-1))</f>
        <v/>
      </c>
      <c r="CM3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2" s="88">
        <f>IF(N(Tasks[[#This Row],[Constraint Date]])=0,0,IF(AND(OR(Tasks[[#This Row],[_ConstraintCode]]=3,Tasks[[#This Row],[_ConstraintCode]]=6,Tasks[[#This Row],[_ConstraintCode]]=7),N(Tasks[[#This Row],[_Days]])&gt;1),WORKDAY.INTL(N(Tasks[[#This Row],[Constraint Date]]),-(N(Tasks[[#This Row],[_Days]])-1),WorkWeek,Holidays),N(Tasks[[#This Row],[Constraint Date]])))</f>
        <v/>
      </c>
      <c r="CO32" s="88">
        <f>IF(OR(Tasks[[#This Row],[_ConstraintCode]]=2,Tasks[[#This Row],[_ConstraintCode]]=3,Tasks[[#This Row],[_ConstraintCode]]=4,Tasks[[#This Row],[_ConstraintCode]]=6),Tasks[[#This Row],[_ConstraintStart]],0)</f>
        <v/>
      </c>
      <c r="CP32" s="88">
        <f>IF(OR(Tasks[[#This Row],[_ConstraintCode]]=2,Tasks[[#This Row],[_ConstraintCode]]=3,Tasks[[#This Row],[_ConstraintCode]]=5,Tasks[[#This Row],[_ConstraintCode]]=7),Tasks[[#This Row],[_ConstraintStart]],2958465)</f>
        <v/>
      </c>
      <c r="CQ3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2" s="88">
        <f>IF(NOT(Tasks[[#This Row],[_IsLeaf]]=1),"",IF(N(Tasks[[#This Row],[_Days]])&lt;=0,Tasks[[#This Row],[_LeafCalcStart]],WORKDAY.INTL(Tasks[[#This Row],[_LeafCalcStart]],Tasks[[#This Row],[_Days]]-1,WorkWeek,Holidays)))</f>
        <v/>
      </c>
      <c r="CS3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2" s="42">
        <f>IF(Tasks[[#This Row],[_Predecessors]]="","",TRIM(MID(SUBSTITUTE(SUBSTITUTE(SUBSTITUTE(UPPER(Tasks[[#This Row],[_Predecessors]]),";",",")," ",""),",",REPT(" ",99)),1,99)))</f>
        <v/>
      </c>
      <c r="CV32" s="42">
        <f>IF(Tasks[[#This Row],[_Pred1Text]]="","",IFERROR(VALUE(LEFT(Tasks[[#This Row],[_Pred1Text]],MIN(FIND("F",Tasks[[#This Row],[_Pred1Text]]&amp;"F"),FIND("S",Tasks[[#This Row],[_Pred1Text]]&amp;"S"),FIND("+",Tasks[[#This Row],[_Pred1Text]]&amp;"+"),FIND("-",Tasks[[#This Row],[_Pred1Text]]&amp;"-"))-1)),""))</f>
        <v/>
      </c>
      <c r="CW3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2" s="42">
        <f>IF(Tasks[[#This Row],[_Pred1Text]]="","",TRIM(MID(SUBSTITUTE(SUBSTITUTE(SUBSTITUTE(UPPER(Tasks[[#This Row],[_Predecessors]]),";",",")," ",""),",",REPT(" ",99)),100,99)))</f>
        <v/>
      </c>
      <c r="CZ32" s="42">
        <f>IF(Tasks[[#This Row],[_Pred2Text]]="","",IFERROR(VALUE(LEFT(Tasks[[#This Row],[_Pred2Text]],MIN(FIND("F",Tasks[[#This Row],[_Pred2Text]]&amp;"F"),FIND("S",Tasks[[#This Row],[_Pred2Text]]&amp;"S"),FIND("+",Tasks[[#This Row],[_Pred2Text]]&amp;"+"),FIND("-",Tasks[[#This Row],[_Pred2Text]]&amp;"-"))-1)),""))</f>
        <v/>
      </c>
      <c r="DA3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2" s="42">
        <f>IF(Tasks[[#This Row],[_Pred2Text]]="","",TRIM(MID(SUBSTITUTE(SUBSTITUTE(SUBSTITUTE(UPPER(Tasks[[#This Row],[_Predecessors]]),";",",")," ",""),",",REPT(" ",99)),199,99)))</f>
        <v/>
      </c>
      <c r="DD32" s="42">
        <f>IF(Tasks[[#This Row],[_Pred3Text]]="","",IFERROR(VALUE(LEFT(Tasks[[#This Row],[_Pred3Text]],MIN(FIND("F",Tasks[[#This Row],[_Pred3Text]]&amp;"F"),FIND("S",Tasks[[#This Row],[_Pred3Text]]&amp;"S"),FIND("+",Tasks[[#This Row],[_Pred3Text]]&amp;"+"),FIND("-",Tasks[[#This Row],[_Pred3Text]]&amp;"-"))-1)),""))</f>
        <v/>
      </c>
      <c r="DE3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2" s="42">
        <f>IF(Tasks[[#This Row],[_Pred3Text]]="","",TRIM(MID(SUBSTITUTE(SUBSTITUTE(SUBSTITUTE(UPPER(Tasks[[#This Row],[_Predecessors]]),";",",")," ",""),",",REPT(" ",99)),298,99)))</f>
        <v/>
      </c>
      <c r="DH32" s="42">
        <f>IF(Tasks[[#This Row],[_Pred4Text]]="","",IFERROR(VALUE(LEFT(Tasks[[#This Row],[_Pred4Text]],MIN(FIND("F",Tasks[[#This Row],[_Pred4Text]]&amp;"F"),FIND("S",Tasks[[#This Row],[_Pred4Text]]&amp;"S"),FIND("+",Tasks[[#This Row],[_Pred4Text]]&amp;"+"),FIND("-",Tasks[[#This Row],[_Pred4Text]]&amp;"-"))-1)),""))</f>
        <v/>
      </c>
      <c r="DI3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2" s="42">
        <f>IF(OR(Tasks[[#This Row],[Task Name]]="",Tasks[[#This Row],[_Resources]]=""),"",TRIM(MID(SUBSTITUTE(Tasks[[#This Row],[_Resources]],",",REPT(" ",99)),1,99)))</f>
        <v/>
      </c>
      <c r="DL32" s="42">
        <f>IF(Tasks[[#This Row],[_Res1Text]]="","",TRIM(MID(SUBSTITUTE(Tasks[[#This Row],[_Resources]],",",REPT(" ",99)),100,99)))</f>
        <v/>
      </c>
      <c r="DM32" s="42">
        <f>IF(Tasks[[#This Row],[_Res2Text]]="","",TRIM(MID(SUBSTITUTE(Tasks[[#This Row],[_Resources]],",",REPT(" ",99)),199,99)))</f>
        <v/>
      </c>
      <c r="DN32" s="42">
        <f>IF(Tasks[[#This Row],[_Res3Text]]="","",TRIM(MID(SUBSTITUTE(Tasks[[#This Row],[_Resources]],",",REPT(" ",99)),298,99)))</f>
        <v/>
      </c>
      <c r="DO32" s="42">
        <f>IF(Tasks[[#This Row],[_Res1Text]]="",0,IFERROR(MATCH(TRIM(LEFT(Tasks[[#This Row],[_Res1Text]],FIND("[",Tasks[[#This Row],[_Res1Text]]&amp;"[")-1)),res_Name,0),IFERROR(MATCH(TRIM(LEFT(Tasks[[#This Row],[_Res1Text]],FIND("[",Tasks[[#This Row],[_Res1Text]]&amp;"[")-1)),res_Initials,0),0)))</f>
        <v/>
      </c>
      <c r="DP32" s="42">
        <f>IF(Tasks[[#This Row],[_Res2Text]]="",0,IFERROR(MATCH(TRIM(LEFT(Tasks[[#This Row],[_Res2Text]],FIND("[",Tasks[[#This Row],[_Res2Text]]&amp;"[")-1)),res_Name,0),IFERROR(MATCH(TRIM(LEFT(Tasks[[#This Row],[_Res2Text]],FIND("[",Tasks[[#This Row],[_Res2Text]]&amp;"[")-1)),res_Initials,0),0)))</f>
        <v/>
      </c>
      <c r="DQ32" s="42">
        <f>IF(Tasks[[#This Row],[_Res3Text]]="",0,IFERROR(MATCH(TRIM(LEFT(Tasks[[#This Row],[_Res3Text]],FIND("[",Tasks[[#This Row],[_Res3Text]]&amp;"[")-1)),res_Name,0),IFERROR(MATCH(TRIM(LEFT(Tasks[[#This Row],[_Res3Text]],FIND("[",Tasks[[#This Row],[_Res3Text]]&amp;"[")-1)),res_Initials,0),0)))</f>
        <v/>
      </c>
      <c r="DR32" s="42">
        <f>IF(Tasks[[#This Row],[_Res4Text]]="",0,IFERROR(MATCH(TRIM(LEFT(Tasks[[#This Row],[_Res4Text]],FIND("[",Tasks[[#This Row],[_Res4Text]]&amp;"[")-1)),res_Name,0),IFERROR(MATCH(TRIM(LEFT(Tasks[[#This Row],[_Res4Text]],FIND("[",Tasks[[#This Row],[_Res4Text]]&amp;"[")-1)),res_Initials,0),0)))</f>
        <v/>
      </c>
      <c r="DS32" s="42">
        <f>IF(Tasks[[#This Row],[_Res1Text]]="","",IF(Tasks[[#This Row],[_Res1Row]]&gt;0,INDEX(res_Name,Tasks[[#This Row],[_Res1Row]]),TRIM(LEFT(Tasks[[#This Row],[_Res1Text]],FIND("[",Tasks[[#This Row],[_Res1Text]]&amp;"[")-1))))</f>
        <v/>
      </c>
      <c r="DT3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2" s="42">
        <f>IF(NOT(Tasks[[#This Row],[_IsLeaf]]=1),0,(Tasks[[#This Row],[_Resource1]]&lt;&gt;"")+(Tasks[[#This Row],[_Res2]]&lt;&gt;"")+(Tasks[[#This Row],[_Res3]]&lt;&gt;"")+(Tasks[[#This Row],[_Res4]]&lt;&gt;""))</f>
        <v/>
      </c>
      <c r="DV32" s="42">
        <f>IF(Tasks[[#This Row],[_Res2Text]]="","",IF(Tasks[[#This Row],[_Res2Row]]&gt;0,INDEX(res_Name,Tasks[[#This Row],[_Res2Row]]),TRIM(LEFT(Tasks[[#This Row],[_Res2Text]],FIND("[",Tasks[[#This Row],[_Res2Text]]&amp;"[")-1))))</f>
        <v/>
      </c>
      <c r="DW3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2" s="42">
        <f>IF(OR(NOT(Tasks[[#This Row],[_IsLeaf]]=1),Tasks[[#This Row],[_Res2Row]]=0),0,N(Tasks[[#This Row],[_Days]])*HoursPerDay*IF(Tasks[[#This Row],[_Res2Units]]="",DefaultUnits,Tasks[[#This Row],[_Res2Units]]))</f>
        <v/>
      </c>
      <c r="DY32" s="42">
        <f>IF(AND(AND(Tasks[[#This Row],[_IsLeaf]]=1,Tasks[[#This Row],[_LeafTotalWork]]&gt;0),Tasks[[#This Row],[_Res2Work]]&gt;0),Tasks[[#This Row],[_Res2Work]]/(Tasks[[#This Row],[_FinishWorkday]]-Tasks[[#This Row],[_StartWorkday]]+1),0)</f>
        <v/>
      </c>
      <c r="DZ32" s="42">
        <f>Tasks[[#This Row],[_Res2WorkPerWD]]*MAX(0,Tasks[[#This Row],[_StartWorkday]]-1)</f>
        <v/>
      </c>
      <c r="EA32" s="42">
        <f>Tasks[[#This Row],[_Res2Work]]*Tasks[[#This Row],[_LeafProgress]]</f>
        <v/>
      </c>
      <c r="EB32" s="42">
        <f>IF(Tasks[[#This Row],[_Res3Text]]="","",IF(Tasks[[#This Row],[_Res3Row]]&gt;0,INDEX(res_Name,Tasks[[#This Row],[_Res3Row]]),TRIM(LEFT(Tasks[[#This Row],[_Res3Text]],FIND("[",Tasks[[#This Row],[_Res3Text]]&amp;"[")-1))))</f>
        <v/>
      </c>
      <c r="EC3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2" s="42">
        <f>IF(OR(NOT(Tasks[[#This Row],[_IsLeaf]]=1),Tasks[[#This Row],[_Res3Row]]=0),0,N(Tasks[[#This Row],[_Days]])*HoursPerDay*IF(Tasks[[#This Row],[_Res3Units]]="",DefaultUnits,Tasks[[#This Row],[_Res3Units]]))</f>
        <v/>
      </c>
      <c r="EE32" s="42">
        <f>IF(AND(AND(Tasks[[#This Row],[_IsLeaf]]=1,Tasks[[#This Row],[_LeafTotalWork]]&gt;0),Tasks[[#This Row],[_Res3Work]]&gt;0),Tasks[[#This Row],[_Res3Work]]/(Tasks[[#This Row],[_FinishWorkday]]-Tasks[[#This Row],[_StartWorkday]]+1),0)</f>
        <v/>
      </c>
      <c r="EF32" s="42">
        <f>Tasks[[#This Row],[_Res3WorkPerWD]]*MAX(0,Tasks[[#This Row],[_StartWorkday]]-1)</f>
        <v/>
      </c>
      <c r="EG32" s="42">
        <f>Tasks[[#This Row],[_Res3Work]]*Tasks[[#This Row],[_LeafProgress]]</f>
        <v/>
      </c>
      <c r="EH32" s="42">
        <f>IF(Tasks[[#This Row],[_Res4Text]]="","",IF(Tasks[[#This Row],[_Res4Row]]&gt;0,INDEX(res_Name,Tasks[[#This Row],[_Res4Row]]),TRIM(LEFT(Tasks[[#This Row],[_Res4Text]],FIND("[",Tasks[[#This Row],[_Res4Text]]&amp;"[")-1))))</f>
        <v/>
      </c>
      <c r="EI3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2" s="42">
        <f>IF(OR(NOT(Tasks[[#This Row],[_IsLeaf]]=1),Tasks[[#This Row],[_Res4Row]]=0),0,N(Tasks[[#This Row],[_Days]])*HoursPerDay*IF(Tasks[[#This Row],[_Res4Units]]="",DefaultUnits,Tasks[[#This Row],[_Res4Units]]))</f>
        <v/>
      </c>
      <c r="EK32" s="42">
        <f>IF(AND(AND(Tasks[[#This Row],[_IsLeaf]]=1,Tasks[[#This Row],[_LeafTotalWork]]&gt;0),Tasks[[#This Row],[_Res4Work]]&gt;0),Tasks[[#This Row],[_Res4Work]]/(Tasks[[#This Row],[_FinishWorkday]]-Tasks[[#This Row],[_StartWorkday]]+1),0)</f>
        <v/>
      </c>
      <c r="EL32" s="42">
        <f>Tasks[[#This Row],[_Res4WorkPerWD]]*MAX(0,Tasks[[#This Row],[_StartWorkday]]-1)</f>
        <v/>
      </c>
      <c r="EM32" s="42">
        <f>Tasks[[#This Row],[_Res4Work]]*Tasks[[#This Row],[_LeafProgress]]</f>
        <v/>
      </c>
      <c r="EN32" s="42">
        <f>IF(ISNUMBER(Tasks[[#This Row],[% Complete]]),Tasks[[#This Row],[% Complete]],IF(Tasks[[#This Row],[Stage]]="",0,IFERROR(INDEX(stg_Pct,MATCH(Tasks[[#This Row],[Stage]],stg_Name,0)),0)))</f>
        <v/>
      </c>
      <c r="EO32" s="42">
        <f>IF(NOT(Tasks[[#This Row],[_IsLeaf]]=1),0,IF(N(Tasks[[#This Row],[Actual Finish]])&gt;0,1,MIN(1,Tasks[[#This Row],[_Pct]])))</f>
        <v/>
      </c>
      <c r="EP32" s="42">
        <f>IF(OR(NOT(Tasks[[#This Row],[_IsLeaf]]=1),Tasks[[#This Row],[_Res1Row]]=0),0,N(Tasks[[#This Row],[_Days]])*HoursPerDay*IF(Tasks[[#This Row],[_Units1]]="",DefaultUnits,Tasks[[#This Row],[_Units1]]))</f>
        <v/>
      </c>
      <c r="EQ32" s="42">
        <f>Tasks[[#This Row],[_LeafWork]]+Tasks[[#This Row],[_Res2Work]]+Tasks[[#This Row],[_Res3Work]]+Tasks[[#This Row],[_Res4Work]]</f>
        <v/>
      </c>
      <c r="ER3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2" s="42">
        <f>IF(NOT(Tasks[[#This Row],[_IsLeaf]]=1),0,MAX(_xlfn.MAXIFS(Tasks[_Row],Tasks[_Pred1UID],Tasks[[#This Row],[UID]]),_xlfn.MAXIFS(Tasks[_Row],Tasks[_Pred2UID],Tasks[[#This Row],[UID]]),_xlfn.MAXIFS(Tasks[_Row],Tasks[_Pred3UID],Tasks[[#This Row],[UID]]),_xlfn.MAXIFS(Tasks[_Row],Tasks[_Pred4UID],Tasks[[#This Row],[UID]])))</f>
        <v/>
      </c>
      <c r="FA3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2" s="88">
        <f>IF(NOT(Tasks[[#This Row],[_IsLeaf]]=1),"",IF(N(Tasks[[#This Row],[_Days]])&lt;=0,Tasks[[#This Row],[_LeafLateFinish]],WORKDAY.INTL(Tasks[[#This Row],[_LeafLateFinish]],-(Tasks[[#This Row],[_Days]]-1),WorkWeek,Holidays)))</f>
        <v/>
      </c>
      <c r="FD3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2" s="42">
        <f>AND(Tasks[[#This Row],[_IsLeaf]]=1,Tasks[[#This Row],[_LeafProgress]]&lt;1,N(Tasks[[#This Row],[_LeafTotalSlack]])&lt;=CriticalSlackDays)</f>
        <v/>
      </c>
      <c r="FF32" s="42">
        <f>IF(AND(Tasks[[#This Row],[_IsLeaf]]=1,Tasks[[#This Row],[_ConstraintCode]]=1,Tasks[[#This Row],[Mode]]&lt;&gt;"Manual",N(Tasks[[#This Row],[Actual Start]])=0),MAX(0,N(Tasks[[#This Row],[Free Slack]])),0)</f>
        <v/>
      </c>
      <c r="FG32" s="88">
        <f>IF(NOT(Tasks[[#This Row],[_IsLeaf]]=1),"",IF(Tasks[[#This Row],[_AlapShift]]=0,Tasks[[#This Row],[_LeafCalcStart]],WORKDAY.INTL(Tasks[[#This Row],[_LeafCalcStart]],Tasks[[#This Row],[_AlapShift]],WorkWeek,Holidays)))</f>
        <v/>
      </c>
      <c r="FH32" s="88">
        <f>IF(NOT(Tasks[[#This Row],[_IsLeaf]]=1),"",IF(Tasks[[#This Row],[_AlapShift]]=0,Tasks[[#This Row],[_LeafCalcFinish]],WORKDAY.INTL(Tasks[[#This Row],[_LeafCalcFinish]],Tasks[[#This Row],[_AlapShift]],WorkWeek,Holidays)))</f>
        <v/>
      </c>
      <c r="FI32" s="88">
        <f>IF(NOT(Tasks[[#This Row],[_IsLeaf]]=1),"",IF(Tasks[[#This Row],[_AlapShift]]=0,Tasks[[#This Row],[_LeafFcstStart]],WORKDAY.INTL(Tasks[[#This Row],[_LeafFcstStart]],Tasks[[#This Row],[_AlapShift]],WorkWeek,Holidays)))</f>
        <v/>
      </c>
      <c r="FJ32" s="88">
        <f>IF(NOT(Tasks[[#This Row],[_IsLeaf]]=1),"",IF(Tasks[[#This Row],[_AlapShift]]=0,Tasks[[#This Row],[_LeafFcstFinish]],WORKDAY.INTL(Tasks[[#This Row],[_LeafFcstFinish]],Tasks[[#This Row],[_AlapShift]],WorkWeek,Holidays)))</f>
        <v/>
      </c>
      <c r="FK32" s="88">
        <f>IF(Tasks[[#This Row],[Task Name]]="","",IF(Tasks[[#This Row],[_IsSummary]],MIN(INDEX(Tasks[_ShownCalcStart],Tasks[[#This Row],[_Row]]+1):INDEX(Tasks[_ShownCalcStart],Tasks[[#This Row],[_Row]]+Tasks[[#This Row],[_Descendants]])),Tasks[[#This Row],[_ShownCalcStart]]))</f>
        <v/>
      </c>
      <c r="FL32" s="88">
        <f>IF(Tasks[[#This Row],[Task Name]]="","",IF(Tasks[[#This Row],[_IsSummary]],MAX(INDEX(Tasks[_ShownCalcFinish],Tasks[[#This Row],[_Row]]+1):INDEX(Tasks[_ShownCalcFinish],Tasks[[#This Row],[_Row]]+Tasks[[#This Row],[_Descendants]])),Tasks[[#This Row],[_ShownCalcFinish]]))</f>
        <v/>
      </c>
      <c r="FM3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2" s="42">
        <f>IF(AND(Tasks[[#This Row],[_IsLeaf]]=1,Tasks[[#This Row],[_LeafTotalWork]]&gt;0),NETWORKDAYS.INTL(ProjectStart,Tasks[[#This Row],[_ShownFcstStart]],WorkWeek,Holidays),0)</f>
        <v/>
      </c>
      <c r="FZ32" s="42">
        <f>IF(AND(Tasks[[#This Row],[_IsLeaf]]=1,Tasks[[#This Row],[_LeafTotalWork]]&gt;0),MAX(Tasks[[#This Row],[_StartWorkday]],NETWORKDAYS.INTL(ProjectStart,Tasks[[#This Row],[_ShownFcstFinish]],WorkWeek,Holidays)),0)</f>
        <v/>
      </c>
      <c r="GA32" s="42">
        <f>IF(AND(Tasks[[#This Row],[_IsLeaf]]=1,Tasks[[#This Row],[_LeafTotalWork]]&gt;0),Tasks[[#This Row],[_LeafWork]]/(Tasks[[#This Row],[_FinishWorkday]]-Tasks[[#This Row],[_StartWorkday]]+1),0)</f>
        <v/>
      </c>
      <c r="GB32" s="42">
        <f>Tasks[[#This Row],[_WorkPerWorkday]]*(Tasks[[#This Row],[_StartWorkday]]-1)</f>
        <v/>
      </c>
      <c r="GC32" s="42">
        <f>IF(Tasks[[#This Row],[_IsLeaf]]=1,MAX(N(Tasks[[#This Row],[_Days]]),0.1),0)</f>
        <v/>
      </c>
      <c r="GD32" s="42">
        <f>Tasks[[#This Row],[_WeightDur]]*Tasks[[#This Row],[_LeafProgress]]</f>
        <v/>
      </c>
      <c r="GE32" s="42">
        <f>Tasks[[#This Row],[_WeightDur]]*Tasks[[#This Row],[_PlannedPct]]</f>
        <v/>
      </c>
      <c r="GF3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2" s="42">
        <f>IF(AND(Tasks[[#This Row],[_IsLeaf]]=1,N(Tasks[[#This Row],[_Days]])=0,Tasks[[#This Row],[_LeafProgress]]&lt;1),Tasks[[#This Row],[_ShownFcstFinish]]+Tasks[[#This Row],[_Row]]/100000,"")</f>
        <v/>
      </c>
      <c r="GH3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2" s="42">
        <f>IF(Tasks[[#This Row],[Task Name]]="","",LEFT(Tasks[[#This Row],[WBS]],FIND(".",Tasks[[#This Row],[WBS]]&amp;".")-1))</f>
        <v/>
      </c>
      <c r="GJ32" s="42">
        <f>IF(AND(Tasks[[#This Row],[Task Name]]&lt;&gt;"",Tasks[[#This Row],[_Level]]=1),Tasks[[#This Row],[_Row]],"")</f>
        <v/>
      </c>
      <c r="GK32" s="42">
        <f>IF(AND(Tasks[[#This Row],[_IsLeaf]]=1,N(Tasks[[#This Row],[_Days]])=0),Tasks[[#This Row],[Planned Finish]]+Tasks[[#This Row],[_Row]]/100000,"")</f>
        <v/>
      </c>
      <c r="GL32" s="42">
        <f>IF(AND(Tasks[[#This Row],[_IsLeaf]]=1,Tasks[[#This Row],[_LeafProgress]]&lt;1,OR(N(Tasks[[#This Row],[Finish Var]])&gt;0,Tasks[[#This Row],[Status]]="Late Start")),MAX(0,Tasks[[#This Row],[Finish Var]])+1-Tasks[[#This Row],[_Row]]/1000000,"")</f>
        <v/>
      </c>
      <c r="GM32" s="42">
        <f>IF(AND(Tasks[[#This Row],[_IsLeaf]]=1,N(Tasks[[#This Row],[Actual Start]])=0,Tasks[[#This Row],[_ShownFcstStart]]&gt;=StatusDate,Tasks[[#This Row],[_ShownFcstStart]]&lt;=LookaheadEnd),Tasks[[#This Row],[_ShownFcstStart]]+Tasks[[#This Row],[_Row]]/100000,"")</f>
        <v/>
      </c>
      <c r="GN32" s="42">
        <f>IF(AND(Tasks[[#This Row],[_IsLeaf]]=1,Tasks[[#This Row],[_LeafProgress]]&lt;1,Tasks[[#This Row],[_ShownFcstFinish]]&gt;=StatusDate,Tasks[[#This Row],[_ShownFcstFinish]]&lt;=LookaheadEnd),Tasks[[#This Row],[_ShownFcstFinish]]+Tasks[[#This Row],[_Row]]/100000,"")</f>
        <v/>
      </c>
      <c r="GO32" s="42">
        <f>IF(Tasks[[#This Row],[_LeafCritical]],Tasks[[#This Row],[_ShownFcstStart]]+Tasks[[#This Row],[_Row]]/100000,"")</f>
        <v/>
      </c>
      <c r="GP32" s="42">
        <f>Tasks[[#This Row],[_LeafWork]]*Tasks[[#This Row],[_LeafProgress]]</f>
        <v/>
      </c>
      <c r="GQ32" s="88">
        <f>IF(AND(Tasks[[#This Row],[_IsLeaf]]=1,Tasks[[#This Row],[_LeafProgress]]&gt;=1),IF(N(Tasks[[#This Row],[Actual Finish]])&gt;0,Tasks[[#This Row],[Actual Finish]],Tasks[[#This Row],[_ShownFcstFinish]]),"")</f>
        <v/>
      </c>
      <c r="GR32" s="42">
        <f>IF(Tasks[[#This Row],[_IsLeaf]]=1,N(Tasks[[#This Row],[Story Points]]),0)</f>
        <v/>
      </c>
      <c r="GS32" s="42">
        <f>""</f>
        <v/>
      </c>
      <c r="GT32" s="42">
        <f>IF(Tasks[[#This Row],[Task Name]]="",FALSE(),AND(Tasks[[#This Row],[_IsLeaf]]=1,N(Tasks[[#This Row],[_Days]])=0))</f>
        <v/>
      </c>
      <c r="GU32" s="88">
        <f>IF(Tasks[[#This Row],[Task Name]]="",0,IF(AND(Tasks[[#This Row],[_IsLeaf]]=1,NOT(Tasks[[#This Row],[_IsMilestone]]),N(Tasks[[#This Row],[Progress]])&gt;0),Tasks[[#This Row],[Start]],0))</f>
        <v/>
      </c>
      <c r="GV32" s="88">
        <f>IF(Tasks[[#This Row],[_DoneFrom]]=0,0,IF(Tasks[[#This Row],[Progress]]&gt;=1,Tasks[[#This Row],[Finish]],MAX(Tasks[[#This Row],[_DoneFrom]],Tasks[[#This Row],[Start]]+ROUND((Tasks[[#This Row],[Finish]]-Tasks[[#This Row],[Start]]+1)*Tasks[[#This Row],[Progress]],0)-1)))</f>
        <v/>
      </c>
      <c r="GW32" s="88">
        <f>IF(Tasks[[#This Row],[Task Name]]="",0,IF(OR(NOT(Tasks[[#This Row],[_IsLeaf]]=1),Tasks[[#This Row],[_IsMilestone]],N(Tasks[[#This Row],[Progress]])&gt;=1),0,IF(Tasks[[#This Row],[_DoneTo]]&gt;0,Tasks[[#This Row],[_DoneTo]]+1,Tasks[[#This Row],[Start]])))</f>
        <v/>
      </c>
      <c r="GX32" s="88">
        <f>IF(Tasks[[#This Row],[_RemFrom]]=0,0,Tasks[[#This Row],[Finish]])</f>
        <v/>
      </c>
      <c r="GY32" s="42">
        <f>IF(Tasks[[#This Row],[Task Name]]="",FALSE(),OR(NOT(BaselineSet),N(Tasks[[#This Row],[Baseline Start]])&gt;0))</f>
        <v/>
      </c>
      <c r="GZ32" s="42">
        <f>IF(AND(Sandbox="Yes",L_PARSE_DURATION(Tasks[[#This Row],[Sandbox Duration]])&lt;&gt;""),L_PARSE_DURATION(Tasks[[#This Row],[Sandbox Duration]]),L_PARSE_DURATION(Tasks[[#This Row],[Duration]]))</f>
        <v/>
      </c>
      <c r="HA3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2" s="42">
        <f>IF(Tasks[[#This Row],[_IsLeaf]]=1,Tasks[[#This Row],[_Row]],"")</f>
        <v/>
      </c>
      <c r="HD32" s="42">
        <f>IFERROR(INDEX(Tasks[UID],SMALL(Tasks[_PickKey],Tasks[[#This Row],[_Row]]))&amp;" "&amp;INDEX(Tasks[Task Name],SMALL(Tasks[_PickKey],Tasks[[#This Row],[_Row]])),"")</f>
        <v/>
      </c>
      <c r="HE32" s="42">
        <f>IF(Tasks[[#This Row],[Task Name]]="","",IF(Tasks[[#This Row],[_IsSummary]],NETWORKDAYS.INTL(Tasks[[#This Row],[Start]],Tasks[[#This Row],[Finish]],WorkWeek,Holidays),N(Tasks[[#This Row],[_Days]])))</f>
        <v/>
      </c>
      <c r="HF32" s="42">
        <f>IF(Tasks[[#This Row],[Expected]]="",0,((Tasks[[#This Row],[Pessimistic]]-Tasks[[#This Row],[Optimistic]])/6)^2)</f>
        <v/>
      </c>
      <c r="HG32" s="42">
        <f>IF(Tasks[[#This Row],[Expected]]="",0,Tasks[[#This Row],[Expected]]-N(Tasks[[#This Row],[_Days]]))</f>
        <v/>
      </c>
    </row>
    <row r="33">
      <c r="A33" s="21">
        <f>IF(Tasks[[#This Row],[Task Name]]="","",COUNTA(Tasks[[#Headers],[Task Name]]:Tasks[[#This Row],[Task Name]])-1)</f>
        <v/>
      </c>
      <c r="B33" s="22" t="n">
        <v>41</v>
      </c>
      <c r="C33" s="22" t="n"/>
      <c r="D33" s="23" t="n"/>
      <c r="E33" s="22" t="n"/>
      <c r="F33" s="23" t="n"/>
      <c r="G33" s="22" t="n"/>
      <c r="H33" s="22" t="n"/>
      <c r="I33" s="23" t="n"/>
      <c r="J33" s="22" t="n"/>
      <c r="K33" s="22" t="n"/>
      <c r="L33" s="23" t="n"/>
      <c r="M33" s="22" t="n"/>
      <c r="N33" s="22" t="n"/>
      <c r="O33" s="23" t="n"/>
      <c r="P33" s="22" t="n"/>
      <c r="Q33" s="22" t="n"/>
      <c r="R33" s="23" t="n"/>
      <c r="S33" s="23" t="n"/>
      <c r="T33" s="82" t="n"/>
      <c r="U33" s="23" t="n"/>
      <c r="V33" s="82" t="n"/>
      <c r="W33" s="23" t="n"/>
      <c r="X33" s="82" t="n"/>
      <c r="Y33" s="23" t="n"/>
      <c r="Z33" s="82" t="n"/>
      <c r="AA33" s="23" t="n"/>
      <c r="AB33" s="23" t="n"/>
      <c r="AC33" s="7" t="n"/>
      <c r="AD33" s="7" t="n"/>
      <c r="AE33" s="61">
        <f>IF(Tasks[[#This Row],[Task Name]]="","",IF(Tasks[[#This Row],[_IsSummary]],MIN(INDEX(Tasks[_ShownFcstStart],Tasks[[#This Row],[_Row]]+1):INDEX(Tasks[_ShownFcstStart],Tasks[[#This Row],[_Row]]+Tasks[[#This Row],[_Descendants]])),Tasks[[#This Row],[_ShownFcstStart]]))</f>
        <v/>
      </c>
      <c r="AF33" s="61">
        <f>IF(Tasks[[#This Row],[Task Name]]="","",IF(Tasks[[#This Row],[_IsSummary]],MAX(INDEX(Tasks[_ShownFcstFinish],Tasks[[#This Row],[_Row]]+1):INDEX(Tasks[_ShownFcstFinish],Tasks[[#This Row],[_Row]]+Tasks[[#This Row],[_Descendants]])),Tasks[[#This Row],[_ShownFcstFinish]]))</f>
        <v/>
      </c>
      <c r="AG33" s="21">
        <f>""</f>
        <v/>
      </c>
      <c r="AH33" s="23" t="n"/>
      <c r="AI3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3" s="7" t="n"/>
      <c r="AK33" s="22" t="n"/>
      <c r="AL33" s="23" t="n"/>
      <c r="AM33" s="7" t="n"/>
      <c r="AN33" s="21">
        <f>IF(Tasks[[#This Row],[Task Name]]="","",IF(Tasks[[#This Row],[Finish]]&gt;=Tasks[[#This Row],[Planned Finish]],NETWORKDAYS.INTL(Tasks[[#This Row],[Planned Finish]],Tasks[[#This Row],[Finish]],WorkWeek,Holidays)-1,1-NETWORKDAYS.INTL(Tasks[[#This Row],[Finish]],Tasks[[#This Row],[Planned Finish]],WorkWeek,Holidays)))</f>
        <v/>
      </c>
      <c r="AO33" s="21">
        <f>IF(Tasks[[#This Row],[Task Name]]="","",IF(Tasks[[#This Row],[Progress]]&gt;=1,"Complete",IF(OR(N(Tasks[[#This Row],[Actual Start]])&gt;0,Tasks[[#This Row],[Progress]]&gt;0),IF(Tasks[[#This Row],[Finish Var]]&gt;0,"Behind","In Progress"),IF(Tasks[[#This Row],[Planned Start]]&lt;StatusDate,"Late Start","Not Started"))))</f>
        <v/>
      </c>
      <c r="AP33" s="21">
        <f>IF(Tasks[[#This Row],[Task Name]]="","",IF(IF(Tasks[[#This Row],[_IsSummary]],COUNTIF(INDEX(Tasks[_LeafCritical],Tasks[[#This Row],[_Row]]+1):INDEX(Tasks[_LeafCritical],Tasks[[#This Row],[_Row]]+Tasks[[#This Row],[_Descendants]]),TRUE())&gt;0,Tasks[[#This Row],[_LeafCritical]]),"Yes",""))</f>
        <v/>
      </c>
      <c r="AQ33" s="61">
        <f>IF(Tasks[[#This Row],[Task Name]]="","",IF(N(Tasks[[#This Row],[Baseline Start]])&gt;0,Tasks[[#This Row],[Baseline Start]],Tasks[[#This Row],[_CalcStart]]))</f>
        <v/>
      </c>
      <c r="AR33" s="61">
        <f>IF(Tasks[[#This Row],[Task Name]]="","",IF(N(Tasks[[#This Row],[Baseline Finish]])&gt;0,Tasks[[#This Row],[Baseline Finish]],Tasks[[#This Row],[_CalcFinish]]))</f>
        <v/>
      </c>
      <c r="AS33" s="21">
        <f>IF(Tasks[[#This Row],[Task Name]]="","",IF(Tasks[[#This Row],[Start]]&gt;=Tasks[[#This Row],[Planned Start]],NETWORKDAYS.INTL(Tasks[[#This Row],[Planned Start]],Tasks[[#This Row],[Start]],WorkWeek,Holidays)-1,1-NETWORKDAYS.INTL(Tasks[[#This Row],[Start]],Tasks[[#This Row],[Planned Start]],WorkWeek,Holidays)))</f>
        <v/>
      </c>
      <c r="AT33" s="61">
        <f>IF(Tasks[[#This Row],[Task Name]]="","",IF(Tasks[[#This Row],[_IsSummary]],MIN(INDEX(Tasks[_LeafLateStart],Tasks[[#This Row],[_Row]]+1):INDEX(Tasks[_LeafLateStart],Tasks[[#This Row],[_Row]]+Tasks[[#This Row],[_Descendants]])),Tasks[[#This Row],[_LeafLateStart]]))</f>
        <v/>
      </c>
      <c r="AU33" s="61">
        <f>IF(Tasks[[#This Row],[Task Name]]="","",IF(Tasks[[#This Row],[_IsSummary]],MAX(INDEX(Tasks[_LeafLateFinish],Tasks[[#This Row],[_Row]]+1):INDEX(Tasks[_LeafLateFinish],Tasks[[#This Row],[_Row]]+Tasks[[#This Row],[_Descendants]])),Tasks[[#This Row],[_LeafLateFinish]]))</f>
        <v/>
      </c>
      <c r="AV33" s="21">
        <f>IF(Tasks[[#This Row],[Task Name]]="","",IF(Tasks[[#This Row],[_IsSummary]],MIN(INDEX(Tasks[_LeafTotalSlack],Tasks[[#This Row],[_Row]]+1):INDEX(Tasks[_LeafTotalSlack],Tasks[[#This Row],[_Row]]+Tasks[[#This Row],[_Descendants]])),Tasks[[#This Row],[_LeafTotalSlack]]))</f>
        <v/>
      </c>
      <c r="AW3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3" t="n"/>
      <c r="BA3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f>IF(Tasks[[#This Row],[Task Name]]="","",IF(Tasks[[#This Row],[_Level]]&lt;=OutlineShowLevel,"Yes","No"))</f>
        <v/>
      </c>
      <c r="BE33" s="84">
        <f>IF(Tasks[[#This Row],[Task Name]]="","",IF(Tasks[[#This Row],[_IsSummary]],SUM(INDEX(Tasks[_LeafTotalWork],Tasks[[#This Row],[_Row]]+1):INDEX(Tasks[_LeafTotalWork],Tasks[[#This Row],[_Row]]+Tasks[[#This Row],[_Descendants]])),Tasks[[#This Row],[_LeafTotalWork]]))</f>
        <v/>
      </c>
      <c r="BF33" s="23" t="n"/>
      <c r="BG3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f>""</f>
        <v/>
      </c>
      <c r="BI33" s="85" t="n"/>
      <c r="BJ33" s="22" t="n"/>
      <c r="BK33" s="21">
        <f>IF(OR(Tasks[[#This Row],[Task Name]]="",Tasks[[#This Row],[Baseline Duration]]=""),"",Tasks[[#This Row],[_SpanDays]]-N(Tasks[[#This Row],[Baseline Duration]]))</f>
        <v/>
      </c>
      <c r="BL33" s="84">
        <f>IF(OR(Tasks[[#This Row],[Task Name]]="",Tasks[[#This Row],[Baseline Work]]=""),"",Tasks[[#This Row],[Work]]-N(Tasks[[#This Row],[Baseline Work]]))</f>
        <v/>
      </c>
      <c r="BM33" s="61">
        <f>IF(Tasks[[#This Row],[Task Name]]="","",IF(OR(TakeBaseline="Yes",N(Tasks[[#This Row],[Baseline Start]])=0),Tasks[[#This Row],[Start]],Tasks[[#This Row],[Baseline Start]]))</f>
        <v/>
      </c>
      <c r="BN33" s="61">
        <f>IF(Tasks[[#This Row],[Task Name]]="","",IF(OR(TakeBaseline="Yes",N(Tasks[[#This Row],[Baseline Finish]])=0),Tasks[[#This Row],[Finish]],Tasks[[#This Row],[Baseline Finish]]))</f>
        <v/>
      </c>
      <c r="BO33" s="21">
        <f>IF(Tasks[[#This Row],[Task Name]]="","",IF(OR(TakeBaseline="Yes",N(Tasks[[#This Row],[Baseline Duration]])=0),Tasks[[#This Row],[_SpanDays]],Tasks[[#This Row],[Baseline Duration]]))</f>
        <v/>
      </c>
      <c r="BP33" s="84">
        <f>IF(Tasks[[#This Row],[Task Name]]="","",IF(OR(TakeBaseline="Yes",N(Tasks[[#This Row],[Baseline Work]])=0),Tasks[[#This Row],[Work]],Tasks[[#This Row],[Baseline Work]]))</f>
        <v/>
      </c>
      <c r="BQ33" s="7" t="n"/>
      <c r="BR33" s="7" t="n"/>
      <c r="BS33" s="22" t="n"/>
      <c r="BT33" s="86" t="n"/>
      <c r="BU33" s="23" t="n"/>
      <c r="BV33" s="23" t="n"/>
      <c r="BW33" s="23" t="n"/>
      <c r="BX33" s="87">
        <f>IF(AND(Tasks[[#This Row],[_IsLeaf]]=1,ISNUMBER(Tasks[[#This Row],[Optimistic]]),ISNUMBER(Tasks[[#This Row],[Pessimistic]])),ROUND((Tasks[[#This Row],[Optimistic]]+4*N(Tasks[[#This Row],[_Days]])+Tasks[[#This Row],[Pessimistic]])/6,1),"")</f>
        <v/>
      </c>
      <c r="BY33" s="85" t="n"/>
      <c r="BZ33" s="85" t="n"/>
      <c r="CA33" s="22" t="n"/>
      <c r="CB33" s="42">
        <f>IF(Tasks[[#This Row],[Task Name]]="","",MAX(1,N(Tasks[[#This Row],[Level]])))</f>
        <v/>
      </c>
      <c r="CC33" s="42">
        <f>ROW()-ROW(Tasks[[#Headers],[ID]])</f>
        <v/>
      </c>
      <c r="CD33" s="42">
        <f>IF(OR(Tasks[[#This Row],[Task Name]]="",Tasks[[#This Row],[_Level]]&lt;=1),0,IFERROR(LOOKUP(2,1/(Tasks[[#Headers],[_Level]]:Tasks[[#This Row],[_Level]]=Tasks[[#This Row],[_Level]]-1),ROW(Tasks[[#Headers],[_Level]]:Tasks[[#This Row],[_Level]])),0))</f>
        <v/>
      </c>
      <c r="CE33" s="42">
        <f>IFERROR(N(INDEX(Tasks[_Level],Tasks[[#This Row],[_Row]]+1)),0)</f>
        <v/>
      </c>
      <c r="CF33" s="42">
        <f>AND(Tasks[[#This Row],[Task Name]]&lt;&gt;"",Tasks[[#This Row],[_NextLevel]]&gt;Tasks[[#This Row],[_Level]])</f>
        <v/>
      </c>
      <c r="CG33" s="42">
        <f>IF(Tasks[[#This Row],[_IsSummary]],COUNTIF(Tasks[WBS],Tasks[[#This Row],[WBS]]&amp;".*"),0)</f>
        <v/>
      </c>
      <c r="CH33" s="42">
        <f>IF(AND(Tasks[[#This Row],[Task Name]]&lt;&gt;"",NOT(Tasks[[#This Row],[_IsSummary]])),1,0)</f>
        <v/>
      </c>
      <c r="CI33" s="42">
        <f>IF(N(Tasks[[#This Row],[_Pred1UID]])=0,0,IFERROR(MATCH(Tasks[[#This Row],[_Pred1UID]],Tasks[UID],0),-1))</f>
        <v/>
      </c>
      <c r="CJ33" s="42">
        <f>IF(N(Tasks[[#This Row],[_Pred2UID]])=0,0,IFERROR(MATCH(Tasks[[#This Row],[_Pred2UID]],Tasks[UID],0),-1))</f>
        <v/>
      </c>
      <c r="CK33" s="42">
        <f>IF(N(Tasks[[#This Row],[_Pred3UID]])=0,0,IFERROR(MATCH(Tasks[[#This Row],[_Pred3UID]],Tasks[UID],0),-1))</f>
        <v/>
      </c>
      <c r="CL33" s="42">
        <f>IF(N(Tasks[[#This Row],[_Pred4UID]])=0,0,IFERROR(MATCH(Tasks[[#This Row],[_Pred4UID]],Tasks[UID],0),-1))</f>
        <v/>
      </c>
      <c r="CM3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3" s="88">
        <f>IF(N(Tasks[[#This Row],[Constraint Date]])=0,0,IF(AND(OR(Tasks[[#This Row],[_ConstraintCode]]=3,Tasks[[#This Row],[_ConstraintCode]]=6,Tasks[[#This Row],[_ConstraintCode]]=7),N(Tasks[[#This Row],[_Days]])&gt;1),WORKDAY.INTL(N(Tasks[[#This Row],[Constraint Date]]),-(N(Tasks[[#This Row],[_Days]])-1),WorkWeek,Holidays),N(Tasks[[#This Row],[Constraint Date]])))</f>
        <v/>
      </c>
      <c r="CO33" s="88">
        <f>IF(OR(Tasks[[#This Row],[_ConstraintCode]]=2,Tasks[[#This Row],[_ConstraintCode]]=3,Tasks[[#This Row],[_ConstraintCode]]=4,Tasks[[#This Row],[_ConstraintCode]]=6),Tasks[[#This Row],[_ConstraintStart]],0)</f>
        <v/>
      </c>
      <c r="CP33" s="88">
        <f>IF(OR(Tasks[[#This Row],[_ConstraintCode]]=2,Tasks[[#This Row],[_ConstraintCode]]=3,Tasks[[#This Row],[_ConstraintCode]]=5,Tasks[[#This Row],[_ConstraintCode]]=7),Tasks[[#This Row],[_ConstraintStart]],2958465)</f>
        <v/>
      </c>
      <c r="CQ3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3" s="88">
        <f>IF(NOT(Tasks[[#This Row],[_IsLeaf]]=1),"",IF(N(Tasks[[#This Row],[_Days]])&lt;=0,Tasks[[#This Row],[_LeafCalcStart]],WORKDAY.INTL(Tasks[[#This Row],[_LeafCalcStart]],Tasks[[#This Row],[_Days]]-1,WorkWeek,Holidays)))</f>
        <v/>
      </c>
      <c r="CS3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3" s="42">
        <f>IF(Tasks[[#This Row],[_Predecessors]]="","",TRIM(MID(SUBSTITUTE(SUBSTITUTE(SUBSTITUTE(UPPER(Tasks[[#This Row],[_Predecessors]]),";",",")," ",""),",",REPT(" ",99)),1,99)))</f>
        <v/>
      </c>
      <c r="CV33" s="42">
        <f>IF(Tasks[[#This Row],[_Pred1Text]]="","",IFERROR(VALUE(LEFT(Tasks[[#This Row],[_Pred1Text]],MIN(FIND("F",Tasks[[#This Row],[_Pred1Text]]&amp;"F"),FIND("S",Tasks[[#This Row],[_Pred1Text]]&amp;"S"),FIND("+",Tasks[[#This Row],[_Pred1Text]]&amp;"+"),FIND("-",Tasks[[#This Row],[_Pred1Text]]&amp;"-"))-1)),""))</f>
        <v/>
      </c>
      <c r="CW3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3" s="42">
        <f>IF(Tasks[[#This Row],[_Pred1Text]]="","",TRIM(MID(SUBSTITUTE(SUBSTITUTE(SUBSTITUTE(UPPER(Tasks[[#This Row],[_Predecessors]]),";",",")," ",""),",",REPT(" ",99)),100,99)))</f>
        <v/>
      </c>
      <c r="CZ33" s="42">
        <f>IF(Tasks[[#This Row],[_Pred2Text]]="","",IFERROR(VALUE(LEFT(Tasks[[#This Row],[_Pred2Text]],MIN(FIND("F",Tasks[[#This Row],[_Pred2Text]]&amp;"F"),FIND("S",Tasks[[#This Row],[_Pred2Text]]&amp;"S"),FIND("+",Tasks[[#This Row],[_Pred2Text]]&amp;"+"),FIND("-",Tasks[[#This Row],[_Pred2Text]]&amp;"-"))-1)),""))</f>
        <v/>
      </c>
      <c r="DA3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3" s="42">
        <f>IF(Tasks[[#This Row],[_Pred2Text]]="","",TRIM(MID(SUBSTITUTE(SUBSTITUTE(SUBSTITUTE(UPPER(Tasks[[#This Row],[_Predecessors]]),";",",")," ",""),",",REPT(" ",99)),199,99)))</f>
        <v/>
      </c>
      <c r="DD33" s="42">
        <f>IF(Tasks[[#This Row],[_Pred3Text]]="","",IFERROR(VALUE(LEFT(Tasks[[#This Row],[_Pred3Text]],MIN(FIND("F",Tasks[[#This Row],[_Pred3Text]]&amp;"F"),FIND("S",Tasks[[#This Row],[_Pred3Text]]&amp;"S"),FIND("+",Tasks[[#This Row],[_Pred3Text]]&amp;"+"),FIND("-",Tasks[[#This Row],[_Pred3Text]]&amp;"-"))-1)),""))</f>
        <v/>
      </c>
      <c r="DE3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3" s="42">
        <f>IF(Tasks[[#This Row],[_Pred3Text]]="","",TRIM(MID(SUBSTITUTE(SUBSTITUTE(SUBSTITUTE(UPPER(Tasks[[#This Row],[_Predecessors]]),";",",")," ",""),",",REPT(" ",99)),298,99)))</f>
        <v/>
      </c>
      <c r="DH33" s="42">
        <f>IF(Tasks[[#This Row],[_Pred4Text]]="","",IFERROR(VALUE(LEFT(Tasks[[#This Row],[_Pred4Text]],MIN(FIND("F",Tasks[[#This Row],[_Pred4Text]]&amp;"F"),FIND("S",Tasks[[#This Row],[_Pred4Text]]&amp;"S"),FIND("+",Tasks[[#This Row],[_Pred4Text]]&amp;"+"),FIND("-",Tasks[[#This Row],[_Pred4Text]]&amp;"-"))-1)),""))</f>
        <v/>
      </c>
      <c r="DI3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3" s="42">
        <f>IF(OR(Tasks[[#This Row],[Task Name]]="",Tasks[[#This Row],[_Resources]]=""),"",TRIM(MID(SUBSTITUTE(Tasks[[#This Row],[_Resources]],",",REPT(" ",99)),1,99)))</f>
        <v/>
      </c>
      <c r="DL33" s="42">
        <f>IF(Tasks[[#This Row],[_Res1Text]]="","",TRIM(MID(SUBSTITUTE(Tasks[[#This Row],[_Resources]],",",REPT(" ",99)),100,99)))</f>
        <v/>
      </c>
      <c r="DM33" s="42">
        <f>IF(Tasks[[#This Row],[_Res2Text]]="","",TRIM(MID(SUBSTITUTE(Tasks[[#This Row],[_Resources]],",",REPT(" ",99)),199,99)))</f>
        <v/>
      </c>
      <c r="DN33" s="42">
        <f>IF(Tasks[[#This Row],[_Res3Text]]="","",TRIM(MID(SUBSTITUTE(Tasks[[#This Row],[_Resources]],",",REPT(" ",99)),298,99)))</f>
        <v/>
      </c>
      <c r="DO33" s="42">
        <f>IF(Tasks[[#This Row],[_Res1Text]]="",0,IFERROR(MATCH(TRIM(LEFT(Tasks[[#This Row],[_Res1Text]],FIND("[",Tasks[[#This Row],[_Res1Text]]&amp;"[")-1)),res_Name,0),IFERROR(MATCH(TRIM(LEFT(Tasks[[#This Row],[_Res1Text]],FIND("[",Tasks[[#This Row],[_Res1Text]]&amp;"[")-1)),res_Initials,0),0)))</f>
        <v/>
      </c>
      <c r="DP33" s="42">
        <f>IF(Tasks[[#This Row],[_Res2Text]]="",0,IFERROR(MATCH(TRIM(LEFT(Tasks[[#This Row],[_Res2Text]],FIND("[",Tasks[[#This Row],[_Res2Text]]&amp;"[")-1)),res_Name,0),IFERROR(MATCH(TRIM(LEFT(Tasks[[#This Row],[_Res2Text]],FIND("[",Tasks[[#This Row],[_Res2Text]]&amp;"[")-1)),res_Initials,0),0)))</f>
        <v/>
      </c>
      <c r="DQ33" s="42">
        <f>IF(Tasks[[#This Row],[_Res3Text]]="",0,IFERROR(MATCH(TRIM(LEFT(Tasks[[#This Row],[_Res3Text]],FIND("[",Tasks[[#This Row],[_Res3Text]]&amp;"[")-1)),res_Name,0),IFERROR(MATCH(TRIM(LEFT(Tasks[[#This Row],[_Res3Text]],FIND("[",Tasks[[#This Row],[_Res3Text]]&amp;"[")-1)),res_Initials,0),0)))</f>
        <v/>
      </c>
      <c r="DR33" s="42">
        <f>IF(Tasks[[#This Row],[_Res4Text]]="",0,IFERROR(MATCH(TRIM(LEFT(Tasks[[#This Row],[_Res4Text]],FIND("[",Tasks[[#This Row],[_Res4Text]]&amp;"[")-1)),res_Name,0),IFERROR(MATCH(TRIM(LEFT(Tasks[[#This Row],[_Res4Text]],FIND("[",Tasks[[#This Row],[_Res4Text]]&amp;"[")-1)),res_Initials,0),0)))</f>
        <v/>
      </c>
      <c r="DS33" s="42">
        <f>IF(Tasks[[#This Row],[_Res1Text]]="","",IF(Tasks[[#This Row],[_Res1Row]]&gt;0,INDEX(res_Name,Tasks[[#This Row],[_Res1Row]]),TRIM(LEFT(Tasks[[#This Row],[_Res1Text]],FIND("[",Tasks[[#This Row],[_Res1Text]]&amp;"[")-1))))</f>
        <v/>
      </c>
      <c r="DT3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3" s="42">
        <f>IF(NOT(Tasks[[#This Row],[_IsLeaf]]=1),0,(Tasks[[#This Row],[_Resource1]]&lt;&gt;"")+(Tasks[[#This Row],[_Res2]]&lt;&gt;"")+(Tasks[[#This Row],[_Res3]]&lt;&gt;"")+(Tasks[[#This Row],[_Res4]]&lt;&gt;""))</f>
        <v/>
      </c>
      <c r="DV33" s="42">
        <f>IF(Tasks[[#This Row],[_Res2Text]]="","",IF(Tasks[[#This Row],[_Res2Row]]&gt;0,INDEX(res_Name,Tasks[[#This Row],[_Res2Row]]),TRIM(LEFT(Tasks[[#This Row],[_Res2Text]],FIND("[",Tasks[[#This Row],[_Res2Text]]&amp;"[")-1))))</f>
        <v/>
      </c>
      <c r="DW3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3" s="42">
        <f>IF(OR(NOT(Tasks[[#This Row],[_IsLeaf]]=1),Tasks[[#This Row],[_Res2Row]]=0),0,N(Tasks[[#This Row],[_Days]])*HoursPerDay*IF(Tasks[[#This Row],[_Res2Units]]="",DefaultUnits,Tasks[[#This Row],[_Res2Units]]))</f>
        <v/>
      </c>
      <c r="DY33" s="42">
        <f>IF(AND(AND(Tasks[[#This Row],[_IsLeaf]]=1,Tasks[[#This Row],[_LeafTotalWork]]&gt;0),Tasks[[#This Row],[_Res2Work]]&gt;0),Tasks[[#This Row],[_Res2Work]]/(Tasks[[#This Row],[_FinishWorkday]]-Tasks[[#This Row],[_StartWorkday]]+1),0)</f>
        <v/>
      </c>
      <c r="DZ33" s="42">
        <f>Tasks[[#This Row],[_Res2WorkPerWD]]*MAX(0,Tasks[[#This Row],[_StartWorkday]]-1)</f>
        <v/>
      </c>
      <c r="EA33" s="42">
        <f>Tasks[[#This Row],[_Res2Work]]*Tasks[[#This Row],[_LeafProgress]]</f>
        <v/>
      </c>
      <c r="EB33" s="42">
        <f>IF(Tasks[[#This Row],[_Res3Text]]="","",IF(Tasks[[#This Row],[_Res3Row]]&gt;0,INDEX(res_Name,Tasks[[#This Row],[_Res3Row]]),TRIM(LEFT(Tasks[[#This Row],[_Res3Text]],FIND("[",Tasks[[#This Row],[_Res3Text]]&amp;"[")-1))))</f>
        <v/>
      </c>
      <c r="EC3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3" s="42">
        <f>IF(OR(NOT(Tasks[[#This Row],[_IsLeaf]]=1),Tasks[[#This Row],[_Res3Row]]=0),0,N(Tasks[[#This Row],[_Days]])*HoursPerDay*IF(Tasks[[#This Row],[_Res3Units]]="",DefaultUnits,Tasks[[#This Row],[_Res3Units]]))</f>
        <v/>
      </c>
      <c r="EE33" s="42">
        <f>IF(AND(AND(Tasks[[#This Row],[_IsLeaf]]=1,Tasks[[#This Row],[_LeafTotalWork]]&gt;0),Tasks[[#This Row],[_Res3Work]]&gt;0),Tasks[[#This Row],[_Res3Work]]/(Tasks[[#This Row],[_FinishWorkday]]-Tasks[[#This Row],[_StartWorkday]]+1),0)</f>
        <v/>
      </c>
      <c r="EF33" s="42">
        <f>Tasks[[#This Row],[_Res3WorkPerWD]]*MAX(0,Tasks[[#This Row],[_StartWorkday]]-1)</f>
        <v/>
      </c>
      <c r="EG33" s="42">
        <f>Tasks[[#This Row],[_Res3Work]]*Tasks[[#This Row],[_LeafProgress]]</f>
        <v/>
      </c>
      <c r="EH33" s="42">
        <f>IF(Tasks[[#This Row],[_Res4Text]]="","",IF(Tasks[[#This Row],[_Res4Row]]&gt;0,INDEX(res_Name,Tasks[[#This Row],[_Res4Row]]),TRIM(LEFT(Tasks[[#This Row],[_Res4Text]],FIND("[",Tasks[[#This Row],[_Res4Text]]&amp;"[")-1))))</f>
        <v/>
      </c>
      <c r="EI3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3" s="42">
        <f>IF(OR(NOT(Tasks[[#This Row],[_IsLeaf]]=1),Tasks[[#This Row],[_Res4Row]]=0),0,N(Tasks[[#This Row],[_Days]])*HoursPerDay*IF(Tasks[[#This Row],[_Res4Units]]="",DefaultUnits,Tasks[[#This Row],[_Res4Units]]))</f>
        <v/>
      </c>
      <c r="EK33" s="42">
        <f>IF(AND(AND(Tasks[[#This Row],[_IsLeaf]]=1,Tasks[[#This Row],[_LeafTotalWork]]&gt;0),Tasks[[#This Row],[_Res4Work]]&gt;0),Tasks[[#This Row],[_Res4Work]]/(Tasks[[#This Row],[_FinishWorkday]]-Tasks[[#This Row],[_StartWorkday]]+1),0)</f>
        <v/>
      </c>
      <c r="EL33" s="42">
        <f>Tasks[[#This Row],[_Res4WorkPerWD]]*MAX(0,Tasks[[#This Row],[_StartWorkday]]-1)</f>
        <v/>
      </c>
      <c r="EM33" s="42">
        <f>Tasks[[#This Row],[_Res4Work]]*Tasks[[#This Row],[_LeafProgress]]</f>
        <v/>
      </c>
      <c r="EN33" s="42">
        <f>IF(ISNUMBER(Tasks[[#This Row],[% Complete]]),Tasks[[#This Row],[% Complete]],IF(Tasks[[#This Row],[Stage]]="",0,IFERROR(INDEX(stg_Pct,MATCH(Tasks[[#This Row],[Stage]],stg_Name,0)),0)))</f>
        <v/>
      </c>
      <c r="EO33" s="42">
        <f>IF(NOT(Tasks[[#This Row],[_IsLeaf]]=1),0,IF(N(Tasks[[#This Row],[Actual Finish]])&gt;0,1,MIN(1,Tasks[[#This Row],[_Pct]])))</f>
        <v/>
      </c>
      <c r="EP33" s="42">
        <f>IF(OR(NOT(Tasks[[#This Row],[_IsLeaf]]=1),Tasks[[#This Row],[_Res1Row]]=0),0,N(Tasks[[#This Row],[_Days]])*HoursPerDay*IF(Tasks[[#This Row],[_Units1]]="",DefaultUnits,Tasks[[#This Row],[_Units1]]))</f>
        <v/>
      </c>
      <c r="EQ33" s="42">
        <f>Tasks[[#This Row],[_LeafWork]]+Tasks[[#This Row],[_Res2Work]]+Tasks[[#This Row],[_Res3Work]]+Tasks[[#This Row],[_Res4Work]]</f>
        <v/>
      </c>
      <c r="ER3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3" s="42">
        <f>IF(NOT(Tasks[[#This Row],[_IsLeaf]]=1),0,MAX(_xlfn.MAXIFS(Tasks[_Row],Tasks[_Pred1UID],Tasks[[#This Row],[UID]]),_xlfn.MAXIFS(Tasks[_Row],Tasks[_Pred2UID],Tasks[[#This Row],[UID]]),_xlfn.MAXIFS(Tasks[_Row],Tasks[_Pred3UID],Tasks[[#This Row],[UID]]),_xlfn.MAXIFS(Tasks[_Row],Tasks[_Pred4UID],Tasks[[#This Row],[UID]])))</f>
        <v/>
      </c>
      <c r="FA3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3" s="88">
        <f>IF(NOT(Tasks[[#This Row],[_IsLeaf]]=1),"",IF(N(Tasks[[#This Row],[_Days]])&lt;=0,Tasks[[#This Row],[_LeafLateFinish]],WORKDAY.INTL(Tasks[[#This Row],[_LeafLateFinish]],-(Tasks[[#This Row],[_Days]]-1),WorkWeek,Holidays)))</f>
        <v/>
      </c>
      <c r="FD3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3" s="42">
        <f>AND(Tasks[[#This Row],[_IsLeaf]]=1,Tasks[[#This Row],[_LeafProgress]]&lt;1,N(Tasks[[#This Row],[_LeafTotalSlack]])&lt;=CriticalSlackDays)</f>
        <v/>
      </c>
      <c r="FF33" s="42">
        <f>IF(AND(Tasks[[#This Row],[_IsLeaf]]=1,Tasks[[#This Row],[_ConstraintCode]]=1,Tasks[[#This Row],[Mode]]&lt;&gt;"Manual",N(Tasks[[#This Row],[Actual Start]])=0),MAX(0,N(Tasks[[#This Row],[Free Slack]])),0)</f>
        <v/>
      </c>
      <c r="FG33" s="88">
        <f>IF(NOT(Tasks[[#This Row],[_IsLeaf]]=1),"",IF(Tasks[[#This Row],[_AlapShift]]=0,Tasks[[#This Row],[_LeafCalcStart]],WORKDAY.INTL(Tasks[[#This Row],[_LeafCalcStart]],Tasks[[#This Row],[_AlapShift]],WorkWeek,Holidays)))</f>
        <v/>
      </c>
      <c r="FH33" s="88">
        <f>IF(NOT(Tasks[[#This Row],[_IsLeaf]]=1),"",IF(Tasks[[#This Row],[_AlapShift]]=0,Tasks[[#This Row],[_LeafCalcFinish]],WORKDAY.INTL(Tasks[[#This Row],[_LeafCalcFinish]],Tasks[[#This Row],[_AlapShift]],WorkWeek,Holidays)))</f>
        <v/>
      </c>
      <c r="FI33" s="88">
        <f>IF(NOT(Tasks[[#This Row],[_IsLeaf]]=1),"",IF(Tasks[[#This Row],[_AlapShift]]=0,Tasks[[#This Row],[_LeafFcstStart]],WORKDAY.INTL(Tasks[[#This Row],[_LeafFcstStart]],Tasks[[#This Row],[_AlapShift]],WorkWeek,Holidays)))</f>
        <v/>
      </c>
      <c r="FJ33" s="88">
        <f>IF(NOT(Tasks[[#This Row],[_IsLeaf]]=1),"",IF(Tasks[[#This Row],[_AlapShift]]=0,Tasks[[#This Row],[_LeafFcstFinish]],WORKDAY.INTL(Tasks[[#This Row],[_LeafFcstFinish]],Tasks[[#This Row],[_AlapShift]],WorkWeek,Holidays)))</f>
        <v/>
      </c>
      <c r="FK33" s="88">
        <f>IF(Tasks[[#This Row],[Task Name]]="","",IF(Tasks[[#This Row],[_IsSummary]],MIN(INDEX(Tasks[_ShownCalcStart],Tasks[[#This Row],[_Row]]+1):INDEX(Tasks[_ShownCalcStart],Tasks[[#This Row],[_Row]]+Tasks[[#This Row],[_Descendants]])),Tasks[[#This Row],[_ShownCalcStart]]))</f>
        <v/>
      </c>
      <c r="FL33" s="88">
        <f>IF(Tasks[[#This Row],[Task Name]]="","",IF(Tasks[[#This Row],[_IsSummary]],MAX(INDEX(Tasks[_ShownCalcFinish],Tasks[[#This Row],[_Row]]+1):INDEX(Tasks[_ShownCalcFinish],Tasks[[#This Row],[_Row]]+Tasks[[#This Row],[_Descendants]])),Tasks[[#This Row],[_ShownCalcFinish]]))</f>
        <v/>
      </c>
      <c r="FM3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3" s="42">
        <f>IF(AND(Tasks[[#This Row],[_IsLeaf]]=1,Tasks[[#This Row],[_LeafTotalWork]]&gt;0),NETWORKDAYS.INTL(ProjectStart,Tasks[[#This Row],[_ShownFcstStart]],WorkWeek,Holidays),0)</f>
        <v/>
      </c>
      <c r="FZ33" s="42">
        <f>IF(AND(Tasks[[#This Row],[_IsLeaf]]=1,Tasks[[#This Row],[_LeafTotalWork]]&gt;0),MAX(Tasks[[#This Row],[_StartWorkday]],NETWORKDAYS.INTL(ProjectStart,Tasks[[#This Row],[_ShownFcstFinish]],WorkWeek,Holidays)),0)</f>
        <v/>
      </c>
      <c r="GA33" s="42">
        <f>IF(AND(Tasks[[#This Row],[_IsLeaf]]=1,Tasks[[#This Row],[_LeafTotalWork]]&gt;0),Tasks[[#This Row],[_LeafWork]]/(Tasks[[#This Row],[_FinishWorkday]]-Tasks[[#This Row],[_StartWorkday]]+1),0)</f>
        <v/>
      </c>
      <c r="GB33" s="42">
        <f>Tasks[[#This Row],[_WorkPerWorkday]]*(Tasks[[#This Row],[_StartWorkday]]-1)</f>
        <v/>
      </c>
      <c r="GC33" s="42">
        <f>IF(Tasks[[#This Row],[_IsLeaf]]=1,MAX(N(Tasks[[#This Row],[_Days]]),0.1),0)</f>
        <v/>
      </c>
      <c r="GD33" s="42">
        <f>Tasks[[#This Row],[_WeightDur]]*Tasks[[#This Row],[_LeafProgress]]</f>
        <v/>
      </c>
      <c r="GE33" s="42">
        <f>Tasks[[#This Row],[_WeightDur]]*Tasks[[#This Row],[_PlannedPct]]</f>
        <v/>
      </c>
      <c r="GF3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3" s="42">
        <f>IF(AND(Tasks[[#This Row],[_IsLeaf]]=1,N(Tasks[[#This Row],[_Days]])=0,Tasks[[#This Row],[_LeafProgress]]&lt;1),Tasks[[#This Row],[_ShownFcstFinish]]+Tasks[[#This Row],[_Row]]/100000,"")</f>
        <v/>
      </c>
      <c r="GH3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3" s="42">
        <f>IF(Tasks[[#This Row],[Task Name]]="","",LEFT(Tasks[[#This Row],[WBS]],FIND(".",Tasks[[#This Row],[WBS]]&amp;".")-1))</f>
        <v/>
      </c>
      <c r="GJ33" s="42">
        <f>IF(AND(Tasks[[#This Row],[Task Name]]&lt;&gt;"",Tasks[[#This Row],[_Level]]=1),Tasks[[#This Row],[_Row]],"")</f>
        <v/>
      </c>
      <c r="GK33" s="42">
        <f>IF(AND(Tasks[[#This Row],[_IsLeaf]]=1,N(Tasks[[#This Row],[_Days]])=0),Tasks[[#This Row],[Planned Finish]]+Tasks[[#This Row],[_Row]]/100000,"")</f>
        <v/>
      </c>
      <c r="GL33" s="42">
        <f>IF(AND(Tasks[[#This Row],[_IsLeaf]]=1,Tasks[[#This Row],[_LeafProgress]]&lt;1,OR(N(Tasks[[#This Row],[Finish Var]])&gt;0,Tasks[[#This Row],[Status]]="Late Start")),MAX(0,Tasks[[#This Row],[Finish Var]])+1-Tasks[[#This Row],[_Row]]/1000000,"")</f>
        <v/>
      </c>
      <c r="GM33" s="42">
        <f>IF(AND(Tasks[[#This Row],[_IsLeaf]]=1,N(Tasks[[#This Row],[Actual Start]])=0,Tasks[[#This Row],[_ShownFcstStart]]&gt;=StatusDate,Tasks[[#This Row],[_ShownFcstStart]]&lt;=LookaheadEnd),Tasks[[#This Row],[_ShownFcstStart]]+Tasks[[#This Row],[_Row]]/100000,"")</f>
        <v/>
      </c>
      <c r="GN33" s="42">
        <f>IF(AND(Tasks[[#This Row],[_IsLeaf]]=1,Tasks[[#This Row],[_LeafProgress]]&lt;1,Tasks[[#This Row],[_ShownFcstFinish]]&gt;=StatusDate,Tasks[[#This Row],[_ShownFcstFinish]]&lt;=LookaheadEnd),Tasks[[#This Row],[_ShownFcstFinish]]+Tasks[[#This Row],[_Row]]/100000,"")</f>
        <v/>
      </c>
      <c r="GO33" s="42">
        <f>IF(Tasks[[#This Row],[_LeafCritical]],Tasks[[#This Row],[_ShownFcstStart]]+Tasks[[#This Row],[_Row]]/100000,"")</f>
        <v/>
      </c>
      <c r="GP33" s="42">
        <f>Tasks[[#This Row],[_LeafWork]]*Tasks[[#This Row],[_LeafProgress]]</f>
        <v/>
      </c>
      <c r="GQ33" s="88">
        <f>IF(AND(Tasks[[#This Row],[_IsLeaf]]=1,Tasks[[#This Row],[_LeafProgress]]&gt;=1),IF(N(Tasks[[#This Row],[Actual Finish]])&gt;0,Tasks[[#This Row],[Actual Finish]],Tasks[[#This Row],[_ShownFcstFinish]]),"")</f>
        <v/>
      </c>
      <c r="GR33" s="42">
        <f>IF(Tasks[[#This Row],[_IsLeaf]]=1,N(Tasks[[#This Row],[Story Points]]),0)</f>
        <v/>
      </c>
      <c r="GS33" s="42">
        <f>""</f>
        <v/>
      </c>
      <c r="GT33" s="42">
        <f>IF(Tasks[[#This Row],[Task Name]]="",FALSE(),AND(Tasks[[#This Row],[_IsLeaf]]=1,N(Tasks[[#This Row],[_Days]])=0))</f>
        <v/>
      </c>
      <c r="GU33" s="88">
        <f>IF(Tasks[[#This Row],[Task Name]]="",0,IF(AND(Tasks[[#This Row],[_IsLeaf]]=1,NOT(Tasks[[#This Row],[_IsMilestone]]),N(Tasks[[#This Row],[Progress]])&gt;0),Tasks[[#This Row],[Start]],0))</f>
        <v/>
      </c>
      <c r="GV33" s="88">
        <f>IF(Tasks[[#This Row],[_DoneFrom]]=0,0,IF(Tasks[[#This Row],[Progress]]&gt;=1,Tasks[[#This Row],[Finish]],MAX(Tasks[[#This Row],[_DoneFrom]],Tasks[[#This Row],[Start]]+ROUND((Tasks[[#This Row],[Finish]]-Tasks[[#This Row],[Start]]+1)*Tasks[[#This Row],[Progress]],0)-1)))</f>
        <v/>
      </c>
      <c r="GW33" s="88">
        <f>IF(Tasks[[#This Row],[Task Name]]="",0,IF(OR(NOT(Tasks[[#This Row],[_IsLeaf]]=1),Tasks[[#This Row],[_IsMilestone]],N(Tasks[[#This Row],[Progress]])&gt;=1),0,IF(Tasks[[#This Row],[_DoneTo]]&gt;0,Tasks[[#This Row],[_DoneTo]]+1,Tasks[[#This Row],[Start]])))</f>
        <v/>
      </c>
      <c r="GX33" s="88">
        <f>IF(Tasks[[#This Row],[_RemFrom]]=0,0,Tasks[[#This Row],[Finish]])</f>
        <v/>
      </c>
      <c r="GY33" s="42">
        <f>IF(Tasks[[#This Row],[Task Name]]="",FALSE(),OR(NOT(BaselineSet),N(Tasks[[#This Row],[Baseline Start]])&gt;0))</f>
        <v/>
      </c>
      <c r="GZ33" s="42">
        <f>IF(AND(Sandbox="Yes",L_PARSE_DURATION(Tasks[[#This Row],[Sandbox Duration]])&lt;&gt;""),L_PARSE_DURATION(Tasks[[#This Row],[Sandbox Duration]]),L_PARSE_DURATION(Tasks[[#This Row],[Duration]]))</f>
        <v/>
      </c>
      <c r="HA3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3" s="42">
        <f>IF(Tasks[[#This Row],[_IsLeaf]]=1,Tasks[[#This Row],[_Row]],"")</f>
        <v/>
      </c>
      <c r="HD33" s="42">
        <f>IFERROR(INDEX(Tasks[UID],SMALL(Tasks[_PickKey],Tasks[[#This Row],[_Row]]))&amp;" "&amp;INDEX(Tasks[Task Name],SMALL(Tasks[_PickKey],Tasks[[#This Row],[_Row]])),"")</f>
        <v/>
      </c>
      <c r="HE33" s="42">
        <f>IF(Tasks[[#This Row],[Task Name]]="","",IF(Tasks[[#This Row],[_IsSummary]],NETWORKDAYS.INTL(Tasks[[#This Row],[Start]],Tasks[[#This Row],[Finish]],WorkWeek,Holidays),N(Tasks[[#This Row],[_Days]])))</f>
        <v/>
      </c>
      <c r="HF33" s="42">
        <f>IF(Tasks[[#This Row],[Expected]]="",0,((Tasks[[#This Row],[Pessimistic]]-Tasks[[#This Row],[Optimistic]])/6)^2)</f>
        <v/>
      </c>
      <c r="HG33" s="42">
        <f>IF(Tasks[[#This Row],[Expected]]="",0,Tasks[[#This Row],[Expected]]-N(Tasks[[#This Row],[_Days]]))</f>
        <v/>
      </c>
    </row>
    <row r="34">
      <c r="A34" s="21">
        <f>IF(Tasks[[#This Row],[Task Name]]="","",COUNTA(Tasks[[#Headers],[Task Name]]:Tasks[[#This Row],[Task Name]])-1)</f>
        <v/>
      </c>
      <c r="B34" s="22" t="n">
        <v>42</v>
      </c>
      <c r="C34" s="22" t="n"/>
      <c r="D34" s="23" t="n"/>
      <c r="E34" s="22" t="n"/>
      <c r="F34" s="23" t="n"/>
      <c r="G34" s="22" t="n"/>
      <c r="H34" s="22" t="n"/>
      <c r="I34" s="23" t="n"/>
      <c r="J34" s="22" t="n"/>
      <c r="K34" s="22" t="n"/>
      <c r="L34" s="23" t="n"/>
      <c r="M34" s="22" t="n"/>
      <c r="N34" s="22" t="n"/>
      <c r="O34" s="23" t="n"/>
      <c r="P34" s="22" t="n"/>
      <c r="Q34" s="22" t="n"/>
      <c r="R34" s="23" t="n"/>
      <c r="S34" s="23" t="n"/>
      <c r="T34" s="82" t="n"/>
      <c r="U34" s="23" t="n"/>
      <c r="V34" s="82" t="n"/>
      <c r="W34" s="23" t="n"/>
      <c r="X34" s="82" t="n"/>
      <c r="Y34" s="23" t="n"/>
      <c r="Z34" s="82" t="n"/>
      <c r="AA34" s="23" t="n"/>
      <c r="AB34" s="23" t="n"/>
      <c r="AC34" s="7" t="n"/>
      <c r="AD34" s="7" t="n"/>
      <c r="AE34" s="61">
        <f>IF(Tasks[[#This Row],[Task Name]]="","",IF(Tasks[[#This Row],[_IsSummary]],MIN(INDEX(Tasks[_ShownFcstStart],Tasks[[#This Row],[_Row]]+1):INDEX(Tasks[_ShownFcstStart],Tasks[[#This Row],[_Row]]+Tasks[[#This Row],[_Descendants]])),Tasks[[#This Row],[_ShownFcstStart]]))</f>
        <v/>
      </c>
      <c r="AF34" s="61">
        <f>IF(Tasks[[#This Row],[Task Name]]="","",IF(Tasks[[#This Row],[_IsSummary]],MAX(INDEX(Tasks[_ShownFcstFinish],Tasks[[#This Row],[_Row]]+1):INDEX(Tasks[_ShownFcstFinish],Tasks[[#This Row],[_Row]]+Tasks[[#This Row],[_Descendants]])),Tasks[[#This Row],[_ShownFcstFinish]]))</f>
        <v/>
      </c>
      <c r="AG34" s="21">
        <f>""</f>
        <v/>
      </c>
      <c r="AH34" s="23" t="n"/>
      <c r="AI3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4" s="7" t="n"/>
      <c r="AK34" s="22" t="n"/>
      <c r="AL34" s="23" t="n"/>
      <c r="AM34" s="7" t="n"/>
      <c r="AN34" s="21">
        <f>IF(Tasks[[#This Row],[Task Name]]="","",IF(Tasks[[#This Row],[Finish]]&gt;=Tasks[[#This Row],[Planned Finish]],NETWORKDAYS.INTL(Tasks[[#This Row],[Planned Finish]],Tasks[[#This Row],[Finish]],WorkWeek,Holidays)-1,1-NETWORKDAYS.INTL(Tasks[[#This Row],[Finish]],Tasks[[#This Row],[Planned Finish]],WorkWeek,Holidays)))</f>
        <v/>
      </c>
      <c r="AO34" s="21">
        <f>IF(Tasks[[#This Row],[Task Name]]="","",IF(Tasks[[#This Row],[Progress]]&gt;=1,"Complete",IF(OR(N(Tasks[[#This Row],[Actual Start]])&gt;0,Tasks[[#This Row],[Progress]]&gt;0),IF(Tasks[[#This Row],[Finish Var]]&gt;0,"Behind","In Progress"),IF(Tasks[[#This Row],[Planned Start]]&lt;StatusDate,"Late Start","Not Started"))))</f>
        <v/>
      </c>
      <c r="AP34" s="21">
        <f>IF(Tasks[[#This Row],[Task Name]]="","",IF(IF(Tasks[[#This Row],[_IsSummary]],COUNTIF(INDEX(Tasks[_LeafCritical],Tasks[[#This Row],[_Row]]+1):INDEX(Tasks[_LeafCritical],Tasks[[#This Row],[_Row]]+Tasks[[#This Row],[_Descendants]]),TRUE())&gt;0,Tasks[[#This Row],[_LeafCritical]]),"Yes",""))</f>
        <v/>
      </c>
      <c r="AQ34" s="61">
        <f>IF(Tasks[[#This Row],[Task Name]]="","",IF(N(Tasks[[#This Row],[Baseline Start]])&gt;0,Tasks[[#This Row],[Baseline Start]],Tasks[[#This Row],[_CalcStart]]))</f>
        <v/>
      </c>
      <c r="AR34" s="61">
        <f>IF(Tasks[[#This Row],[Task Name]]="","",IF(N(Tasks[[#This Row],[Baseline Finish]])&gt;0,Tasks[[#This Row],[Baseline Finish]],Tasks[[#This Row],[_CalcFinish]]))</f>
        <v/>
      </c>
      <c r="AS34" s="21">
        <f>IF(Tasks[[#This Row],[Task Name]]="","",IF(Tasks[[#This Row],[Start]]&gt;=Tasks[[#This Row],[Planned Start]],NETWORKDAYS.INTL(Tasks[[#This Row],[Planned Start]],Tasks[[#This Row],[Start]],WorkWeek,Holidays)-1,1-NETWORKDAYS.INTL(Tasks[[#This Row],[Start]],Tasks[[#This Row],[Planned Start]],WorkWeek,Holidays)))</f>
        <v/>
      </c>
      <c r="AT34" s="61">
        <f>IF(Tasks[[#This Row],[Task Name]]="","",IF(Tasks[[#This Row],[_IsSummary]],MIN(INDEX(Tasks[_LeafLateStart],Tasks[[#This Row],[_Row]]+1):INDEX(Tasks[_LeafLateStart],Tasks[[#This Row],[_Row]]+Tasks[[#This Row],[_Descendants]])),Tasks[[#This Row],[_LeafLateStart]]))</f>
        <v/>
      </c>
      <c r="AU34" s="61">
        <f>IF(Tasks[[#This Row],[Task Name]]="","",IF(Tasks[[#This Row],[_IsSummary]],MAX(INDEX(Tasks[_LeafLateFinish],Tasks[[#This Row],[_Row]]+1):INDEX(Tasks[_LeafLateFinish],Tasks[[#This Row],[_Row]]+Tasks[[#This Row],[_Descendants]])),Tasks[[#This Row],[_LeafLateFinish]]))</f>
        <v/>
      </c>
      <c r="AV34" s="21">
        <f>IF(Tasks[[#This Row],[Task Name]]="","",IF(Tasks[[#This Row],[_IsSummary]],MIN(INDEX(Tasks[_LeafTotalSlack],Tasks[[#This Row],[_Row]]+1):INDEX(Tasks[_LeafTotalSlack],Tasks[[#This Row],[_Row]]+Tasks[[#This Row],[_Descendants]])),Tasks[[#This Row],[_LeafTotalSlack]]))</f>
        <v/>
      </c>
      <c r="AW3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3" t="n"/>
      <c r="BA3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f>IF(Tasks[[#This Row],[Task Name]]="","",IF(Tasks[[#This Row],[_Level]]&lt;=OutlineShowLevel,"Yes","No"))</f>
        <v/>
      </c>
      <c r="BE34" s="84">
        <f>IF(Tasks[[#This Row],[Task Name]]="","",IF(Tasks[[#This Row],[_IsSummary]],SUM(INDEX(Tasks[_LeafTotalWork],Tasks[[#This Row],[_Row]]+1):INDEX(Tasks[_LeafTotalWork],Tasks[[#This Row],[_Row]]+Tasks[[#This Row],[_Descendants]])),Tasks[[#This Row],[_LeafTotalWork]]))</f>
        <v/>
      </c>
      <c r="BF34" s="23" t="n"/>
      <c r="BG3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f>""</f>
        <v/>
      </c>
      <c r="BI34" s="85" t="n"/>
      <c r="BJ34" s="22" t="n"/>
      <c r="BK34" s="21">
        <f>IF(OR(Tasks[[#This Row],[Task Name]]="",Tasks[[#This Row],[Baseline Duration]]=""),"",Tasks[[#This Row],[_SpanDays]]-N(Tasks[[#This Row],[Baseline Duration]]))</f>
        <v/>
      </c>
      <c r="BL34" s="84">
        <f>IF(OR(Tasks[[#This Row],[Task Name]]="",Tasks[[#This Row],[Baseline Work]]=""),"",Tasks[[#This Row],[Work]]-N(Tasks[[#This Row],[Baseline Work]]))</f>
        <v/>
      </c>
      <c r="BM34" s="61">
        <f>IF(Tasks[[#This Row],[Task Name]]="","",IF(OR(TakeBaseline="Yes",N(Tasks[[#This Row],[Baseline Start]])=0),Tasks[[#This Row],[Start]],Tasks[[#This Row],[Baseline Start]]))</f>
        <v/>
      </c>
      <c r="BN34" s="61">
        <f>IF(Tasks[[#This Row],[Task Name]]="","",IF(OR(TakeBaseline="Yes",N(Tasks[[#This Row],[Baseline Finish]])=0),Tasks[[#This Row],[Finish]],Tasks[[#This Row],[Baseline Finish]]))</f>
        <v/>
      </c>
      <c r="BO34" s="21">
        <f>IF(Tasks[[#This Row],[Task Name]]="","",IF(OR(TakeBaseline="Yes",N(Tasks[[#This Row],[Baseline Duration]])=0),Tasks[[#This Row],[_SpanDays]],Tasks[[#This Row],[Baseline Duration]]))</f>
        <v/>
      </c>
      <c r="BP34" s="84">
        <f>IF(Tasks[[#This Row],[Task Name]]="","",IF(OR(TakeBaseline="Yes",N(Tasks[[#This Row],[Baseline Work]])=0),Tasks[[#This Row],[Work]],Tasks[[#This Row],[Baseline Work]]))</f>
        <v/>
      </c>
      <c r="BQ34" s="7" t="n"/>
      <c r="BR34" s="7" t="n"/>
      <c r="BS34" s="22" t="n"/>
      <c r="BT34" s="86" t="n"/>
      <c r="BU34" s="23" t="n"/>
      <c r="BV34" s="23" t="n"/>
      <c r="BW34" s="23" t="n"/>
      <c r="BX34" s="87">
        <f>IF(AND(Tasks[[#This Row],[_IsLeaf]]=1,ISNUMBER(Tasks[[#This Row],[Optimistic]]),ISNUMBER(Tasks[[#This Row],[Pessimistic]])),ROUND((Tasks[[#This Row],[Optimistic]]+4*N(Tasks[[#This Row],[_Days]])+Tasks[[#This Row],[Pessimistic]])/6,1),"")</f>
        <v/>
      </c>
      <c r="BY34" s="85" t="n"/>
      <c r="BZ34" s="85" t="n"/>
      <c r="CA34" s="22" t="n"/>
      <c r="CB34" s="42">
        <f>IF(Tasks[[#This Row],[Task Name]]="","",MAX(1,N(Tasks[[#This Row],[Level]])))</f>
        <v/>
      </c>
      <c r="CC34" s="42">
        <f>ROW()-ROW(Tasks[[#Headers],[ID]])</f>
        <v/>
      </c>
      <c r="CD34" s="42">
        <f>IF(OR(Tasks[[#This Row],[Task Name]]="",Tasks[[#This Row],[_Level]]&lt;=1),0,IFERROR(LOOKUP(2,1/(Tasks[[#Headers],[_Level]]:Tasks[[#This Row],[_Level]]=Tasks[[#This Row],[_Level]]-1),ROW(Tasks[[#Headers],[_Level]]:Tasks[[#This Row],[_Level]])),0))</f>
        <v/>
      </c>
      <c r="CE34" s="42">
        <f>IFERROR(N(INDEX(Tasks[_Level],Tasks[[#This Row],[_Row]]+1)),0)</f>
        <v/>
      </c>
      <c r="CF34" s="42">
        <f>AND(Tasks[[#This Row],[Task Name]]&lt;&gt;"",Tasks[[#This Row],[_NextLevel]]&gt;Tasks[[#This Row],[_Level]])</f>
        <v/>
      </c>
      <c r="CG34" s="42">
        <f>IF(Tasks[[#This Row],[_IsSummary]],COUNTIF(Tasks[WBS],Tasks[[#This Row],[WBS]]&amp;".*"),0)</f>
        <v/>
      </c>
      <c r="CH34" s="42">
        <f>IF(AND(Tasks[[#This Row],[Task Name]]&lt;&gt;"",NOT(Tasks[[#This Row],[_IsSummary]])),1,0)</f>
        <v/>
      </c>
      <c r="CI34" s="42">
        <f>IF(N(Tasks[[#This Row],[_Pred1UID]])=0,0,IFERROR(MATCH(Tasks[[#This Row],[_Pred1UID]],Tasks[UID],0),-1))</f>
        <v/>
      </c>
      <c r="CJ34" s="42">
        <f>IF(N(Tasks[[#This Row],[_Pred2UID]])=0,0,IFERROR(MATCH(Tasks[[#This Row],[_Pred2UID]],Tasks[UID],0),-1))</f>
        <v/>
      </c>
      <c r="CK34" s="42">
        <f>IF(N(Tasks[[#This Row],[_Pred3UID]])=0,0,IFERROR(MATCH(Tasks[[#This Row],[_Pred3UID]],Tasks[UID],0),-1))</f>
        <v/>
      </c>
      <c r="CL34" s="42">
        <f>IF(N(Tasks[[#This Row],[_Pred4UID]])=0,0,IFERROR(MATCH(Tasks[[#This Row],[_Pred4UID]],Tasks[UID],0),-1))</f>
        <v/>
      </c>
      <c r="CM3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4" s="88">
        <f>IF(N(Tasks[[#This Row],[Constraint Date]])=0,0,IF(AND(OR(Tasks[[#This Row],[_ConstraintCode]]=3,Tasks[[#This Row],[_ConstraintCode]]=6,Tasks[[#This Row],[_ConstraintCode]]=7),N(Tasks[[#This Row],[_Days]])&gt;1),WORKDAY.INTL(N(Tasks[[#This Row],[Constraint Date]]),-(N(Tasks[[#This Row],[_Days]])-1),WorkWeek,Holidays),N(Tasks[[#This Row],[Constraint Date]])))</f>
        <v/>
      </c>
      <c r="CO34" s="88">
        <f>IF(OR(Tasks[[#This Row],[_ConstraintCode]]=2,Tasks[[#This Row],[_ConstraintCode]]=3,Tasks[[#This Row],[_ConstraintCode]]=4,Tasks[[#This Row],[_ConstraintCode]]=6),Tasks[[#This Row],[_ConstraintStart]],0)</f>
        <v/>
      </c>
      <c r="CP34" s="88">
        <f>IF(OR(Tasks[[#This Row],[_ConstraintCode]]=2,Tasks[[#This Row],[_ConstraintCode]]=3,Tasks[[#This Row],[_ConstraintCode]]=5,Tasks[[#This Row],[_ConstraintCode]]=7),Tasks[[#This Row],[_ConstraintStart]],2958465)</f>
        <v/>
      </c>
      <c r="CQ3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4" s="88">
        <f>IF(NOT(Tasks[[#This Row],[_IsLeaf]]=1),"",IF(N(Tasks[[#This Row],[_Days]])&lt;=0,Tasks[[#This Row],[_LeafCalcStart]],WORKDAY.INTL(Tasks[[#This Row],[_LeafCalcStart]],Tasks[[#This Row],[_Days]]-1,WorkWeek,Holidays)))</f>
        <v/>
      </c>
      <c r="CS3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4" s="42">
        <f>IF(Tasks[[#This Row],[_Predecessors]]="","",TRIM(MID(SUBSTITUTE(SUBSTITUTE(SUBSTITUTE(UPPER(Tasks[[#This Row],[_Predecessors]]),";",",")," ",""),",",REPT(" ",99)),1,99)))</f>
        <v/>
      </c>
      <c r="CV34" s="42">
        <f>IF(Tasks[[#This Row],[_Pred1Text]]="","",IFERROR(VALUE(LEFT(Tasks[[#This Row],[_Pred1Text]],MIN(FIND("F",Tasks[[#This Row],[_Pred1Text]]&amp;"F"),FIND("S",Tasks[[#This Row],[_Pred1Text]]&amp;"S"),FIND("+",Tasks[[#This Row],[_Pred1Text]]&amp;"+"),FIND("-",Tasks[[#This Row],[_Pred1Text]]&amp;"-"))-1)),""))</f>
        <v/>
      </c>
      <c r="CW3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4" s="42">
        <f>IF(Tasks[[#This Row],[_Pred1Text]]="","",TRIM(MID(SUBSTITUTE(SUBSTITUTE(SUBSTITUTE(UPPER(Tasks[[#This Row],[_Predecessors]]),";",",")," ",""),",",REPT(" ",99)),100,99)))</f>
        <v/>
      </c>
      <c r="CZ34" s="42">
        <f>IF(Tasks[[#This Row],[_Pred2Text]]="","",IFERROR(VALUE(LEFT(Tasks[[#This Row],[_Pred2Text]],MIN(FIND("F",Tasks[[#This Row],[_Pred2Text]]&amp;"F"),FIND("S",Tasks[[#This Row],[_Pred2Text]]&amp;"S"),FIND("+",Tasks[[#This Row],[_Pred2Text]]&amp;"+"),FIND("-",Tasks[[#This Row],[_Pred2Text]]&amp;"-"))-1)),""))</f>
        <v/>
      </c>
      <c r="DA3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4" s="42">
        <f>IF(Tasks[[#This Row],[_Pred2Text]]="","",TRIM(MID(SUBSTITUTE(SUBSTITUTE(SUBSTITUTE(UPPER(Tasks[[#This Row],[_Predecessors]]),";",",")," ",""),",",REPT(" ",99)),199,99)))</f>
        <v/>
      </c>
      <c r="DD34" s="42">
        <f>IF(Tasks[[#This Row],[_Pred3Text]]="","",IFERROR(VALUE(LEFT(Tasks[[#This Row],[_Pred3Text]],MIN(FIND("F",Tasks[[#This Row],[_Pred3Text]]&amp;"F"),FIND("S",Tasks[[#This Row],[_Pred3Text]]&amp;"S"),FIND("+",Tasks[[#This Row],[_Pred3Text]]&amp;"+"),FIND("-",Tasks[[#This Row],[_Pred3Text]]&amp;"-"))-1)),""))</f>
        <v/>
      </c>
      <c r="DE3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4" s="42">
        <f>IF(Tasks[[#This Row],[_Pred3Text]]="","",TRIM(MID(SUBSTITUTE(SUBSTITUTE(SUBSTITUTE(UPPER(Tasks[[#This Row],[_Predecessors]]),";",",")," ",""),",",REPT(" ",99)),298,99)))</f>
        <v/>
      </c>
      <c r="DH34" s="42">
        <f>IF(Tasks[[#This Row],[_Pred4Text]]="","",IFERROR(VALUE(LEFT(Tasks[[#This Row],[_Pred4Text]],MIN(FIND("F",Tasks[[#This Row],[_Pred4Text]]&amp;"F"),FIND("S",Tasks[[#This Row],[_Pred4Text]]&amp;"S"),FIND("+",Tasks[[#This Row],[_Pred4Text]]&amp;"+"),FIND("-",Tasks[[#This Row],[_Pred4Text]]&amp;"-"))-1)),""))</f>
        <v/>
      </c>
      <c r="DI3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4" s="42">
        <f>IF(OR(Tasks[[#This Row],[Task Name]]="",Tasks[[#This Row],[_Resources]]=""),"",TRIM(MID(SUBSTITUTE(Tasks[[#This Row],[_Resources]],",",REPT(" ",99)),1,99)))</f>
        <v/>
      </c>
      <c r="DL34" s="42">
        <f>IF(Tasks[[#This Row],[_Res1Text]]="","",TRIM(MID(SUBSTITUTE(Tasks[[#This Row],[_Resources]],",",REPT(" ",99)),100,99)))</f>
        <v/>
      </c>
      <c r="DM34" s="42">
        <f>IF(Tasks[[#This Row],[_Res2Text]]="","",TRIM(MID(SUBSTITUTE(Tasks[[#This Row],[_Resources]],",",REPT(" ",99)),199,99)))</f>
        <v/>
      </c>
      <c r="DN34" s="42">
        <f>IF(Tasks[[#This Row],[_Res3Text]]="","",TRIM(MID(SUBSTITUTE(Tasks[[#This Row],[_Resources]],",",REPT(" ",99)),298,99)))</f>
        <v/>
      </c>
      <c r="DO34" s="42">
        <f>IF(Tasks[[#This Row],[_Res1Text]]="",0,IFERROR(MATCH(TRIM(LEFT(Tasks[[#This Row],[_Res1Text]],FIND("[",Tasks[[#This Row],[_Res1Text]]&amp;"[")-1)),res_Name,0),IFERROR(MATCH(TRIM(LEFT(Tasks[[#This Row],[_Res1Text]],FIND("[",Tasks[[#This Row],[_Res1Text]]&amp;"[")-1)),res_Initials,0),0)))</f>
        <v/>
      </c>
      <c r="DP34" s="42">
        <f>IF(Tasks[[#This Row],[_Res2Text]]="",0,IFERROR(MATCH(TRIM(LEFT(Tasks[[#This Row],[_Res2Text]],FIND("[",Tasks[[#This Row],[_Res2Text]]&amp;"[")-1)),res_Name,0),IFERROR(MATCH(TRIM(LEFT(Tasks[[#This Row],[_Res2Text]],FIND("[",Tasks[[#This Row],[_Res2Text]]&amp;"[")-1)),res_Initials,0),0)))</f>
        <v/>
      </c>
      <c r="DQ34" s="42">
        <f>IF(Tasks[[#This Row],[_Res3Text]]="",0,IFERROR(MATCH(TRIM(LEFT(Tasks[[#This Row],[_Res3Text]],FIND("[",Tasks[[#This Row],[_Res3Text]]&amp;"[")-1)),res_Name,0),IFERROR(MATCH(TRIM(LEFT(Tasks[[#This Row],[_Res3Text]],FIND("[",Tasks[[#This Row],[_Res3Text]]&amp;"[")-1)),res_Initials,0),0)))</f>
        <v/>
      </c>
      <c r="DR34" s="42">
        <f>IF(Tasks[[#This Row],[_Res4Text]]="",0,IFERROR(MATCH(TRIM(LEFT(Tasks[[#This Row],[_Res4Text]],FIND("[",Tasks[[#This Row],[_Res4Text]]&amp;"[")-1)),res_Name,0),IFERROR(MATCH(TRIM(LEFT(Tasks[[#This Row],[_Res4Text]],FIND("[",Tasks[[#This Row],[_Res4Text]]&amp;"[")-1)),res_Initials,0),0)))</f>
        <v/>
      </c>
      <c r="DS34" s="42">
        <f>IF(Tasks[[#This Row],[_Res1Text]]="","",IF(Tasks[[#This Row],[_Res1Row]]&gt;0,INDEX(res_Name,Tasks[[#This Row],[_Res1Row]]),TRIM(LEFT(Tasks[[#This Row],[_Res1Text]],FIND("[",Tasks[[#This Row],[_Res1Text]]&amp;"[")-1))))</f>
        <v/>
      </c>
      <c r="DT3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4" s="42">
        <f>IF(NOT(Tasks[[#This Row],[_IsLeaf]]=1),0,(Tasks[[#This Row],[_Resource1]]&lt;&gt;"")+(Tasks[[#This Row],[_Res2]]&lt;&gt;"")+(Tasks[[#This Row],[_Res3]]&lt;&gt;"")+(Tasks[[#This Row],[_Res4]]&lt;&gt;""))</f>
        <v/>
      </c>
      <c r="DV34" s="42">
        <f>IF(Tasks[[#This Row],[_Res2Text]]="","",IF(Tasks[[#This Row],[_Res2Row]]&gt;0,INDEX(res_Name,Tasks[[#This Row],[_Res2Row]]),TRIM(LEFT(Tasks[[#This Row],[_Res2Text]],FIND("[",Tasks[[#This Row],[_Res2Text]]&amp;"[")-1))))</f>
        <v/>
      </c>
      <c r="DW3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4" s="42">
        <f>IF(OR(NOT(Tasks[[#This Row],[_IsLeaf]]=1),Tasks[[#This Row],[_Res2Row]]=0),0,N(Tasks[[#This Row],[_Days]])*HoursPerDay*IF(Tasks[[#This Row],[_Res2Units]]="",DefaultUnits,Tasks[[#This Row],[_Res2Units]]))</f>
        <v/>
      </c>
      <c r="DY34" s="42">
        <f>IF(AND(AND(Tasks[[#This Row],[_IsLeaf]]=1,Tasks[[#This Row],[_LeafTotalWork]]&gt;0),Tasks[[#This Row],[_Res2Work]]&gt;0),Tasks[[#This Row],[_Res2Work]]/(Tasks[[#This Row],[_FinishWorkday]]-Tasks[[#This Row],[_StartWorkday]]+1),0)</f>
        <v/>
      </c>
      <c r="DZ34" s="42">
        <f>Tasks[[#This Row],[_Res2WorkPerWD]]*MAX(0,Tasks[[#This Row],[_StartWorkday]]-1)</f>
        <v/>
      </c>
      <c r="EA34" s="42">
        <f>Tasks[[#This Row],[_Res2Work]]*Tasks[[#This Row],[_LeafProgress]]</f>
        <v/>
      </c>
      <c r="EB34" s="42">
        <f>IF(Tasks[[#This Row],[_Res3Text]]="","",IF(Tasks[[#This Row],[_Res3Row]]&gt;0,INDEX(res_Name,Tasks[[#This Row],[_Res3Row]]),TRIM(LEFT(Tasks[[#This Row],[_Res3Text]],FIND("[",Tasks[[#This Row],[_Res3Text]]&amp;"[")-1))))</f>
        <v/>
      </c>
      <c r="EC3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4" s="42">
        <f>IF(OR(NOT(Tasks[[#This Row],[_IsLeaf]]=1),Tasks[[#This Row],[_Res3Row]]=0),0,N(Tasks[[#This Row],[_Days]])*HoursPerDay*IF(Tasks[[#This Row],[_Res3Units]]="",DefaultUnits,Tasks[[#This Row],[_Res3Units]]))</f>
        <v/>
      </c>
      <c r="EE34" s="42">
        <f>IF(AND(AND(Tasks[[#This Row],[_IsLeaf]]=1,Tasks[[#This Row],[_LeafTotalWork]]&gt;0),Tasks[[#This Row],[_Res3Work]]&gt;0),Tasks[[#This Row],[_Res3Work]]/(Tasks[[#This Row],[_FinishWorkday]]-Tasks[[#This Row],[_StartWorkday]]+1),0)</f>
        <v/>
      </c>
      <c r="EF34" s="42">
        <f>Tasks[[#This Row],[_Res3WorkPerWD]]*MAX(0,Tasks[[#This Row],[_StartWorkday]]-1)</f>
        <v/>
      </c>
      <c r="EG34" s="42">
        <f>Tasks[[#This Row],[_Res3Work]]*Tasks[[#This Row],[_LeafProgress]]</f>
        <v/>
      </c>
      <c r="EH34" s="42">
        <f>IF(Tasks[[#This Row],[_Res4Text]]="","",IF(Tasks[[#This Row],[_Res4Row]]&gt;0,INDEX(res_Name,Tasks[[#This Row],[_Res4Row]]),TRIM(LEFT(Tasks[[#This Row],[_Res4Text]],FIND("[",Tasks[[#This Row],[_Res4Text]]&amp;"[")-1))))</f>
        <v/>
      </c>
      <c r="EI3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4" s="42">
        <f>IF(OR(NOT(Tasks[[#This Row],[_IsLeaf]]=1),Tasks[[#This Row],[_Res4Row]]=0),0,N(Tasks[[#This Row],[_Days]])*HoursPerDay*IF(Tasks[[#This Row],[_Res4Units]]="",DefaultUnits,Tasks[[#This Row],[_Res4Units]]))</f>
        <v/>
      </c>
      <c r="EK34" s="42">
        <f>IF(AND(AND(Tasks[[#This Row],[_IsLeaf]]=1,Tasks[[#This Row],[_LeafTotalWork]]&gt;0),Tasks[[#This Row],[_Res4Work]]&gt;0),Tasks[[#This Row],[_Res4Work]]/(Tasks[[#This Row],[_FinishWorkday]]-Tasks[[#This Row],[_StartWorkday]]+1),0)</f>
        <v/>
      </c>
      <c r="EL34" s="42">
        <f>Tasks[[#This Row],[_Res4WorkPerWD]]*MAX(0,Tasks[[#This Row],[_StartWorkday]]-1)</f>
        <v/>
      </c>
      <c r="EM34" s="42">
        <f>Tasks[[#This Row],[_Res4Work]]*Tasks[[#This Row],[_LeafProgress]]</f>
        <v/>
      </c>
      <c r="EN34" s="42">
        <f>IF(ISNUMBER(Tasks[[#This Row],[% Complete]]),Tasks[[#This Row],[% Complete]],IF(Tasks[[#This Row],[Stage]]="",0,IFERROR(INDEX(stg_Pct,MATCH(Tasks[[#This Row],[Stage]],stg_Name,0)),0)))</f>
        <v/>
      </c>
      <c r="EO34" s="42">
        <f>IF(NOT(Tasks[[#This Row],[_IsLeaf]]=1),0,IF(N(Tasks[[#This Row],[Actual Finish]])&gt;0,1,MIN(1,Tasks[[#This Row],[_Pct]])))</f>
        <v/>
      </c>
      <c r="EP34" s="42">
        <f>IF(OR(NOT(Tasks[[#This Row],[_IsLeaf]]=1),Tasks[[#This Row],[_Res1Row]]=0),0,N(Tasks[[#This Row],[_Days]])*HoursPerDay*IF(Tasks[[#This Row],[_Units1]]="",DefaultUnits,Tasks[[#This Row],[_Units1]]))</f>
        <v/>
      </c>
      <c r="EQ34" s="42">
        <f>Tasks[[#This Row],[_LeafWork]]+Tasks[[#This Row],[_Res2Work]]+Tasks[[#This Row],[_Res3Work]]+Tasks[[#This Row],[_Res4Work]]</f>
        <v/>
      </c>
      <c r="ER3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4" s="42">
        <f>IF(NOT(Tasks[[#This Row],[_IsLeaf]]=1),0,MAX(_xlfn.MAXIFS(Tasks[_Row],Tasks[_Pred1UID],Tasks[[#This Row],[UID]]),_xlfn.MAXIFS(Tasks[_Row],Tasks[_Pred2UID],Tasks[[#This Row],[UID]]),_xlfn.MAXIFS(Tasks[_Row],Tasks[_Pred3UID],Tasks[[#This Row],[UID]]),_xlfn.MAXIFS(Tasks[_Row],Tasks[_Pred4UID],Tasks[[#This Row],[UID]])))</f>
        <v/>
      </c>
      <c r="FA3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4" s="88">
        <f>IF(NOT(Tasks[[#This Row],[_IsLeaf]]=1),"",IF(N(Tasks[[#This Row],[_Days]])&lt;=0,Tasks[[#This Row],[_LeafLateFinish]],WORKDAY.INTL(Tasks[[#This Row],[_LeafLateFinish]],-(Tasks[[#This Row],[_Days]]-1),WorkWeek,Holidays)))</f>
        <v/>
      </c>
      <c r="FD3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4" s="42">
        <f>AND(Tasks[[#This Row],[_IsLeaf]]=1,Tasks[[#This Row],[_LeafProgress]]&lt;1,N(Tasks[[#This Row],[_LeafTotalSlack]])&lt;=CriticalSlackDays)</f>
        <v/>
      </c>
      <c r="FF34" s="42">
        <f>IF(AND(Tasks[[#This Row],[_IsLeaf]]=1,Tasks[[#This Row],[_ConstraintCode]]=1,Tasks[[#This Row],[Mode]]&lt;&gt;"Manual",N(Tasks[[#This Row],[Actual Start]])=0),MAX(0,N(Tasks[[#This Row],[Free Slack]])),0)</f>
        <v/>
      </c>
      <c r="FG34" s="88">
        <f>IF(NOT(Tasks[[#This Row],[_IsLeaf]]=1),"",IF(Tasks[[#This Row],[_AlapShift]]=0,Tasks[[#This Row],[_LeafCalcStart]],WORKDAY.INTL(Tasks[[#This Row],[_LeafCalcStart]],Tasks[[#This Row],[_AlapShift]],WorkWeek,Holidays)))</f>
        <v/>
      </c>
      <c r="FH34" s="88">
        <f>IF(NOT(Tasks[[#This Row],[_IsLeaf]]=1),"",IF(Tasks[[#This Row],[_AlapShift]]=0,Tasks[[#This Row],[_LeafCalcFinish]],WORKDAY.INTL(Tasks[[#This Row],[_LeafCalcFinish]],Tasks[[#This Row],[_AlapShift]],WorkWeek,Holidays)))</f>
        <v/>
      </c>
      <c r="FI34" s="88">
        <f>IF(NOT(Tasks[[#This Row],[_IsLeaf]]=1),"",IF(Tasks[[#This Row],[_AlapShift]]=0,Tasks[[#This Row],[_LeafFcstStart]],WORKDAY.INTL(Tasks[[#This Row],[_LeafFcstStart]],Tasks[[#This Row],[_AlapShift]],WorkWeek,Holidays)))</f>
        <v/>
      </c>
      <c r="FJ34" s="88">
        <f>IF(NOT(Tasks[[#This Row],[_IsLeaf]]=1),"",IF(Tasks[[#This Row],[_AlapShift]]=0,Tasks[[#This Row],[_LeafFcstFinish]],WORKDAY.INTL(Tasks[[#This Row],[_LeafFcstFinish]],Tasks[[#This Row],[_AlapShift]],WorkWeek,Holidays)))</f>
        <v/>
      </c>
      <c r="FK34" s="88">
        <f>IF(Tasks[[#This Row],[Task Name]]="","",IF(Tasks[[#This Row],[_IsSummary]],MIN(INDEX(Tasks[_ShownCalcStart],Tasks[[#This Row],[_Row]]+1):INDEX(Tasks[_ShownCalcStart],Tasks[[#This Row],[_Row]]+Tasks[[#This Row],[_Descendants]])),Tasks[[#This Row],[_ShownCalcStart]]))</f>
        <v/>
      </c>
      <c r="FL34" s="88">
        <f>IF(Tasks[[#This Row],[Task Name]]="","",IF(Tasks[[#This Row],[_IsSummary]],MAX(INDEX(Tasks[_ShownCalcFinish],Tasks[[#This Row],[_Row]]+1):INDEX(Tasks[_ShownCalcFinish],Tasks[[#This Row],[_Row]]+Tasks[[#This Row],[_Descendants]])),Tasks[[#This Row],[_ShownCalcFinish]]))</f>
        <v/>
      </c>
      <c r="FM3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4" s="42">
        <f>IF(AND(Tasks[[#This Row],[_IsLeaf]]=1,Tasks[[#This Row],[_LeafTotalWork]]&gt;0),NETWORKDAYS.INTL(ProjectStart,Tasks[[#This Row],[_ShownFcstStart]],WorkWeek,Holidays),0)</f>
        <v/>
      </c>
      <c r="FZ34" s="42">
        <f>IF(AND(Tasks[[#This Row],[_IsLeaf]]=1,Tasks[[#This Row],[_LeafTotalWork]]&gt;0),MAX(Tasks[[#This Row],[_StartWorkday]],NETWORKDAYS.INTL(ProjectStart,Tasks[[#This Row],[_ShownFcstFinish]],WorkWeek,Holidays)),0)</f>
        <v/>
      </c>
      <c r="GA34" s="42">
        <f>IF(AND(Tasks[[#This Row],[_IsLeaf]]=1,Tasks[[#This Row],[_LeafTotalWork]]&gt;0),Tasks[[#This Row],[_LeafWork]]/(Tasks[[#This Row],[_FinishWorkday]]-Tasks[[#This Row],[_StartWorkday]]+1),0)</f>
        <v/>
      </c>
      <c r="GB34" s="42">
        <f>Tasks[[#This Row],[_WorkPerWorkday]]*(Tasks[[#This Row],[_StartWorkday]]-1)</f>
        <v/>
      </c>
      <c r="GC34" s="42">
        <f>IF(Tasks[[#This Row],[_IsLeaf]]=1,MAX(N(Tasks[[#This Row],[_Days]]),0.1),0)</f>
        <v/>
      </c>
      <c r="GD34" s="42">
        <f>Tasks[[#This Row],[_WeightDur]]*Tasks[[#This Row],[_LeafProgress]]</f>
        <v/>
      </c>
      <c r="GE34" s="42">
        <f>Tasks[[#This Row],[_WeightDur]]*Tasks[[#This Row],[_PlannedPct]]</f>
        <v/>
      </c>
      <c r="GF3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4" s="42">
        <f>IF(AND(Tasks[[#This Row],[_IsLeaf]]=1,N(Tasks[[#This Row],[_Days]])=0,Tasks[[#This Row],[_LeafProgress]]&lt;1),Tasks[[#This Row],[_ShownFcstFinish]]+Tasks[[#This Row],[_Row]]/100000,"")</f>
        <v/>
      </c>
      <c r="GH3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4" s="42">
        <f>IF(Tasks[[#This Row],[Task Name]]="","",LEFT(Tasks[[#This Row],[WBS]],FIND(".",Tasks[[#This Row],[WBS]]&amp;".")-1))</f>
        <v/>
      </c>
      <c r="GJ34" s="42">
        <f>IF(AND(Tasks[[#This Row],[Task Name]]&lt;&gt;"",Tasks[[#This Row],[_Level]]=1),Tasks[[#This Row],[_Row]],"")</f>
        <v/>
      </c>
      <c r="GK34" s="42">
        <f>IF(AND(Tasks[[#This Row],[_IsLeaf]]=1,N(Tasks[[#This Row],[_Days]])=0),Tasks[[#This Row],[Planned Finish]]+Tasks[[#This Row],[_Row]]/100000,"")</f>
        <v/>
      </c>
      <c r="GL34" s="42">
        <f>IF(AND(Tasks[[#This Row],[_IsLeaf]]=1,Tasks[[#This Row],[_LeafProgress]]&lt;1,OR(N(Tasks[[#This Row],[Finish Var]])&gt;0,Tasks[[#This Row],[Status]]="Late Start")),MAX(0,Tasks[[#This Row],[Finish Var]])+1-Tasks[[#This Row],[_Row]]/1000000,"")</f>
        <v/>
      </c>
      <c r="GM34" s="42">
        <f>IF(AND(Tasks[[#This Row],[_IsLeaf]]=1,N(Tasks[[#This Row],[Actual Start]])=0,Tasks[[#This Row],[_ShownFcstStart]]&gt;=StatusDate,Tasks[[#This Row],[_ShownFcstStart]]&lt;=LookaheadEnd),Tasks[[#This Row],[_ShownFcstStart]]+Tasks[[#This Row],[_Row]]/100000,"")</f>
        <v/>
      </c>
      <c r="GN34" s="42">
        <f>IF(AND(Tasks[[#This Row],[_IsLeaf]]=1,Tasks[[#This Row],[_LeafProgress]]&lt;1,Tasks[[#This Row],[_ShownFcstFinish]]&gt;=StatusDate,Tasks[[#This Row],[_ShownFcstFinish]]&lt;=LookaheadEnd),Tasks[[#This Row],[_ShownFcstFinish]]+Tasks[[#This Row],[_Row]]/100000,"")</f>
        <v/>
      </c>
      <c r="GO34" s="42">
        <f>IF(Tasks[[#This Row],[_LeafCritical]],Tasks[[#This Row],[_ShownFcstStart]]+Tasks[[#This Row],[_Row]]/100000,"")</f>
        <v/>
      </c>
      <c r="GP34" s="42">
        <f>Tasks[[#This Row],[_LeafWork]]*Tasks[[#This Row],[_LeafProgress]]</f>
        <v/>
      </c>
      <c r="GQ34" s="88">
        <f>IF(AND(Tasks[[#This Row],[_IsLeaf]]=1,Tasks[[#This Row],[_LeafProgress]]&gt;=1),IF(N(Tasks[[#This Row],[Actual Finish]])&gt;0,Tasks[[#This Row],[Actual Finish]],Tasks[[#This Row],[_ShownFcstFinish]]),"")</f>
        <v/>
      </c>
      <c r="GR34" s="42">
        <f>IF(Tasks[[#This Row],[_IsLeaf]]=1,N(Tasks[[#This Row],[Story Points]]),0)</f>
        <v/>
      </c>
      <c r="GS34" s="42">
        <f>""</f>
        <v/>
      </c>
      <c r="GT34" s="42">
        <f>IF(Tasks[[#This Row],[Task Name]]="",FALSE(),AND(Tasks[[#This Row],[_IsLeaf]]=1,N(Tasks[[#This Row],[_Days]])=0))</f>
        <v/>
      </c>
      <c r="GU34" s="88">
        <f>IF(Tasks[[#This Row],[Task Name]]="",0,IF(AND(Tasks[[#This Row],[_IsLeaf]]=1,NOT(Tasks[[#This Row],[_IsMilestone]]),N(Tasks[[#This Row],[Progress]])&gt;0),Tasks[[#This Row],[Start]],0))</f>
        <v/>
      </c>
      <c r="GV34" s="88">
        <f>IF(Tasks[[#This Row],[_DoneFrom]]=0,0,IF(Tasks[[#This Row],[Progress]]&gt;=1,Tasks[[#This Row],[Finish]],MAX(Tasks[[#This Row],[_DoneFrom]],Tasks[[#This Row],[Start]]+ROUND((Tasks[[#This Row],[Finish]]-Tasks[[#This Row],[Start]]+1)*Tasks[[#This Row],[Progress]],0)-1)))</f>
        <v/>
      </c>
      <c r="GW34" s="88">
        <f>IF(Tasks[[#This Row],[Task Name]]="",0,IF(OR(NOT(Tasks[[#This Row],[_IsLeaf]]=1),Tasks[[#This Row],[_IsMilestone]],N(Tasks[[#This Row],[Progress]])&gt;=1),0,IF(Tasks[[#This Row],[_DoneTo]]&gt;0,Tasks[[#This Row],[_DoneTo]]+1,Tasks[[#This Row],[Start]])))</f>
        <v/>
      </c>
      <c r="GX34" s="88">
        <f>IF(Tasks[[#This Row],[_RemFrom]]=0,0,Tasks[[#This Row],[Finish]])</f>
        <v/>
      </c>
      <c r="GY34" s="42">
        <f>IF(Tasks[[#This Row],[Task Name]]="",FALSE(),OR(NOT(BaselineSet),N(Tasks[[#This Row],[Baseline Start]])&gt;0))</f>
        <v/>
      </c>
      <c r="GZ34" s="42">
        <f>IF(AND(Sandbox="Yes",L_PARSE_DURATION(Tasks[[#This Row],[Sandbox Duration]])&lt;&gt;""),L_PARSE_DURATION(Tasks[[#This Row],[Sandbox Duration]]),L_PARSE_DURATION(Tasks[[#This Row],[Duration]]))</f>
        <v/>
      </c>
      <c r="HA3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4" s="42">
        <f>IF(Tasks[[#This Row],[_IsLeaf]]=1,Tasks[[#This Row],[_Row]],"")</f>
        <v/>
      </c>
      <c r="HD34" s="42">
        <f>IFERROR(INDEX(Tasks[UID],SMALL(Tasks[_PickKey],Tasks[[#This Row],[_Row]]))&amp;" "&amp;INDEX(Tasks[Task Name],SMALL(Tasks[_PickKey],Tasks[[#This Row],[_Row]])),"")</f>
        <v/>
      </c>
      <c r="HE34" s="42">
        <f>IF(Tasks[[#This Row],[Task Name]]="","",IF(Tasks[[#This Row],[_IsSummary]],NETWORKDAYS.INTL(Tasks[[#This Row],[Start]],Tasks[[#This Row],[Finish]],WorkWeek,Holidays),N(Tasks[[#This Row],[_Days]])))</f>
        <v/>
      </c>
      <c r="HF34" s="42">
        <f>IF(Tasks[[#This Row],[Expected]]="",0,((Tasks[[#This Row],[Pessimistic]]-Tasks[[#This Row],[Optimistic]])/6)^2)</f>
        <v/>
      </c>
      <c r="HG34" s="42">
        <f>IF(Tasks[[#This Row],[Expected]]="",0,Tasks[[#This Row],[Expected]]-N(Tasks[[#This Row],[_Days]]))</f>
        <v/>
      </c>
    </row>
    <row r="35">
      <c r="A35" s="21">
        <f>IF(Tasks[[#This Row],[Task Name]]="","",COUNTA(Tasks[[#Headers],[Task Name]]:Tasks[[#This Row],[Task Name]])-1)</f>
        <v/>
      </c>
      <c r="B35" s="22" t="n">
        <v>43</v>
      </c>
      <c r="C35" s="22" t="n"/>
      <c r="D35" s="23" t="n"/>
      <c r="E35" s="22" t="n"/>
      <c r="F35" s="23" t="n"/>
      <c r="G35" s="22" t="n"/>
      <c r="H35" s="22" t="n"/>
      <c r="I35" s="23" t="n"/>
      <c r="J35" s="22" t="n"/>
      <c r="K35" s="22" t="n"/>
      <c r="L35" s="23" t="n"/>
      <c r="M35" s="22" t="n"/>
      <c r="N35" s="22" t="n"/>
      <c r="O35" s="23" t="n"/>
      <c r="P35" s="22" t="n"/>
      <c r="Q35" s="22" t="n"/>
      <c r="R35" s="23" t="n"/>
      <c r="S35" s="23" t="n"/>
      <c r="T35" s="82" t="n"/>
      <c r="U35" s="23" t="n"/>
      <c r="V35" s="82" t="n"/>
      <c r="W35" s="23" t="n"/>
      <c r="X35" s="82" t="n"/>
      <c r="Y35" s="23" t="n"/>
      <c r="Z35" s="82" t="n"/>
      <c r="AA35" s="23" t="n"/>
      <c r="AB35" s="23" t="n"/>
      <c r="AC35" s="7" t="n"/>
      <c r="AD35" s="7" t="n"/>
      <c r="AE35" s="61">
        <f>IF(Tasks[[#This Row],[Task Name]]="","",IF(Tasks[[#This Row],[_IsSummary]],MIN(INDEX(Tasks[_ShownFcstStart],Tasks[[#This Row],[_Row]]+1):INDEX(Tasks[_ShownFcstStart],Tasks[[#This Row],[_Row]]+Tasks[[#This Row],[_Descendants]])),Tasks[[#This Row],[_ShownFcstStart]]))</f>
        <v/>
      </c>
      <c r="AF35" s="61">
        <f>IF(Tasks[[#This Row],[Task Name]]="","",IF(Tasks[[#This Row],[_IsSummary]],MAX(INDEX(Tasks[_ShownFcstFinish],Tasks[[#This Row],[_Row]]+1):INDEX(Tasks[_ShownFcstFinish],Tasks[[#This Row],[_Row]]+Tasks[[#This Row],[_Descendants]])),Tasks[[#This Row],[_ShownFcstFinish]]))</f>
        <v/>
      </c>
      <c r="AG35" s="21">
        <f>""</f>
        <v/>
      </c>
      <c r="AH35" s="23" t="n"/>
      <c r="AI3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5" s="7" t="n"/>
      <c r="AK35" s="22" t="n"/>
      <c r="AL35" s="23" t="n"/>
      <c r="AM35" s="7" t="n"/>
      <c r="AN35" s="21">
        <f>IF(Tasks[[#This Row],[Task Name]]="","",IF(Tasks[[#This Row],[Finish]]&gt;=Tasks[[#This Row],[Planned Finish]],NETWORKDAYS.INTL(Tasks[[#This Row],[Planned Finish]],Tasks[[#This Row],[Finish]],WorkWeek,Holidays)-1,1-NETWORKDAYS.INTL(Tasks[[#This Row],[Finish]],Tasks[[#This Row],[Planned Finish]],WorkWeek,Holidays)))</f>
        <v/>
      </c>
      <c r="AO35" s="21">
        <f>IF(Tasks[[#This Row],[Task Name]]="","",IF(Tasks[[#This Row],[Progress]]&gt;=1,"Complete",IF(OR(N(Tasks[[#This Row],[Actual Start]])&gt;0,Tasks[[#This Row],[Progress]]&gt;0),IF(Tasks[[#This Row],[Finish Var]]&gt;0,"Behind","In Progress"),IF(Tasks[[#This Row],[Planned Start]]&lt;StatusDate,"Late Start","Not Started"))))</f>
        <v/>
      </c>
      <c r="AP35" s="21">
        <f>IF(Tasks[[#This Row],[Task Name]]="","",IF(IF(Tasks[[#This Row],[_IsSummary]],COUNTIF(INDEX(Tasks[_LeafCritical],Tasks[[#This Row],[_Row]]+1):INDEX(Tasks[_LeafCritical],Tasks[[#This Row],[_Row]]+Tasks[[#This Row],[_Descendants]]),TRUE())&gt;0,Tasks[[#This Row],[_LeafCritical]]),"Yes",""))</f>
        <v/>
      </c>
      <c r="AQ35" s="61">
        <f>IF(Tasks[[#This Row],[Task Name]]="","",IF(N(Tasks[[#This Row],[Baseline Start]])&gt;0,Tasks[[#This Row],[Baseline Start]],Tasks[[#This Row],[_CalcStart]]))</f>
        <v/>
      </c>
      <c r="AR35" s="61">
        <f>IF(Tasks[[#This Row],[Task Name]]="","",IF(N(Tasks[[#This Row],[Baseline Finish]])&gt;0,Tasks[[#This Row],[Baseline Finish]],Tasks[[#This Row],[_CalcFinish]]))</f>
        <v/>
      </c>
      <c r="AS35" s="21">
        <f>IF(Tasks[[#This Row],[Task Name]]="","",IF(Tasks[[#This Row],[Start]]&gt;=Tasks[[#This Row],[Planned Start]],NETWORKDAYS.INTL(Tasks[[#This Row],[Planned Start]],Tasks[[#This Row],[Start]],WorkWeek,Holidays)-1,1-NETWORKDAYS.INTL(Tasks[[#This Row],[Start]],Tasks[[#This Row],[Planned Start]],WorkWeek,Holidays)))</f>
        <v/>
      </c>
      <c r="AT35" s="61">
        <f>IF(Tasks[[#This Row],[Task Name]]="","",IF(Tasks[[#This Row],[_IsSummary]],MIN(INDEX(Tasks[_LeafLateStart],Tasks[[#This Row],[_Row]]+1):INDEX(Tasks[_LeafLateStart],Tasks[[#This Row],[_Row]]+Tasks[[#This Row],[_Descendants]])),Tasks[[#This Row],[_LeafLateStart]]))</f>
        <v/>
      </c>
      <c r="AU35" s="61">
        <f>IF(Tasks[[#This Row],[Task Name]]="","",IF(Tasks[[#This Row],[_IsSummary]],MAX(INDEX(Tasks[_LeafLateFinish],Tasks[[#This Row],[_Row]]+1):INDEX(Tasks[_LeafLateFinish],Tasks[[#This Row],[_Row]]+Tasks[[#This Row],[_Descendants]])),Tasks[[#This Row],[_LeafLateFinish]]))</f>
        <v/>
      </c>
      <c r="AV35" s="21">
        <f>IF(Tasks[[#This Row],[Task Name]]="","",IF(Tasks[[#This Row],[_IsSummary]],MIN(INDEX(Tasks[_LeafTotalSlack],Tasks[[#This Row],[_Row]]+1):INDEX(Tasks[_LeafTotalSlack],Tasks[[#This Row],[_Row]]+Tasks[[#This Row],[_Descendants]])),Tasks[[#This Row],[_LeafTotalSlack]]))</f>
        <v/>
      </c>
      <c r="AW3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3" t="n"/>
      <c r="BA3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f>IF(Tasks[[#This Row],[Task Name]]="","",IF(Tasks[[#This Row],[_Level]]&lt;=OutlineShowLevel,"Yes","No"))</f>
        <v/>
      </c>
      <c r="BE35" s="84">
        <f>IF(Tasks[[#This Row],[Task Name]]="","",IF(Tasks[[#This Row],[_IsSummary]],SUM(INDEX(Tasks[_LeafTotalWork],Tasks[[#This Row],[_Row]]+1):INDEX(Tasks[_LeafTotalWork],Tasks[[#This Row],[_Row]]+Tasks[[#This Row],[_Descendants]])),Tasks[[#This Row],[_LeafTotalWork]]))</f>
        <v/>
      </c>
      <c r="BF35" s="23" t="n"/>
      <c r="BG3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f>""</f>
        <v/>
      </c>
      <c r="BI35" s="85" t="n"/>
      <c r="BJ35" s="22" t="n"/>
      <c r="BK35" s="21">
        <f>IF(OR(Tasks[[#This Row],[Task Name]]="",Tasks[[#This Row],[Baseline Duration]]=""),"",Tasks[[#This Row],[_SpanDays]]-N(Tasks[[#This Row],[Baseline Duration]]))</f>
        <v/>
      </c>
      <c r="BL35" s="84">
        <f>IF(OR(Tasks[[#This Row],[Task Name]]="",Tasks[[#This Row],[Baseline Work]]=""),"",Tasks[[#This Row],[Work]]-N(Tasks[[#This Row],[Baseline Work]]))</f>
        <v/>
      </c>
      <c r="BM35" s="61">
        <f>IF(Tasks[[#This Row],[Task Name]]="","",IF(OR(TakeBaseline="Yes",N(Tasks[[#This Row],[Baseline Start]])=0),Tasks[[#This Row],[Start]],Tasks[[#This Row],[Baseline Start]]))</f>
        <v/>
      </c>
      <c r="BN35" s="61">
        <f>IF(Tasks[[#This Row],[Task Name]]="","",IF(OR(TakeBaseline="Yes",N(Tasks[[#This Row],[Baseline Finish]])=0),Tasks[[#This Row],[Finish]],Tasks[[#This Row],[Baseline Finish]]))</f>
        <v/>
      </c>
      <c r="BO35" s="21">
        <f>IF(Tasks[[#This Row],[Task Name]]="","",IF(OR(TakeBaseline="Yes",N(Tasks[[#This Row],[Baseline Duration]])=0),Tasks[[#This Row],[_SpanDays]],Tasks[[#This Row],[Baseline Duration]]))</f>
        <v/>
      </c>
      <c r="BP35" s="84">
        <f>IF(Tasks[[#This Row],[Task Name]]="","",IF(OR(TakeBaseline="Yes",N(Tasks[[#This Row],[Baseline Work]])=0),Tasks[[#This Row],[Work]],Tasks[[#This Row],[Baseline Work]]))</f>
        <v/>
      </c>
      <c r="BQ35" s="7" t="n"/>
      <c r="BR35" s="7" t="n"/>
      <c r="BS35" s="22" t="n"/>
      <c r="BT35" s="86" t="n"/>
      <c r="BU35" s="23" t="n"/>
      <c r="BV35" s="23" t="n"/>
      <c r="BW35" s="23" t="n"/>
      <c r="BX35" s="87">
        <f>IF(AND(Tasks[[#This Row],[_IsLeaf]]=1,ISNUMBER(Tasks[[#This Row],[Optimistic]]),ISNUMBER(Tasks[[#This Row],[Pessimistic]])),ROUND((Tasks[[#This Row],[Optimistic]]+4*N(Tasks[[#This Row],[_Days]])+Tasks[[#This Row],[Pessimistic]])/6,1),"")</f>
        <v/>
      </c>
      <c r="BY35" s="85" t="n"/>
      <c r="BZ35" s="85" t="n"/>
      <c r="CA35" s="22" t="n"/>
      <c r="CB35" s="42">
        <f>IF(Tasks[[#This Row],[Task Name]]="","",MAX(1,N(Tasks[[#This Row],[Level]])))</f>
        <v/>
      </c>
      <c r="CC35" s="42">
        <f>ROW()-ROW(Tasks[[#Headers],[ID]])</f>
        <v/>
      </c>
      <c r="CD35" s="42">
        <f>IF(OR(Tasks[[#This Row],[Task Name]]="",Tasks[[#This Row],[_Level]]&lt;=1),0,IFERROR(LOOKUP(2,1/(Tasks[[#Headers],[_Level]]:Tasks[[#This Row],[_Level]]=Tasks[[#This Row],[_Level]]-1),ROW(Tasks[[#Headers],[_Level]]:Tasks[[#This Row],[_Level]])),0))</f>
        <v/>
      </c>
      <c r="CE35" s="42">
        <f>IFERROR(N(INDEX(Tasks[_Level],Tasks[[#This Row],[_Row]]+1)),0)</f>
        <v/>
      </c>
      <c r="CF35" s="42">
        <f>AND(Tasks[[#This Row],[Task Name]]&lt;&gt;"",Tasks[[#This Row],[_NextLevel]]&gt;Tasks[[#This Row],[_Level]])</f>
        <v/>
      </c>
      <c r="CG35" s="42">
        <f>IF(Tasks[[#This Row],[_IsSummary]],COUNTIF(Tasks[WBS],Tasks[[#This Row],[WBS]]&amp;".*"),0)</f>
        <v/>
      </c>
      <c r="CH35" s="42">
        <f>IF(AND(Tasks[[#This Row],[Task Name]]&lt;&gt;"",NOT(Tasks[[#This Row],[_IsSummary]])),1,0)</f>
        <v/>
      </c>
      <c r="CI35" s="42">
        <f>IF(N(Tasks[[#This Row],[_Pred1UID]])=0,0,IFERROR(MATCH(Tasks[[#This Row],[_Pred1UID]],Tasks[UID],0),-1))</f>
        <v/>
      </c>
      <c r="CJ35" s="42">
        <f>IF(N(Tasks[[#This Row],[_Pred2UID]])=0,0,IFERROR(MATCH(Tasks[[#This Row],[_Pred2UID]],Tasks[UID],0),-1))</f>
        <v/>
      </c>
      <c r="CK35" s="42">
        <f>IF(N(Tasks[[#This Row],[_Pred3UID]])=0,0,IFERROR(MATCH(Tasks[[#This Row],[_Pred3UID]],Tasks[UID],0),-1))</f>
        <v/>
      </c>
      <c r="CL35" s="42">
        <f>IF(N(Tasks[[#This Row],[_Pred4UID]])=0,0,IFERROR(MATCH(Tasks[[#This Row],[_Pred4UID]],Tasks[UID],0),-1))</f>
        <v/>
      </c>
      <c r="CM3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5" s="88">
        <f>IF(N(Tasks[[#This Row],[Constraint Date]])=0,0,IF(AND(OR(Tasks[[#This Row],[_ConstraintCode]]=3,Tasks[[#This Row],[_ConstraintCode]]=6,Tasks[[#This Row],[_ConstraintCode]]=7),N(Tasks[[#This Row],[_Days]])&gt;1),WORKDAY.INTL(N(Tasks[[#This Row],[Constraint Date]]),-(N(Tasks[[#This Row],[_Days]])-1),WorkWeek,Holidays),N(Tasks[[#This Row],[Constraint Date]])))</f>
        <v/>
      </c>
      <c r="CO35" s="88">
        <f>IF(OR(Tasks[[#This Row],[_ConstraintCode]]=2,Tasks[[#This Row],[_ConstraintCode]]=3,Tasks[[#This Row],[_ConstraintCode]]=4,Tasks[[#This Row],[_ConstraintCode]]=6),Tasks[[#This Row],[_ConstraintStart]],0)</f>
        <v/>
      </c>
      <c r="CP35" s="88">
        <f>IF(OR(Tasks[[#This Row],[_ConstraintCode]]=2,Tasks[[#This Row],[_ConstraintCode]]=3,Tasks[[#This Row],[_ConstraintCode]]=5,Tasks[[#This Row],[_ConstraintCode]]=7),Tasks[[#This Row],[_ConstraintStart]],2958465)</f>
        <v/>
      </c>
      <c r="CQ3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5" s="88">
        <f>IF(NOT(Tasks[[#This Row],[_IsLeaf]]=1),"",IF(N(Tasks[[#This Row],[_Days]])&lt;=0,Tasks[[#This Row],[_LeafCalcStart]],WORKDAY.INTL(Tasks[[#This Row],[_LeafCalcStart]],Tasks[[#This Row],[_Days]]-1,WorkWeek,Holidays)))</f>
        <v/>
      </c>
      <c r="CS3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5" s="42">
        <f>IF(Tasks[[#This Row],[_Predecessors]]="","",TRIM(MID(SUBSTITUTE(SUBSTITUTE(SUBSTITUTE(UPPER(Tasks[[#This Row],[_Predecessors]]),";",",")," ",""),",",REPT(" ",99)),1,99)))</f>
        <v/>
      </c>
      <c r="CV35" s="42">
        <f>IF(Tasks[[#This Row],[_Pred1Text]]="","",IFERROR(VALUE(LEFT(Tasks[[#This Row],[_Pred1Text]],MIN(FIND("F",Tasks[[#This Row],[_Pred1Text]]&amp;"F"),FIND("S",Tasks[[#This Row],[_Pred1Text]]&amp;"S"),FIND("+",Tasks[[#This Row],[_Pred1Text]]&amp;"+"),FIND("-",Tasks[[#This Row],[_Pred1Text]]&amp;"-"))-1)),""))</f>
        <v/>
      </c>
      <c r="CW3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5" s="42">
        <f>IF(Tasks[[#This Row],[_Pred1Text]]="","",TRIM(MID(SUBSTITUTE(SUBSTITUTE(SUBSTITUTE(UPPER(Tasks[[#This Row],[_Predecessors]]),";",",")," ",""),",",REPT(" ",99)),100,99)))</f>
        <v/>
      </c>
      <c r="CZ35" s="42">
        <f>IF(Tasks[[#This Row],[_Pred2Text]]="","",IFERROR(VALUE(LEFT(Tasks[[#This Row],[_Pred2Text]],MIN(FIND("F",Tasks[[#This Row],[_Pred2Text]]&amp;"F"),FIND("S",Tasks[[#This Row],[_Pred2Text]]&amp;"S"),FIND("+",Tasks[[#This Row],[_Pred2Text]]&amp;"+"),FIND("-",Tasks[[#This Row],[_Pred2Text]]&amp;"-"))-1)),""))</f>
        <v/>
      </c>
      <c r="DA3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5" s="42">
        <f>IF(Tasks[[#This Row],[_Pred2Text]]="","",TRIM(MID(SUBSTITUTE(SUBSTITUTE(SUBSTITUTE(UPPER(Tasks[[#This Row],[_Predecessors]]),";",",")," ",""),",",REPT(" ",99)),199,99)))</f>
        <v/>
      </c>
      <c r="DD35" s="42">
        <f>IF(Tasks[[#This Row],[_Pred3Text]]="","",IFERROR(VALUE(LEFT(Tasks[[#This Row],[_Pred3Text]],MIN(FIND("F",Tasks[[#This Row],[_Pred3Text]]&amp;"F"),FIND("S",Tasks[[#This Row],[_Pred3Text]]&amp;"S"),FIND("+",Tasks[[#This Row],[_Pred3Text]]&amp;"+"),FIND("-",Tasks[[#This Row],[_Pred3Text]]&amp;"-"))-1)),""))</f>
        <v/>
      </c>
      <c r="DE3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5" s="42">
        <f>IF(Tasks[[#This Row],[_Pred3Text]]="","",TRIM(MID(SUBSTITUTE(SUBSTITUTE(SUBSTITUTE(UPPER(Tasks[[#This Row],[_Predecessors]]),";",",")," ",""),",",REPT(" ",99)),298,99)))</f>
        <v/>
      </c>
      <c r="DH35" s="42">
        <f>IF(Tasks[[#This Row],[_Pred4Text]]="","",IFERROR(VALUE(LEFT(Tasks[[#This Row],[_Pred4Text]],MIN(FIND("F",Tasks[[#This Row],[_Pred4Text]]&amp;"F"),FIND("S",Tasks[[#This Row],[_Pred4Text]]&amp;"S"),FIND("+",Tasks[[#This Row],[_Pred4Text]]&amp;"+"),FIND("-",Tasks[[#This Row],[_Pred4Text]]&amp;"-"))-1)),""))</f>
        <v/>
      </c>
      <c r="DI3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5" s="42">
        <f>IF(OR(Tasks[[#This Row],[Task Name]]="",Tasks[[#This Row],[_Resources]]=""),"",TRIM(MID(SUBSTITUTE(Tasks[[#This Row],[_Resources]],",",REPT(" ",99)),1,99)))</f>
        <v/>
      </c>
      <c r="DL35" s="42">
        <f>IF(Tasks[[#This Row],[_Res1Text]]="","",TRIM(MID(SUBSTITUTE(Tasks[[#This Row],[_Resources]],",",REPT(" ",99)),100,99)))</f>
        <v/>
      </c>
      <c r="DM35" s="42">
        <f>IF(Tasks[[#This Row],[_Res2Text]]="","",TRIM(MID(SUBSTITUTE(Tasks[[#This Row],[_Resources]],",",REPT(" ",99)),199,99)))</f>
        <v/>
      </c>
      <c r="DN35" s="42">
        <f>IF(Tasks[[#This Row],[_Res3Text]]="","",TRIM(MID(SUBSTITUTE(Tasks[[#This Row],[_Resources]],",",REPT(" ",99)),298,99)))</f>
        <v/>
      </c>
      <c r="DO35" s="42">
        <f>IF(Tasks[[#This Row],[_Res1Text]]="",0,IFERROR(MATCH(TRIM(LEFT(Tasks[[#This Row],[_Res1Text]],FIND("[",Tasks[[#This Row],[_Res1Text]]&amp;"[")-1)),res_Name,0),IFERROR(MATCH(TRIM(LEFT(Tasks[[#This Row],[_Res1Text]],FIND("[",Tasks[[#This Row],[_Res1Text]]&amp;"[")-1)),res_Initials,0),0)))</f>
        <v/>
      </c>
      <c r="DP35" s="42">
        <f>IF(Tasks[[#This Row],[_Res2Text]]="",0,IFERROR(MATCH(TRIM(LEFT(Tasks[[#This Row],[_Res2Text]],FIND("[",Tasks[[#This Row],[_Res2Text]]&amp;"[")-1)),res_Name,0),IFERROR(MATCH(TRIM(LEFT(Tasks[[#This Row],[_Res2Text]],FIND("[",Tasks[[#This Row],[_Res2Text]]&amp;"[")-1)),res_Initials,0),0)))</f>
        <v/>
      </c>
      <c r="DQ35" s="42">
        <f>IF(Tasks[[#This Row],[_Res3Text]]="",0,IFERROR(MATCH(TRIM(LEFT(Tasks[[#This Row],[_Res3Text]],FIND("[",Tasks[[#This Row],[_Res3Text]]&amp;"[")-1)),res_Name,0),IFERROR(MATCH(TRIM(LEFT(Tasks[[#This Row],[_Res3Text]],FIND("[",Tasks[[#This Row],[_Res3Text]]&amp;"[")-1)),res_Initials,0),0)))</f>
        <v/>
      </c>
      <c r="DR35" s="42">
        <f>IF(Tasks[[#This Row],[_Res4Text]]="",0,IFERROR(MATCH(TRIM(LEFT(Tasks[[#This Row],[_Res4Text]],FIND("[",Tasks[[#This Row],[_Res4Text]]&amp;"[")-1)),res_Name,0),IFERROR(MATCH(TRIM(LEFT(Tasks[[#This Row],[_Res4Text]],FIND("[",Tasks[[#This Row],[_Res4Text]]&amp;"[")-1)),res_Initials,0),0)))</f>
        <v/>
      </c>
      <c r="DS35" s="42">
        <f>IF(Tasks[[#This Row],[_Res1Text]]="","",IF(Tasks[[#This Row],[_Res1Row]]&gt;0,INDEX(res_Name,Tasks[[#This Row],[_Res1Row]]),TRIM(LEFT(Tasks[[#This Row],[_Res1Text]],FIND("[",Tasks[[#This Row],[_Res1Text]]&amp;"[")-1))))</f>
        <v/>
      </c>
      <c r="DT3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5" s="42">
        <f>IF(NOT(Tasks[[#This Row],[_IsLeaf]]=1),0,(Tasks[[#This Row],[_Resource1]]&lt;&gt;"")+(Tasks[[#This Row],[_Res2]]&lt;&gt;"")+(Tasks[[#This Row],[_Res3]]&lt;&gt;"")+(Tasks[[#This Row],[_Res4]]&lt;&gt;""))</f>
        <v/>
      </c>
      <c r="DV35" s="42">
        <f>IF(Tasks[[#This Row],[_Res2Text]]="","",IF(Tasks[[#This Row],[_Res2Row]]&gt;0,INDEX(res_Name,Tasks[[#This Row],[_Res2Row]]),TRIM(LEFT(Tasks[[#This Row],[_Res2Text]],FIND("[",Tasks[[#This Row],[_Res2Text]]&amp;"[")-1))))</f>
        <v/>
      </c>
      <c r="DW3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5" s="42">
        <f>IF(OR(NOT(Tasks[[#This Row],[_IsLeaf]]=1),Tasks[[#This Row],[_Res2Row]]=0),0,N(Tasks[[#This Row],[_Days]])*HoursPerDay*IF(Tasks[[#This Row],[_Res2Units]]="",DefaultUnits,Tasks[[#This Row],[_Res2Units]]))</f>
        <v/>
      </c>
      <c r="DY35" s="42">
        <f>IF(AND(AND(Tasks[[#This Row],[_IsLeaf]]=1,Tasks[[#This Row],[_LeafTotalWork]]&gt;0),Tasks[[#This Row],[_Res2Work]]&gt;0),Tasks[[#This Row],[_Res2Work]]/(Tasks[[#This Row],[_FinishWorkday]]-Tasks[[#This Row],[_StartWorkday]]+1),0)</f>
        <v/>
      </c>
      <c r="DZ35" s="42">
        <f>Tasks[[#This Row],[_Res2WorkPerWD]]*MAX(0,Tasks[[#This Row],[_StartWorkday]]-1)</f>
        <v/>
      </c>
      <c r="EA35" s="42">
        <f>Tasks[[#This Row],[_Res2Work]]*Tasks[[#This Row],[_LeafProgress]]</f>
        <v/>
      </c>
      <c r="EB35" s="42">
        <f>IF(Tasks[[#This Row],[_Res3Text]]="","",IF(Tasks[[#This Row],[_Res3Row]]&gt;0,INDEX(res_Name,Tasks[[#This Row],[_Res3Row]]),TRIM(LEFT(Tasks[[#This Row],[_Res3Text]],FIND("[",Tasks[[#This Row],[_Res3Text]]&amp;"[")-1))))</f>
        <v/>
      </c>
      <c r="EC3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5" s="42">
        <f>IF(OR(NOT(Tasks[[#This Row],[_IsLeaf]]=1),Tasks[[#This Row],[_Res3Row]]=0),0,N(Tasks[[#This Row],[_Days]])*HoursPerDay*IF(Tasks[[#This Row],[_Res3Units]]="",DefaultUnits,Tasks[[#This Row],[_Res3Units]]))</f>
        <v/>
      </c>
      <c r="EE35" s="42">
        <f>IF(AND(AND(Tasks[[#This Row],[_IsLeaf]]=1,Tasks[[#This Row],[_LeafTotalWork]]&gt;0),Tasks[[#This Row],[_Res3Work]]&gt;0),Tasks[[#This Row],[_Res3Work]]/(Tasks[[#This Row],[_FinishWorkday]]-Tasks[[#This Row],[_StartWorkday]]+1),0)</f>
        <v/>
      </c>
      <c r="EF35" s="42">
        <f>Tasks[[#This Row],[_Res3WorkPerWD]]*MAX(0,Tasks[[#This Row],[_StartWorkday]]-1)</f>
        <v/>
      </c>
      <c r="EG35" s="42">
        <f>Tasks[[#This Row],[_Res3Work]]*Tasks[[#This Row],[_LeafProgress]]</f>
        <v/>
      </c>
      <c r="EH35" s="42">
        <f>IF(Tasks[[#This Row],[_Res4Text]]="","",IF(Tasks[[#This Row],[_Res4Row]]&gt;0,INDEX(res_Name,Tasks[[#This Row],[_Res4Row]]),TRIM(LEFT(Tasks[[#This Row],[_Res4Text]],FIND("[",Tasks[[#This Row],[_Res4Text]]&amp;"[")-1))))</f>
        <v/>
      </c>
      <c r="EI3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5" s="42">
        <f>IF(OR(NOT(Tasks[[#This Row],[_IsLeaf]]=1),Tasks[[#This Row],[_Res4Row]]=0),0,N(Tasks[[#This Row],[_Days]])*HoursPerDay*IF(Tasks[[#This Row],[_Res4Units]]="",DefaultUnits,Tasks[[#This Row],[_Res4Units]]))</f>
        <v/>
      </c>
      <c r="EK35" s="42">
        <f>IF(AND(AND(Tasks[[#This Row],[_IsLeaf]]=1,Tasks[[#This Row],[_LeafTotalWork]]&gt;0),Tasks[[#This Row],[_Res4Work]]&gt;0),Tasks[[#This Row],[_Res4Work]]/(Tasks[[#This Row],[_FinishWorkday]]-Tasks[[#This Row],[_StartWorkday]]+1),0)</f>
        <v/>
      </c>
      <c r="EL35" s="42">
        <f>Tasks[[#This Row],[_Res4WorkPerWD]]*MAX(0,Tasks[[#This Row],[_StartWorkday]]-1)</f>
        <v/>
      </c>
      <c r="EM35" s="42">
        <f>Tasks[[#This Row],[_Res4Work]]*Tasks[[#This Row],[_LeafProgress]]</f>
        <v/>
      </c>
      <c r="EN35" s="42">
        <f>IF(ISNUMBER(Tasks[[#This Row],[% Complete]]),Tasks[[#This Row],[% Complete]],IF(Tasks[[#This Row],[Stage]]="",0,IFERROR(INDEX(stg_Pct,MATCH(Tasks[[#This Row],[Stage]],stg_Name,0)),0)))</f>
        <v/>
      </c>
      <c r="EO35" s="42">
        <f>IF(NOT(Tasks[[#This Row],[_IsLeaf]]=1),0,IF(N(Tasks[[#This Row],[Actual Finish]])&gt;0,1,MIN(1,Tasks[[#This Row],[_Pct]])))</f>
        <v/>
      </c>
      <c r="EP35" s="42">
        <f>IF(OR(NOT(Tasks[[#This Row],[_IsLeaf]]=1),Tasks[[#This Row],[_Res1Row]]=0),0,N(Tasks[[#This Row],[_Days]])*HoursPerDay*IF(Tasks[[#This Row],[_Units1]]="",DefaultUnits,Tasks[[#This Row],[_Units1]]))</f>
        <v/>
      </c>
      <c r="EQ35" s="42">
        <f>Tasks[[#This Row],[_LeafWork]]+Tasks[[#This Row],[_Res2Work]]+Tasks[[#This Row],[_Res3Work]]+Tasks[[#This Row],[_Res4Work]]</f>
        <v/>
      </c>
      <c r="ER3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5" s="42">
        <f>IF(NOT(Tasks[[#This Row],[_IsLeaf]]=1),0,MAX(_xlfn.MAXIFS(Tasks[_Row],Tasks[_Pred1UID],Tasks[[#This Row],[UID]]),_xlfn.MAXIFS(Tasks[_Row],Tasks[_Pred2UID],Tasks[[#This Row],[UID]]),_xlfn.MAXIFS(Tasks[_Row],Tasks[_Pred3UID],Tasks[[#This Row],[UID]]),_xlfn.MAXIFS(Tasks[_Row],Tasks[_Pred4UID],Tasks[[#This Row],[UID]])))</f>
        <v/>
      </c>
      <c r="FA3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5" s="88">
        <f>IF(NOT(Tasks[[#This Row],[_IsLeaf]]=1),"",IF(N(Tasks[[#This Row],[_Days]])&lt;=0,Tasks[[#This Row],[_LeafLateFinish]],WORKDAY.INTL(Tasks[[#This Row],[_LeafLateFinish]],-(Tasks[[#This Row],[_Days]]-1),WorkWeek,Holidays)))</f>
        <v/>
      </c>
      <c r="FD3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5" s="42">
        <f>AND(Tasks[[#This Row],[_IsLeaf]]=1,Tasks[[#This Row],[_LeafProgress]]&lt;1,N(Tasks[[#This Row],[_LeafTotalSlack]])&lt;=CriticalSlackDays)</f>
        <v/>
      </c>
      <c r="FF35" s="42">
        <f>IF(AND(Tasks[[#This Row],[_IsLeaf]]=1,Tasks[[#This Row],[_ConstraintCode]]=1,Tasks[[#This Row],[Mode]]&lt;&gt;"Manual",N(Tasks[[#This Row],[Actual Start]])=0),MAX(0,N(Tasks[[#This Row],[Free Slack]])),0)</f>
        <v/>
      </c>
      <c r="FG35" s="88">
        <f>IF(NOT(Tasks[[#This Row],[_IsLeaf]]=1),"",IF(Tasks[[#This Row],[_AlapShift]]=0,Tasks[[#This Row],[_LeafCalcStart]],WORKDAY.INTL(Tasks[[#This Row],[_LeafCalcStart]],Tasks[[#This Row],[_AlapShift]],WorkWeek,Holidays)))</f>
        <v/>
      </c>
      <c r="FH35" s="88">
        <f>IF(NOT(Tasks[[#This Row],[_IsLeaf]]=1),"",IF(Tasks[[#This Row],[_AlapShift]]=0,Tasks[[#This Row],[_LeafCalcFinish]],WORKDAY.INTL(Tasks[[#This Row],[_LeafCalcFinish]],Tasks[[#This Row],[_AlapShift]],WorkWeek,Holidays)))</f>
        <v/>
      </c>
      <c r="FI35" s="88">
        <f>IF(NOT(Tasks[[#This Row],[_IsLeaf]]=1),"",IF(Tasks[[#This Row],[_AlapShift]]=0,Tasks[[#This Row],[_LeafFcstStart]],WORKDAY.INTL(Tasks[[#This Row],[_LeafFcstStart]],Tasks[[#This Row],[_AlapShift]],WorkWeek,Holidays)))</f>
        <v/>
      </c>
      <c r="FJ35" s="88">
        <f>IF(NOT(Tasks[[#This Row],[_IsLeaf]]=1),"",IF(Tasks[[#This Row],[_AlapShift]]=0,Tasks[[#This Row],[_LeafFcstFinish]],WORKDAY.INTL(Tasks[[#This Row],[_LeafFcstFinish]],Tasks[[#This Row],[_AlapShift]],WorkWeek,Holidays)))</f>
        <v/>
      </c>
      <c r="FK35" s="88">
        <f>IF(Tasks[[#This Row],[Task Name]]="","",IF(Tasks[[#This Row],[_IsSummary]],MIN(INDEX(Tasks[_ShownCalcStart],Tasks[[#This Row],[_Row]]+1):INDEX(Tasks[_ShownCalcStart],Tasks[[#This Row],[_Row]]+Tasks[[#This Row],[_Descendants]])),Tasks[[#This Row],[_ShownCalcStart]]))</f>
        <v/>
      </c>
      <c r="FL35" s="88">
        <f>IF(Tasks[[#This Row],[Task Name]]="","",IF(Tasks[[#This Row],[_IsSummary]],MAX(INDEX(Tasks[_ShownCalcFinish],Tasks[[#This Row],[_Row]]+1):INDEX(Tasks[_ShownCalcFinish],Tasks[[#This Row],[_Row]]+Tasks[[#This Row],[_Descendants]])),Tasks[[#This Row],[_ShownCalcFinish]]))</f>
        <v/>
      </c>
      <c r="FM3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5" s="42">
        <f>IF(AND(Tasks[[#This Row],[_IsLeaf]]=1,Tasks[[#This Row],[_LeafTotalWork]]&gt;0),NETWORKDAYS.INTL(ProjectStart,Tasks[[#This Row],[_ShownFcstStart]],WorkWeek,Holidays),0)</f>
        <v/>
      </c>
      <c r="FZ35" s="42">
        <f>IF(AND(Tasks[[#This Row],[_IsLeaf]]=1,Tasks[[#This Row],[_LeafTotalWork]]&gt;0),MAX(Tasks[[#This Row],[_StartWorkday]],NETWORKDAYS.INTL(ProjectStart,Tasks[[#This Row],[_ShownFcstFinish]],WorkWeek,Holidays)),0)</f>
        <v/>
      </c>
      <c r="GA35" s="42">
        <f>IF(AND(Tasks[[#This Row],[_IsLeaf]]=1,Tasks[[#This Row],[_LeafTotalWork]]&gt;0),Tasks[[#This Row],[_LeafWork]]/(Tasks[[#This Row],[_FinishWorkday]]-Tasks[[#This Row],[_StartWorkday]]+1),0)</f>
        <v/>
      </c>
      <c r="GB35" s="42">
        <f>Tasks[[#This Row],[_WorkPerWorkday]]*(Tasks[[#This Row],[_StartWorkday]]-1)</f>
        <v/>
      </c>
      <c r="GC35" s="42">
        <f>IF(Tasks[[#This Row],[_IsLeaf]]=1,MAX(N(Tasks[[#This Row],[_Days]]),0.1),0)</f>
        <v/>
      </c>
      <c r="GD35" s="42">
        <f>Tasks[[#This Row],[_WeightDur]]*Tasks[[#This Row],[_LeafProgress]]</f>
        <v/>
      </c>
      <c r="GE35" s="42">
        <f>Tasks[[#This Row],[_WeightDur]]*Tasks[[#This Row],[_PlannedPct]]</f>
        <v/>
      </c>
      <c r="GF3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5" s="42">
        <f>IF(AND(Tasks[[#This Row],[_IsLeaf]]=1,N(Tasks[[#This Row],[_Days]])=0,Tasks[[#This Row],[_LeafProgress]]&lt;1),Tasks[[#This Row],[_ShownFcstFinish]]+Tasks[[#This Row],[_Row]]/100000,"")</f>
        <v/>
      </c>
      <c r="GH3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5" s="42">
        <f>IF(Tasks[[#This Row],[Task Name]]="","",LEFT(Tasks[[#This Row],[WBS]],FIND(".",Tasks[[#This Row],[WBS]]&amp;".")-1))</f>
        <v/>
      </c>
      <c r="GJ35" s="42">
        <f>IF(AND(Tasks[[#This Row],[Task Name]]&lt;&gt;"",Tasks[[#This Row],[_Level]]=1),Tasks[[#This Row],[_Row]],"")</f>
        <v/>
      </c>
      <c r="GK35" s="42">
        <f>IF(AND(Tasks[[#This Row],[_IsLeaf]]=1,N(Tasks[[#This Row],[_Days]])=0),Tasks[[#This Row],[Planned Finish]]+Tasks[[#This Row],[_Row]]/100000,"")</f>
        <v/>
      </c>
      <c r="GL35" s="42">
        <f>IF(AND(Tasks[[#This Row],[_IsLeaf]]=1,Tasks[[#This Row],[_LeafProgress]]&lt;1,OR(N(Tasks[[#This Row],[Finish Var]])&gt;0,Tasks[[#This Row],[Status]]="Late Start")),MAX(0,Tasks[[#This Row],[Finish Var]])+1-Tasks[[#This Row],[_Row]]/1000000,"")</f>
        <v/>
      </c>
      <c r="GM35" s="42">
        <f>IF(AND(Tasks[[#This Row],[_IsLeaf]]=1,N(Tasks[[#This Row],[Actual Start]])=0,Tasks[[#This Row],[_ShownFcstStart]]&gt;=StatusDate,Tasks[[#This Row],[_ShownFcstStart]]&lt;=LookaheadEnd),Tasks[[#This Row],[_ShownFcstStart]]+Tasks[[#This Row],[_Row]]/100000,"")</f>
        <v/>
      </c>
      <c r="GN35" s="42">
        <f>IF(AND(Tasks[[#This Row],[_IsLeaf]]=1,Tasks[[#This Row],[_LeafProgress]]&lt;1,Tasks[[#This Row],[_ShownFcstFinish]]&gt;=StatusDate,Tasks[[#This Row],[_ShownFcstFinish]]&lt;=LookaheadEnd),Tasks[[#This Row],[_ShownFcstFinish]]+Tasks[[#This Row],[_Row]]/100000,"")</f>
        <v/>
      </c>
      <c r="GO35" s="42">
        <f>IF(Tasks[[#This Row],[_LeafCritical]],Tasks[[#This Row],[_ShownFcstStart]]+Tasks[[#This Row],[_Row]]/100000,"")</f>
        <v/>
      </c>
      <c r="GP35" s="42">
        <f>Tasks[[#This Row],[_LeafWork]]*Tasks[[#This Row],[_LeafProgress]]</f>
        <v/>
      </c>
      <c r="GQ35" s="88">
        <f>IF(AND(Tasks[[#This Row],[_IsLeaf]]=1,Tasks[[#This Row],[_LeafProgress]]&gt;=1),IF(N(Tasks[[#This Row],[Actual Finish]])&gt;0,Tasks[[#This Row],[Actual Finish]],Tasks[[#This Row],[_ShownFcstFinish]]),"")</f>
        <v/>
      </c>
      <c r="GR35" s="42">
        <f>IF(Tasks[[#This Row],[_IsLeaf]]=1,N(Tasks[[#This Row],[Story Points]]),0)</f>
        <v/>
      </c>
      <c r="GS35" s="42">
        <f>""</f>
        <v/>
      </c>
      <c r="GT35" s="42">
        <f>IF(Tasks[[#This Row],[Task Name]]="",FALSE(),AND(Tasks[[#This Row],[_IsLeaf]]=1,N(Tasks[[#This Row],[_Days]])=0))</f>
        <v/>
      </c>
      <c r="GU35" s="88">
        <f>IF(Tasks[[#This Row],[Task Name]]="",0,IF(AND(Tasks[[#This Row],[_IsLeaf]]=1,NOT(Tasks[[#This Row],[_IsMilestone]]),N(Tasks[[#This Row],[Progress]])&gt;0),Tasks[[#This Row],[Start]],0))</f>
        <v/>
      </c>
      <c r="GV35" s="88">
        <f>IF(Tasks[[#This Row],[_DoneFrom]]=0,0,IF(Tasks[[#This Row],[Progress]]&gt;=1,Tasks[[#This Row],[Finish]],MAX(Tasks[[#This Row],[_DoneFrom]],Tasks[[#This Row],[Start]]+ROUND((Tasks[[#This Row],[Finish]]-Tasks[[#This Row],[Start]]+1)*Tasks[[#This Row],[Progress]],0)-1)))</f>
        <v/>
      </c>
      <c r="GW35" s="88">
        <f>IF(Tasks[[#This Row],[Task Name]]="",0,IF(OR(NOT(Tasks[[#This Row],[_IsLeaf]]=1),Tasks[[#This Row],[_IsMilestone]],N(Tasks[[#This Row],[Progress]])&gt;=1),0,IF(Tasks[[#This Row],[_DoneTo]]&gt;0,Tasks[[#This Row],[_DoneTo]]+1,Tasks[[#This Row],[Start]])))</f>
        <v/>
      </c>
      <c r="GX35" s="88">
        <f>IF(Tasks[[#This Row],[_RemFrom]]=0,0,Tasks[[#This Row],[Finish]])</f>
        <v/>
      </c>
      <c r="GY35" s="42">
        <f>IF(Tasks[[#This Row],[Task Name]]="",FALSE(),OR(NOT(BaselineSet),N(Tasks[[#This Row],[Baseline Start]])&gt;0))</f>
        <v/>
      </c>
      <c r="GZ35" s="42">
        <f>IF(AND(Sandbox="Yes",L_PARSE_DURATION(Tasks[[#This Row],[Sandbox Duration]])&lt;&gt;""),L_PARSE_DURATION(Tasks[[#This Row],[Sandbox Duration]]),L_PARSE_DURATION(Tasks[[#This Row],[Duration]]))</f>
        <v/>
      </c>
      <c r="HA3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5" s="42">
        <f>IF(Tasks[[#This Row],[_IsLeaf]]=1,Tasks[[#This Row],[_Row]],"")</f>
        <v/>
      </c>
      <c r="HD35" s="42">
        <f>IFERROR(INDEX(Tasks[UID],SMALL(Tasks[_PickKey],Tasks[[#This Row],[_Row]]))&amp;" "&amp;INDEX(Tasks[Task Name],SMALL(Tasks[_PickKey],Tasks[[#This Row],[_Row]])),"")</f>
        <v/>
      </c>
      <c r="HE35" s="42">
        <f>IF(Tasks[[#This Row],[Task Name]]="","",IF(Tasks[[#This Row],[_IsSummary]],NETWORKDAYS.INTL(Tasks[[#This Row],[Start]],Tasks[[#This Row],[Finish]],WorkWeek,Holidays),N(Tasks[[#This Row],[_Days]])))</f>
        <v/>
      </c>
      <c r="HF35" s="42">
        <f>IF(Tasks[[#This Row],[Expected]]="",0,((Tasks[[#This Row],[Pessimistic]]-Tasks[[#This Row],[Optimistic]])/6)^2)</f>
        <v/>
      </c>
      <c r="HG35" s="42">
        <f>IF(Tasks[[#This Row],[Expected]]="",0,Tasks[[#This Row],[Expected]]-N(Tasks[[#This Row],[_Days]]))</f>
        <v/>
      </c>
    </row>
    <row r="36">
      <c r="A36" s="21">
        <f>IF(Tasks[[#This Row],[Task Name]]="","",COUNTA(Tasks[[#Headers],[Task Name]]:Tasks[[#This Row],[Task Name]])-1)</f>
        <v/>
      </c>
      <c r="B36" s="22" t="n">
        <v>44</v>
      </c>
      <c r="C36" s="22" t="n"/>
      <c r="D36" s="23" t="n"/>
      <c r="E36" s="22" t="n"/>
      <c r="F36" s="23" t="n"/>
      <c r="G36" s="22" t="n"/>
      <c r="H36" s="22" t="n"/>
      <c r="I36" s="23" t="n"/>
      <c r="J36" s="22" t="n"/>
      <c r="K36" s="22" t="n"/>
      <c r="L36" s="23" t="n"/>
      <c r="M36" s="22" t="n"/>
      <c r="N36" s="22" t="n"/>
      <c r="O36" s="23" t="n"/>
      <c r="P36" s="22" t="n"/>
      <c r="Q36" s="22" t="n"/>
      <c r="R36" s="23" t="n"/>
      <c r="S36" s="23" t="n"/>
      <c r="T36" s="82" t="n"/>
      <c r="U36" s="23" t="n"/>
      <c r="V36" s="82" t="n"/>
      <c r="W36" s="23" t="n"/>
      <c r="X36" s="82" t="n"/>
      <c r="Y36" s="23" t="n"/>
      <c r="Z36" s="82" t="n"/>
      <c r="AA36" s="23" t="n"/>
      <c r="AB36" s="23" t="n"/>
      <c r="AC36" s="7" t="n"/>
      <c r="AD36" s="7" t="n"/>
      <c r="AE36" s="61">
        <f>IF(Tasks[[#This Row],[Task Name]]="","",IF(Tasks[[#This Row],[_IsSummary]],MIN(INDEX(Tasks[_ShownFcstStart],Tasks[[#This Row],[_Row]]+1):INDEX(Tasks[_ShownFcstStart],Tasks[[#This Row],[_Row]]+Tasks[[#This Row],[_Descendants]])),Tasks[[#This Row],[_ShownFcstStart]]))</f>
        <v/>
      </c>
      <c r="AF36" s="61">
        <f>IF(Tasks[[#This Row],[Task Name]]="","",IF(Tasks[[#This Row],[_IsSummary]],MAX(INDEX(Tasks[_ShownFcstFinish],Tasks[[#This Row],[_Row]]+1):INDEX(Tasks[_ShownFcstFinish],Tasks[[#This Row],[_Row]]+Tasks[[#This Row],[_Descendants]])),Tasks[[#This Row],[_ShownFcstFinish]]))</f>
        <v/>
      </c>
      <c r="AG36" s="21">
        <f>""</f>
        <v/>
      </c>
      <c r="AH36" s="23" t="n"/>
      <c r="AI3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6" s="7" t="n"/>
      <c r="AK36" s="22" t="n"/>
      <c r="AL36" s="23" t="n"/>
      <c r="AM36" s="7" t="n"/>
      <c r="AN36" s="21">
        <f>IF(Tasks[[#This Row],[Task Name]]="","",IF(Tasks[[#This Row],[Finish]]&gt;=Tasks[[#This Row],[Planned Finish]],NETWORKDAYS.INTL(Tasks[[#This Row],[Planned Finish]],Tasks[[#This Row],[Finish]],WorkWeek,Holidays)-1,1-NETWORKDAYS.INTL(Tasks[[#This Row],[Finish]],Tasks[[#This Row],[Planned Finish]],WorkWeek,Holidays)))</f>
        <v/>
      </c>
      <c r="AO36" s="21">
        <f>IF(Tasks[[#This Row],[Task Name]]="","",IF(Tasks[[#This Row],[Progress]]&gt;=1,"Complete",IF(OR(N(Tasks[[#This Row],[Actual Start]])&gt;0,Tasks[[#This Row],[Progress]]&gt;0),IF(Tasks[[#This Row],[Finish Var]]&gt;0,"Behind","In Progress"),IF(Tasks[[#This Row],[Planned Start]]&lt;StatusDate,"Late Start","Not Started"))))</f>
        <v/>
      </c>
      <c r="AP36" s="21">
        <f>IF(Tasks[[#This Row],[Task Name]]="","",IF(IF(Tasks[[#This Row],[_IsSummary]],COUNTIF(INDEX(Tasks[_LeafCritical],Tasks[[#This Row],[_Row]]+1):INDEX(Tasks[_LeafCritical],Tasks[[#This Row],[_Row]]+Tasks[[#This Row],[_Descendants]]),TRUE())&gt;0,Tasks[[#This Row],[_LeafCritical]]),"Yes",""))</f>
        <v/>
      </c>
      <c r="AQ36" s="61">
        <f>IF(Tasks[[#This Row],[Task Name]]="","",IF(N(Tasks[[#This Row],[Baseline Start]])&gt;0,Tasks[[#This Row],[Baseline Start]],Tasks[[#This Row],[_CalcStart]]))</f>
        <v/>
      </c>
      <c r="AR36" s="61">
        <f>IF(Tasks[[#This Row],[Task Name]]="","",IF(N(Tasks[[#This Row],[Baseline Finish]])&gt;0,Tasks[[#This Row],[Baseline Finish]],Tasks[[#This Row],[_CalcFinish]]))</f>
        <v/>
      </c>
      <c r="AS36" s="21">
        <f>IF(Tasks[[#This Row],[Task Name]]="","",IF(Tasks[[#This Row],[Start]]&gt;=Tasks[[#This Row],[Planned Start]],NETWORKDAYS.INTL(Tasks[[#This Row],[Planned Start]],Tasks[[#This Row],[Start]],WorkWeek,Holidays)-1,1-NETWORKDAYS.INTL(Tasks[[#This Row],[Start]],Tasks[[#This Row],[Planned Start]],WorkWeek,Holidays)))</f>
        <v/>
      </c>
      <c r="AT36" s="61">
        <f>IF(Tasks[[#This Row],[Task Name]]="","",IF(Tasks[[#This Row],[_IsSummary]],MIN(INDEX(Tasks[_LeafLateStart],Tasks[[#This Row],[_Row]]+1):INDEX(Tasks[_LeafLateStart],Tasks[[#This Row],[_Row]]+Tasks[[#This Row],[_Descendants]])),Tasks[[#This Row],[_LeafLateStart]]))</f>
        <v/>
      </c>
      <c r="AU36" s="61">
        <f>IF(Tasks[[#This Row],[Task Name]]="","",IF(Tasks[[#This Row],[_IsSummary]],MAX(INDEX(Tasks[_LeafLateFinish],Tasks[[#This Row],[_Row]]+1):INDEX(Tasks[_LeafLateFinish],Tasks[[#This Row],[_Row]]+Tasks[[#This Row],[_Descendants]])),Tasks[[#This Row],[_LeafLateFinish]]))</f>
        <v/>
      </c>
      <c r="AV36" s="21">
        <f>IF(Tasks[[#This Row],[Task Name]]="","",IF(Tasks[[#This Row],[_IsSummary]],MIN(INDEX(Tasks[_LeafTotalSlack],Tasks[[#This Row],[_Row]]+1):INDEX(Tasks[_LeafTotalSlack],Tasks[[#This Row],[_Row]]+Tasks[[#This Row],[_Descendants]])),Tasks[[#This Row],[_LeafTotalSlack]]))</f>
        <v/>
      </c>
      <c r="AW3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3" t="n"/>
      <c r="BA3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f>IF(Tasks[[#This Row],[Task Name]]="","",IF(Tasks[[#This Row],[_Level]]&lt;=OutlineShowLevel,"Yes","No"))</f>
        <v/>
      </c>
      <c r="BE36" s="84">
        <f>IF(Tasks[[#This Row],[Task Name]]="","",IF(Tasks[[#This Row],[_IsSummary]],SUM(INDEX(Tasks[_LeafTotalWork],Tasks[[#This Row],[_Row]]+1):INDEX(Tasks[_LeafTotalWork],Tasks[[#This Row],[_Row]]+Tasks[[#This Row],[_Descendants]])),Tasks[[#This Row],[_LeafTotalWork]]))</f>
        <v/>
      </c>
      <c r="BF36" s="23" t="n"/>
      <c r="BG3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f>""</f>
        <v/>
      </c>
      <c r="BI36" s="85" t="n"/>
      <c r="BJ36" s="22" t="n"/>
      <c r="BK36" s="21">
        <f>IF(OR(Tasks[[#This Row],[Task Name]]="",Tasks[[#This Row],[Baseline Duration]]=""),"",Tasks[[#This Row],[_SpanDays]]-N(Tasks[[#This Row],[Baseline Duration]]))</f>
        <v/>
      </c>
      <c r="BL36" s="84">
        <f>IF(OR(Tasks[[#This Row],[Task Name]]="",Tasks[[#This Row],[Baseline Work]]=""),"",Tasks[[#This Row],[Work]]-N(Tasks[[#This Row],[Baseline Work]]))</f>
        <v/>
      </c>
      <c r="BM36" s="61">
        <f>IF(Tasks[[#This Row],[Task Name]]="","",IF(OR(TakeBaseline="Yes",N(Tasks[[#This Row],[Baseline Start]])=0),Tasks[[#This Row],[Start]],Tasks[[#This Row],[Baseline Start]]))</f>
        <v/>
      </c>
      <c r="BN36" s="61">
        <f>IF(Tasks[[#This Row],[Task Name]]="","",IF(OR(TakeBaseline="Yes",N(Tasks[[#This Row],[Baseline Finish]])=0),Tasks[[#This Row],[Finish]],Tasks[[#This Row],[Baseline Finish]]))</f>
        <v/>
      </c>
      <c r="BO36" s="21">
        <f>IF(Tasks[[#This Row],[Task Name]]="","",IF(OR(TakeBaseline="Yes",N(Tasks[[#This Row],[Baseline Duration]])=0),Tasks[[#This Row],[_SpanDays]],Tasks[[#This Row],[Baseline Duration]]))</f>
        <v/>
      </c>
      <c r="BP36" s="84">
        <f>IF(Tasks[[#This Row],[Task Name]]="","",IF(OR(TakeBaseline="Yes",N(Tasks[[#This Row],[Baseline Work]])=0),Tasks[[#This Row],[Work]],Tasks[[#This Row],[Baseline Work]]))</f>
        <v/>
      </c>
      <c r="BQ36" s="7" t="n"/>
      <c r="BR36" s="7" t="n"/>
      <c r="BS36" s="22" t="n"/>
      <c r="BT36" s="86" t="n"/>
      <c r="BU36" s="23" t="n"/>
      <c r="BV36" s="23" t="n"/>
      <c r="BW36" s="23" t="n"/>
      <c r="BX36" s="87">
        <f>IF(AND(Tasks[[#This Row],[_IsLeaf]]=1,ISNUMBER(Tasks[[#This Row],[Optimistic]]),ISNUMBER(Tasks[[#This Row],[Pessimistic]])),ROUND((Tasks[[#This Row],[Optimistic]]+4*N(Tasks[[#This Row],[_Days]])+Tasks[[#This Row],[Pessimistic]])/6,1),"")</f>
        <v/>
      </c>
      <c r="BY36" s="85" t="n"/>
      <c r="BZ36" s="85" t="n"/>
      <c r="CA36" s="22" t="n"/>
      <c r="CB36" s="42">
        <f>IF(Tasks[[#This Row],[Task Name]]="","",MAX(1,N(Tasks[[#This Row],[Level]])))</f>
        <v/>
      </c>
      <c r="CC36" s="42">
        <f>ROW()-ROW(Tasks[[#Headers],[ID]])</f>
        <v/>
      </c>
      <c r="CD36" s="42">
        <f>IF(OR(Tasks[[#This Row],[Task Name]]="",Tasks[[#This Row],[_Level]]&lt;=1),0,IFERROR(LOOKUP(2,1/(Tasks[[#Headers],[_Level]]:Tasks[[#This Row],[_Level]]=Tasks[[#This Row],[_Level]]-1),ROW(Tasks[[#Headers],[_Level]]:Tasks[[#This Row],[_Level]])),0))</f>
        <v/>
      </c>
      <c r="CE36" s="42">
        <f>IFERROR(N(INDEX(Tasks[_Level],Tasks[[#This Row],[_Row]]+1)),0)</f>
        <v/>
      </c>
      <c r="CF36" s="42">
        <f>AND(Tasks[[#This Row],[Task Name]]&lt;&gt;"",Tasks[[#This Row],[_NextLevel]]&gt;Tasks[[#This Row],[_Level]])</f>
        <v/>
      </c>
      <c r="CG36" s="42">
        <f>IF(Tasks[[#This Row],[_IsSummary]],COUNTIF(Tasks[WBS],Tasks[[#This Row],[WBS]]&amp;".*"),0)</f>
        <v/>
      </c>
      <c r="CH36" s="42">
        <f>IF(AND(Tasks[[#This Row],[Task Name]]&lt;&gt;"",NOT(Tasks[[#This Row],[_IsSummary]])),1,0)</f>
        <v/>
      </c>
      <c r="CI36" s="42">
        <f>IF(N(Tasks[[#This Row],[_Pred1UID]])=0,0,IFERROR(MATCH(Tasks[[#This Row],[_Pred1UID]],Tasks[UID],0),-1))</f>
        <v/>
      </c>
      <c r="CJ36" s="42">
        <f>IF(N(Tasks[[#This Row],[_Pred2UID]])=0,0,IFERROR(MATCH(Tasks[[#This Row],[_Pred2UID]],Tasks[UID],0),-1))</f>
        <v/>
      </c>
      <c r="CK36" s="42">
        <f>IF(N(Tasks[[#This Row],[_Pred3UID]])=0,0,IFERROR(MATCH(Tasks[[#This Row],[_Pred3UID]],Tasks[UID],0),-1))</f>
        <v/>
      </c>
      <c r="CL36" s="42">
        <f>IF(N(Tasks[[#This Row],[_Pred4UID]])=0,0,IFERROR(MATCH(Tasks[[#This Row],[_Pred4UID]],Tasks[UID],0),-1))</f>
        <v/>
      </c>
      <c r="CM3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6" s="88">
        <f>IF(N(Tasks[[#This Row],[Constraint Date]])=0,0,IF(AND(OR(Tasks[[#This Row],[_ConstraintCode]]=3,Tasks[[#This Row],[_ConstraintCode]]=6,Tasks[[#This Row],[_ConstraintCode]]=7),N(Tasks[[#This Row],[_Days]])&gt;1),WORKDAY.INTL(N(Tasks[[#This Row],[Constraint Date]]),-(N(Tasks[[#This Row],[_Days]])-1),WorkWeek,Holidays),N(Tasks[[#This Row],[Constraint Date]])))</f>
        <v/>
      </c>
      <c r="CO36" s="88">
        <f>IF(OR(Tasks[[#This Row],[_ConstraintCode]]=2,Tasks[[#This Row],[_ConstraintCode]]=3,Tasks[[#This Row],[_ConstraintCode]]=4,Tasks[[#This Row],[_ConstraintCode]]=6),Tasks[[#This Row],[_ConstraintStart]],0)</f>
        <v/>
      </c>
      <c r="CP36" s="88">
        <f>IF(OR(Tasks[[#This Row],[_ConstraintCode]]=2,Tasks[[#This Row],[_ConstraintCode]]=3,Tasks[[#This Row],[_ConstraintCode]]=5,Tasks[[#This Row],[_ConstraintCode]]=7),Tasks[[#This Row],[_ConstraintStart]],2958465)</f>
        <v/>
      </c>
      <c r="CQ3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6" s="88">
        <f>IF(NOT(Tasks[[#This Row],[_IsLeaf]]=1),"",IF(N(Tasks[[#This Row],[_Days]])&lt;=0,Tasks[[#This Row],[_LeafCalcStart]],WORKDAY.INTL(Tasks[[#This Row],[_LeafCalcStart]],Tasks[[#This Row],[_Days]]-1,WorkWeek,Holidays)))</f>
        <v/>
      </c>
      <c r="CS3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6" s="42">
        <f>IF(Tasks[[#This Row],[_Predecessors]]="","",TRIM(MID(SUBSTITUTE(SUBSTITUTE(SUBSTITUTE(UPPER(Tasks[[#This Row],[_Predecessors]]),";",",")," ",""),",",REPT(" ",99)),1,99)))</f>
        <v/>
      </c>
      <c r="CV36" s="42">
        <f>IF(Tasks[[#This Row],[_Pred1Text]]="","",IFERROR(VALUE(LEFT(Tasks[[#This Row],[_Pred1Text]],MIN(FIND("F",Tasks[[#This Row],[_Pred1Text]]&amp;"F"),FIND("S",Tasks[[#This Row],[_Pred1Text]]&amp;"S"),FIND("+",Tasks[[#This Row],[_Pred1Text]]&amp;"+"),FIND("-",Tasks[[#This Row],[_Pred1Text]]&amp;"-"))-1)),""))</f>
        <v/>
      </c>
      <c r="CW3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6" s="42">
        <f>IF(Tasks[[#This Row],[_Pred1Text]]="","",TRIM(MID(SUBSTITUTE(SUBSTITUTE(SUBSTITUTE(UPPER(Tasks[[#This Row],[_Predecessors]]),";",",")," ",""),",",REPT(" ",99)),100,99)))</f>
        <v/>
      </c>
      <c r="CZ36" s="42">
        <f>IF(Tasks[[#This Row],[_Pred2Text]]="","",IFERROR(VALUE(LEFT(Tasks[[#This Row],[_Pred2Text]],MIN(FIND("F",Tasks[[#This Row],[_Pred2Text]]&amp;"F"),FIND("S",Tasks[[#This Row],[_Pred2Text]]&amp;"S"),FIND("+",Tasks[[#This Row],[_Pred2Text]]&amp;"+"),FIND("-",Tasks[[#This Row],[_Pred2Text]]&amp;"-"))-1)),""))</f>
        <v/>
      </c>
      <c r="DA3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6" s="42">
        <f>IF(Tasks[[#This Row],[_Pred2Text]]="","",TRIM(MID(SUBSTITUTE(SUBSTITUTE(SUBSTITUTE(UPPER(Tasks[[#This Row],[_Predecessors]]),";",",")," ",""),",",REPT(" ",99)),199,99)))</f>
        <v/>
      </c>
      <c r="DD36" s="42">
        <f>IF(Tasks[[#This Row],[_Pred3Text]]="","",IFERROR(VALUE(LEFT(Tasks[[#This Row],[_Pred3Text]],MIN(FIND("F",Tasks[[#This Row],[_Pred3Text]]&amp;"F"),FIND("S",Tasks[[#This Row],[_Pred3Text]]&amp;"S"),FIND("+",Tasks[[#This Row],[_Pred3Text]]&amp;"+"),FIND("-",Tasks[[#This Row],[_Pred3Text]]&amp;"-"))-1)),""))</f>
        <v/>
      </c>
      <c r="DE3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6" s="42">
        <f>IF(Tasks[[#This Row],[_Pred3Text]]="","",TRIM(MID(SUBSTITUTE(SUBSTITUTE(SUBSTITUTE(UPPER(Tasks[[#This Row],[_Predecessors]]),";",",")," ",""),",",REPT(" ",99)),298,99)))</f>
        <v/>
      </c>
      <c r="DH36" s="42">
        <f>IF(Tasks[[#This Row],[_Pred4Text]]="","",IFERROR(VALUE(LEFT(Tasks[[#This Row],[_Pred4Text]],MIN(FIND("F",Tasks[[#This Row],[_Pred4Text]]&amp;"F"),FIND("S",Tasks[[#This Row],[_Pred4Text]]&amp;"S"),FIND("+",Tasks[[#This Row],[_Pred4Text]]&amp;"+"),FIND("-",Tasks[[#This Row],[_Pred4Text]]&amp;"-"))-1)),""))</f>
        <v/>
      </c>
      <c r="DI3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6" s="42">
        <f>IF(OR(Tasks[[#This Row],[Task Name]]="",Tasks[[#This Row],[_Resources]]=""),"",TRIM(MID(SUBSTITUTE(Tasks[[#This Row],[_Resources]],",",REPT(" ",99)),1,99)))</f>
        <v/>
      </c>
      <c r="DL36" s="42">
        <f>IF(Tasks[[#This Row],[_Res1Text]]="","",TRIM(MID(SUBSTITUTE(Tasks[[#This Row],[_Resources]],",",REPT(" ",99)),100,99)))</f>
        <v/>
      </c>
      <c r="DM36" s="42">
        <f>IF(Tasks[[#This Row],[_Res2Text]]="","",TRIM(MID(SUBSTITUTE(Tasks[[#This Row],[_Resources]],",",REPT(" ",99)),199,99)))</f>
        <v/>
      </c>
      <c r="DN36" s="42">
        <f>IF(Tasks[[#This Row],[_Res3Text]]="","",TRIM(MID(SUBSTITUTE(Tasks[[#This Row],[_Resources]],",",REPT(" ",99)),298,99)))</f>
        <v/>
      </c>
      <c r="DO36" s="42">
        <f>IF(Tasks[[#This Row],[_Res1Text]]="",0,IFERROR(MATCH(TRIM(LEFT(Tasks[[#This Row],[_Res1Text]],FIND("[",Tasks[[#This Row],[_Res1Text]]&amp;"[")-1)),res_Name,0),IFERROR(MATCH(TRIM(LEFT(Tasks[[#This Row],[_Res1Text]],FIND("[",Tasks[[#This Row],[_Res1Text]]&amp;"[")-1)),res_Initials,0),0)))</f>
        <v/>
      </c>
      <c r="DP36" s="42">
        <f>IF(Tasks[[#This Row],[_Res2Text]]="",0,IFERROR(MATCH(TRIM(LEFT(Tasks[[#This Row],[_Res2Text]],FIND("[",Tasks[[#This Row],[_Res2Text]]&amp;"[")-1)),res_Name,0),IFERROR(MATCH(TRIM(LEFT(Tasks[[#This Row],[_Res2Text]],FIND("[",Tasks[[#This Row],[_Res2Text]]&amp;"[")-1)),res_Initials,0),0)))</f>
        <v/>
      </c>
      <c r="DQ36" s="42">
        <f>IF(Tasks[[#This Row],[_Res3Text]]="",0,IFERROR(MATCH(TRIM(LEFT(Tasks[[#This Row],[_Res3Text]],FIND("[",Tasks[[#This Row],[_Res3Text]]&amp;"[")-1)),res_Name,0),IFERROR(MATCH(TRIM(LEFT(Tasks[[#This Row],[_Res3Text]],FIND("[",Tasks[[#This Row],[_Res3Text]]&amp;"[")-1)),res_Initials,0),0)))</f>
        <v/>
      </c>
      <c r="DR36" s="42">
        <f>IF(Tasks[[#This Row],[_Res4Text]]="",0,IFERROR(MATCH(TRIM(LEFT(Tasks[[#This Row],[_Res4Text]],FIND("[",Tasks[[#This Row],[_Res4Text]]&amp;"[")-1)),res_Name,0),IFERROR(MATCH(TRIM(LEFT(Tasks[[#This Row],[_Res4Text]],FIND("[",Tasks[[#This Row],[_Res4Text]]&amp;"[")-1)),res_Initials,0),0)))</f>
        <v/>
      </c>
      <c r="DS36" s="42">
        <f>IF(Tasks[[#This Row],[_Res1Text]]="","",IF(Tasks[[#This Row],[_Res1Row]]&gt;0,INDEX(res_Name,Tasks[[#This Row],[_Res1Row]]),TRIM(LEFT(Tasks[[#This Row],[_Res1Text]],FIND("[",Tasks[[#This Row],[_Res1Text]]&amp;"[")-1))))</f>
        <v/>
      </c>
      <c r="DT3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6" s="42">
        <f>IF(NOT(Tasks[[#This Row],[_IsLeaf]]=1),0,(Tasks[[#This Row],[_Resource1]]&lt;&gt;"")+(Tasks[[#This Row],[_Res2]]&lt;&gt;"")+(Tasks[[#This Row],[_Res3]]&lt;&gt;"")+(Tasks[[#This Row],[_Res4]]&lt;&gt;""))</f>
        <v/>
      </c>
      <c r="DV36" s="42">
        <f>IF(Tasks[[#This Row],[_Res2Text]]="","",IF(Tasks[[#This Row],[_Res2Row]]&gt;0,INDEX(res_Name,Tasks[[#This Row],[_Res2Row]]),TRIM(LEFT(Tasks[[#This Row],[_Res2Text]],FIND("[",Tasks[[#This Row],[_Res2Text]]&amp;"[")-1))))</f>
        <v/>
      </c>
      <c r="DW3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6" s="42">
        <f>IF(OR(NOT(Tasks[[#This Row],[_IsLeaf]]=1),Tasks[[#This Row],[_Res2Row]]=0),0,N(Tasks[[#This Row],[_Days]])*HoursPerDay*IF(Tasks[[#This Row],[_Res2Units]]="",DefaultUnits,Tasks[[#This Row],[_Res2Units]]))</f>
        <v/>
      </c>
      <c r="DY36" s="42">
        <f>IF(AND(AND(Tasks[[#This Row],[_IsLeaf]]=1,Tasks[[#This Row],[_LeafTotalWork]]&gt;0),Tasks[[#This Row],[_Res2Work]]&gt;0),Tasks[[#This Row],[_Res2Work]]/(Tasks[[#This Row],[_FinishWorkday]]-Tasks[[#This Row],[_StartWorkday]]+1),0)</f>
        <v/>
      </c>
      <c r="DZ36" s="42">
        <f>Tasks[[#This Row],[_Res2WorkPerWD]]*MAX(0,Tasks[[#This Row],[_StartWorkday]]-1)</f>
        <v/>
      </c>
      <c r="EA36" s="42">
        <f>Tasks[[#This Row],[_Res2Work]]*Tasks[[#This Row],[_LeafProgress]]</f>
        <v/>
      </c>
      <c r="EB36" s="42">
        <f>IF(Tasks[[#This Row],[_Res3Text]]="","",IF(Tasks[[#This Row],[_Res3Row]]&gt;0,INDEX(res_Name,Tasks[[#This Row],[_Res3Row]]),TRIM(LEFT(Tasks[[#This Row],[_Res3Text]],FIND("[",Tasks[[#This Row],[_Res3Text]]&amp;"[")-1))))</f>
        <v/>
      </c>
      <c r="EC3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6" s="42">
        <f>IF(OR(NOT(Tasks[[#This Row],[_IsLeaf]]=1),Tasks[[#This Row],[_Res3Row]]=0),0,N(Tasks[[#This Row],[_Days]])*HoursPerDay*IF(Tasks[[#This Row],[_Res3Units]]="",DefaultUnits,Tasks[[#This Row],[_Res3Units]]))</f>
        <v/>
      </c>
      <c r="EE36" s="42">
        <f>IF(AND(AND(Tasks[[#This Row],[_IsLeaf]]=1,Tasks[[#This Row],[_LeafTotalWork]]&gt;0),Tasks[[#This Row],[_Res3Work]]&gt;0),Tasks[[#This Row],[_Res3Work]]/(Tasks[[#This Row],[_FinishWorkday]]-Tasks[[#This Row],[_StartWorkday]]+1),0)</f>
        <v/>
      </c>
      <c r="EF36" s="42">
        <f>Tasks[[#This Row],[_Res3WorkPerWD]]*MAX(0,Tasks[[#This Row],[_StartWorkday]]-1)</f>
        <v/>
      </c>
      <c r="EG36" s="42">
        <f>Tasks[[#This Row],[_Res3Work]]*Tasks[[#This Row],[_LeafProgress]]</f>
        <v/>
      </c>
      <c r="EH36" s="42">
        <f>IF(Tasks[[#This Row],[_Res4Text]]="","",IF(Tasks[[#This Row],[_Res4Row]]&gt;0,INDEX(res_Name,Tasks[[#This Row],[_Res4Row]]),TRIM(LEFT(Tasks[[#This Row],[_Res4Text]],FIND("[",Tasks[[#This Row],[_Res4Text]]&amp;"[")-1))))</f>
        <v/>
      </c>
      <c r="EI3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6" s="42">
        <f>IF(OR(NOT(Tasks[[#This Row],[_IsLeaf]]=1),Tasks[[#This Row],[_Res4Row]]=0),0,N(Tasks[[#This Row],[_Days]])*HoursPerDay*IF(Tasks[[#This Row],[_Res4Units]]="",DefaultUnits,Tasks[[#This Row],[_Res4Units]]))</f>
        <v/>
      </c>
      <c r="EK36" s="42">
        <f>IF(AND(AND(Tasks[[#This Row],[_IsLeaf]]=1,Tasks[[#This Row],[_LeafTotalWork]]&gt;0),Tasks[[#This Row],[_Res4Work]]&gt;0),Tasks[[#This Row],[_Res4Work]]/(Tasks[[#This Row],[_FinishWorkday]]-Tasks[[#This Row],[_StartWorkday]]+1),0)</f>
        <v/>
      </c>
      <c r="EL36" s="42">
        <f>Tasks[[#This Row],[_Res4WorkPerWD]]*MAX(0,Tasks[[#This Row],[_StartWorkday]]-1)</f>
        <v/>
      </c>
      <c r="EM36" s="42">
        <f>Tasks[[#This Row],[_Res4Work]]*Tasks[[#This Row],[_LeafProgress]]</f>
        <v/>
      </c>
      <c r="EN36" s="42">
        <f>IF(ISNUMBER(Tasks[[#This Row],[% Complete]]),Tasks[[#This Row],[% Complete]],IF(Tasks[[#This Row],[Stage]]="",0,IFERROR(INDEX(stg_Pct,MATCH(Tasks[[#This Row],[Stage]],stg_Name,0)),0)))</f>
        <v/>
      </c>
      <c r="EO36" s="42">
        <f>IF(NOT(Tasks[[#This Row],[_IsLeaf]]=1),0,IF(N(Tasks[[#This Row],[Actual Finish]])&gt;0,1,MIN(1,Tasks[[#This Row],[_Pct]])))</f>
        <v/>
      </c>
      <c r="EP36" s="42">
        <f>IF(OR(NOT(Tasks[[#This Row],[_IsLeaf]]=1),Tasks[[#This Row],[_Res1Row]]=0),0,N(Tasks[[#This Row],[_Days]])*HoursPerDay*IF(Tasks[[#This Row],[_Units1]]="",DefaultUnits,Tasks[[#This Row],[_Units1]]))</f>
        <v/>
      </c>
      <c r="EQ36" s="42">
        <f>Tasks[[#This Row],[_LeafWork]]+Tasks[[#This Row],[_Res2Work]]+Tasks[[#This Row],[_Res3Work]]+Tasks[[#This Row],[_Res4Work]]</f>
        <v/>
      </c>
      <c r="ER3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6" s="42">
        <f>IF(NOT(Tasks[[#This Row],[_IsLeaf]]=1),0,MAX(_xlfn.MAXIFS(Tasks[_Row],Tasks[_Pred1UID],Tasks[[#This Row],[UID]]),_xlfn.MAXIFS(Tasks[_Row],Tasks[_Pred2UID],Tasks[[#This Row],[UID]]),_xlfn.MAXIFS(Tasks[_Row],Tasks[_Pred3UID],Tasks[[#This Row],[UID]]),_xlfn.MAXIFS(Tasks[_Row],Tasks[_Pred4UID],Tasks[[#This Row],[UID]])))</f>
        <v/>
      </c>
      <c r="FA3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6" s="88">
        <f>IF(NOT(Tasks[[#This Row],[_IsLeaf]]=1),"",IF(N(Tasks[[#This Row],[_Days]])&lt;=0,Tasks[[#This Row],[_LeafLateFinish]],WORKDAY.INTL(Tasks[[#This Row],[_LeafLateFinish]],-(Tasks[[#This Row],[_Days]]-1),WorkWeek,Holidays)))</f>
        <v/>
      </c>
      <c r="FD3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6" s="42">
        <f>AND(Tasks[[#This Row],[_IsLeaf]]=1,Tasks[[#This Row],[_LeafProgress]]&lt;1,N(Tasks[[#This Row],[_LeafTotalSlack]])&lt;=CriticalSlackDays)</f>
        <v/>
      </c>
      <c r="FF36" s="42">
        <f>IF(AND(Tasks[[#This Row],[_IsLeaf]]=1,Tasks[[#This Row],[_ConstraintCode]]=1,Tasks[[#This Row],[Mode]]&lt;&gt;"Manual",N(Tasks[[#This Row],[Actual Start]])=0),MAX(0,N(Tasks[[#This Row],[Free Slack]])),0)</f>
        <v/>
      </c>
      <c r="FG36" s="88">
        <f>IF(NOT(Tasks[[#This Row],[_IsLeaf]]=1),"",IF(Tasks[[#This Row],[_AlapShift]]=0,Tasks[[#This Row],[_LeafCalcStart]],WORKDAY.INTL(Tasks[[#This Row],[_LeafCalcStart]],Tasks[[#This Row],[_AlapShift]],WorkWeek,Holidays)))</f>
        <v/>
      </c>
      <c r="FH36" s="88">
        <f>IF(NOT(Tasks[[#This Row],[_IsLeaf]]=1),"",IF(Tasks[[#This Row],[_AlapShift]]=0,Tasks[[#This Row],[_LeafCalcFinish]],WORKDAY.INTL(Tasks[[#This Row],[_LeafCalcFinish]],Tasks[[#This Row],[_AlapShift]],WorkWeek,Holidays)))</f>
        <v/>
      </c>
      <c r="FI36" s="88">
        <f>IF(NOT(Tasks[[#This Row],[_IsLeaf]]=1),"",IF(Tasks[[#This Row],[_AlapShift]]=0,Tasks[[#This Row],[_LeafFcstStart]],WORKDAY.INTL(Tasks[[#This Row],[_LeafFcstStart]],Tasks[[#This Row],[_AlapShift]],WorkWeek,Holidays)))</f>
        <v/>
      </c>
      <c r="FJ36" s="88">
        <f>IF(NOT(Tasks[[#This Row],[_IsLeaf]]=1),"",IF(Tasks[[#This Row],[_AlapShift]]=0,Tasks[[#This Row],[_LeafFcstFinish]],WORKDAY.INTL(Tasks[[#This Row],[_LeafFcstFinish]],Tasks[[#This Row],[_AlapShift]],WorkWeek,Holidays)))</f>
        <v/>
      </c>
      <c r="FK36" s="88">
        <f>IF(Tasks[[#This Row],[Task Name]]="","",IF(Tasks[[#This Row],[_IsSummary]],MIN(INDEX(Tasks[_ShownCalcStart],Tasks[[#This Row],[_Row]]+1):INDEX(Tasks[_ShownCalcStart],Tasks[[#This Row],[_Row]]+Tasks[[#This Row],[_Descendants]])),Tasks[[#This Row],[_ShownCalcStart]]))</f>
        <v/>
      </c>
      <c r="FL36" s="88">
        <f>IF(Tasks[[#This Row],[Task Name]]="","",IF(Tasks[[#This Row],[_IsSummary]],MAX(INDEX(Tasks[_ShownCalcFinish],Tasks[[#This Row],[_Row]]+1):INDEX(Tasks[_ShownCalcFinish],Tasks[[#This Row],[_Row]]+Tasks[[#This Row],[_Descendants]])),Tasks[[#This Row],[_ShownCalcFinish]]))</f>
        <v/>
      </c>
      <c r="FM3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6" s="42">
        <f>IF(AND(Tasks[[#This Row],[_IsLeaf]]=1,Tasks[[#This Row],[_LeafTotalWork]]&gt;0),NETWORKDAYS.INTL(ProjectStart,Tasks[[#This Row],[_ShownFcstStart]],WorkWeek,Holidays),0)</f>
        <v/>
      </c>
      <c r="FZ36" s="42">
        <f>IF(AND(Tasks[[#This Row],[_IsLeaf]]=1,Tasks[[#This Row],[_LeafTotalWork]]&gt;0),MAX(Tasks[[#This Row],[_StartWorkday]],NETWORKDAYS.INTL(ProjectStart,Tasks[[#This Row],[_ShownFcstFinish]],WorkWeek,Holidays)),0)</f>
        <v/>
      </c>
      <c r="GA36" s="42">
        <f>IF(AND(Tasks[[#This Row],[_IsLeaf]]=1,Tasks[[#This Row],[_LeafTotalWork]]&gt;0),Tasks[[#This Row],[_LeafWork]]/(Tasks[[#This Row],[_FinishWorkday]]-Tasks[[#This Row],[_StartWorkday]]+1),0)</f>
        <v/>
      </c>
      <c r="GB36" s="42">
        <f>Tasks[[#This Row],[_WorkPerWorkday]]*(Tasks[[#This Row],[_StartWorkday]]-1)</f>
        <v/>
      </c>
      <c r="GC36" s="42">
        <f>IF(Tasks[[#This Row],[_IsLeaf]]=1,MAX(N(Tasks[[#This Row],[_Days]]),0.1),0)</f>
        <v/>
      </c>
      <c r="GD36" s="42">
        <f>Tasks[[#This Row],[_WeightDur]]*Tasks[[#This Row],[_LeafProgress]]</f>
        <v/>
      </c>
      <c r="GE36" s="42">
        <f>Tasks[[#This Row],[_WeightDur]]*Tasks[[#This Row],[_PlannedPct]]</f>
        <v/>
      </c>
      <c r="GF3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6" s="42">
        <f>IF(AND(Tasks[[#This Row],[_IsLeaf]]=1,N(Tasks[[#This Row],[_Days]])=0,Tasks[[#This Row],[_LeafProgress]]&lt;1),Tasks[[#This Row],[_ShownFcstFinish]]+Tasks[[#This Row],[_Row]]/100000,"")</f>
        <v/>
      </c>
      <c r="GH3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6" s="42">
        <f>IF(Tasks[[#This Row],[Task Name]]="","",LEFT(Tasks[[#This Row],[WBS]],FIND(".",Tasks[[#This Row],[WBS]]&amp;".")-1))</f>
        <v/>
      </c>
      <c r="GJ36" s="42">
        <f>IF(AND(Tasks[[#This Row],[Task Name]]&lt;&gt;"",Tasks[[#This Row],[_Level]]=1),Tasks[[#This Row],[_Row]],"")</f>
        <v/>
      </c>
      <c r="GK36" s="42">
        <f>IF(AND(Tasks[[#This Row],[_IsLeaf]]=1,N(Tasks[[#This Row],[_Days]])=0),Tasks[[#This Row],[Planned Finish]]+Tasks[[#This Row],[_Row]]/100000,"")</f>
        <v/>
      </c>
      <c r="GL36" s="42">
        <f>IF(AND(Tasks[[#This Row],[_IsLeaf]]=1,Tasks[[#This Row],[_LeafProgress]]&lt;1,OR(N(Tasks[[#This Row],[Finish Var]])&gt;0,Tasks[[#This Row],[Status]]="Late Start")),MAX(0,Tasks[[#This Row],[Finish Var]])+1-Tasks[[#This Row],[_Row]]/1000000,"")</f>
        <v/>
      </c>
      <c r="GM36" s="42">
        <f>IF(AND(Tasks[[#This Row],[_IsLeaf]]=1,N(Tasks[[#This Row],[Actual Start]])=0,Tasks[[#This Row],[_ShownFcstStart]]&gt;=StatusDate,Tasks[[#This Row],[_ShownFcstStart]]&lt;=LookaheadEnd),Tasks[[#This Row],[_ShownFcstStart]]+Tasks[[#This Row],[_Row]]/100000,"")</f>
        <v/>
      </c>
      <c r="GN36" s="42">
        <f>IF(AND(Tasks[[#This Row],[_IsLeaf]]=1,Tasks[[#This Row],[_LeafProgress]]&lt;1,Tasks[[#This Row],[_ShownFcstFinish]]&gt;=StatusDate,Tasks[[#This Row],[_ShownFcstFinish]]&lt;=LookaheadEnd),Tasks[[#This Row],[_ShownFcstFinish]]+Tasks[[#This Row],[_Row]]/100000,"")</f>
        <v/>
      </c>
      <c r="GO36" s="42">
        <f>IF(Tasks[[#This Row],[_LeafCritical]],Tasks[[#This Row],[_ShownFcstStart]]+Tasks[[#This Row],[_Row]]/100000,"")</f>
        <v/>
      </c>
      <c r="GP36" s="42">
        <f>Tasks[[#This Row],[_LeafWork]]*Tasks[[#This Row],[_LeafProgress]]</f>
        <v/>
      </c>
      <c r="GQ36" s="88">
        <f>IF(AND(Tasks[[#This Row],[_IsLeaf]]=1,Tasks[[#This Row],[_LeafProgress]]&gt;=1),IF(N(Tasks[[#This Row],[Actual Finish]])&gt;0,Tasks[[#This Row],[Actual Finish]],Tasks[[#This Row],[_ShownFcstFinish]]),"")</f>
        <v/>
      </c>
      <c r="GR36" s="42">
        <f>IF(Tasks[[#This Row],[_IsLeaf]]=1,N(Tasks[[#This Row],[Story Points]]),0)</f>
        <v/>
      </c>
      <c r="GS36" s="42">
        <f>""</f>
        <v/>
      </c>
      <c r="GT36" s="42">
        <f>IF(Tasks[[#This Row],[Task Name]]="",FALSE(),AND(Tasks[[#This Row],[_IsLeaf]]=1,N(Tasks[[#This Row],[_Days]])=0))</f>
        <v/>
      </c>
      <c r="GU36" s="88">
        <f>IF(Tasks[[#This Row],[Task Name]]="",0,IF(AND(Tasks[[#This Row],[_IsLeaf]]=1,NOT(Tasks[[#This Row],[_IsMilestone]]),N(Tasks[[#This Row],[Progress]])&gt;0),Tasks[[#This Row],[Start]],0))</f>
        <v/>
      </c>
      <c r="GV36" s="88">
        <f>IF(Tasks[[#This Row],[_DoneFrom]]=0,0,IF(Tasks[[#This Row],[Progress]]&gt;=1,Tasks[[#This Row],[Finish]],MAX(Tasks[[#This Row],[_DoneFrom]],Tasks[[#This Row],[Start]]+ROUND((Tasks[[#This Row],[Finish]]-Tasks[[#This Row],[Start]]+1)*Tasks[[#This Row],[Progress]],0)-1)))</f>
        <v/>
      </c>
      <c r="GW36" s="88">
        <f>IF(Tasks[[#This Row],[Task Name]]="",0,IF(OR(NOT(Tasks[[#This Row],[_IsLeaf]]=1),Tasks[[#This Row],[_IsMilestone]],N(Tasks[[#This Row],[Progress]])&gt;=1),0,IF(Tasks[[#This Row],[_DoneTo]]&gt;0,Tasks[[#This Row],[_DoneTo]]+1,Tasks[[#This Row],[Start]])))</f>
        <v/>
      </c>
      <c r="GX36" s="88">
        <f>IF(Tasks[[#This Row],[_RemFrom]]=0,0,Tasks[[#This Row],[Finish]])</f>
        <v/>
      </c>
      <c r="GY36" s="42">
        <f>IF(Tasks[[#This Row],[Task Name]]="",FALSE(),OR(NOT(BaselineSet),N(Tasks[[#This Row],[Baseline Start]])&gt;0))</f>
        <v/>
      </c>
      <c r="GZ36" s="42">
        <f>IF(AND(Sandbox="Yes",L_PARSE_DURATION(Tasks[[#This Row],[Sandbox Duration]])&lt;&gt;""),L_PARSE_DURATION(Tasks[[#This Row],[Sandbox Duration]]),L_PARSE_DURATION(Tasks[[#This Row],[Duration]]))</f>
        <v/>
      </c>
      <c r="HA3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6" s="42">
        <f>IF(Tasks[[#This Row],[_IsLeaf]]=1,Tasks[[#This Row],[_Row]],"")</f>
        <v/>
      </c>
      <c r="HD36" s="42">
        <f>IFERROR(INDEX(Tasks[UID],SMALL(Tasks[_PickKey],Tasks[[#This Row],[_Row]]))&amp;" "&amp;INDEX(Tasks[Task Name],SMALL(Tasks[_PickKey],Tasks[[#This Row],[_Row]])),"")</f>
        <v/>
      </c>
      <c r="HE36" s="42">
        <f>IF(Tasks[[#This Row],[Task Name]]="","",IF(Tasks[[#This Row],[_IsSummary]],NETWORKDAYS.INTL(Tasks[[#This Row],[Start]],Tasks[[#This Row],[Finish]],WorkWeek,Holidays),N(Tasks[[#This Row],[_Days]])))</f>
        <v/>
      </c>
      <c r="HF36" s="42">
        <f>IF(Tasks[[#This Row],[Expected]]="",0,((Tasks[[#This Row],[Pessimistic]]-Tasks[[#This Row],[Optimistic]])/6)^2)</f>
        <v/>
      </c>
      <c r="HG36" s="42">
        <f>IF(Tasks[[#This Row],[Expected]]="",0,Tasks[[#This Row],[Expected]]-N(Tasks[[#This Row],[_Days]]))</f>
        <v/>
      </c>
    </row>
    <row r="37">
      <c r="A37" s="21">
        <f>IF(Tasks[[#This Row],[Task Name]]="","",COUNTA(Tasks[[#Headers],[Task Name]]:Tasks[[#This Row],[Task Name]])-1)</f>
        <v/>
      </c>
      <c r="B37" s="22" t="n">
        <v>45</v>
      </c>
      <c r="C37" s="22" t="n"/>
      <c r="D37" s="23" t="n"/>
      <c r="E37" s="22" t="n"/>
      <c r="F37" s="23" t="n"/>
      <c r="G37" s="22" t="n"/>
      <c r="H37" s="22" t="n"/>
      <c r="I37" s="23" t="n"/>
      <c r="J37" s="22" t="n"/>
      <c r="K37" s="22" t="n"/>
      <c r="L37" s="23" t="n"/>
      <c r="M37" s="22" t="n"/>
      <c r="N37" s="22" t="n"/>
      <c r="O37" s="23" t="n"/>
      <c r="P37" s="22" t="n"/>
      <c r="Q37" s="22" t="n"/>
      <c r="R37" s="23" t="n"/>
      <c r="S37" s="23" t="n"/>
      <c r="T37" s="82" t="n"/>
      <c r="U37" s="23" t="n"/>
      <c r="V37" s="82" t="n"/>
      <c r="W37" s="23" t="n"/>
      <c r="X37" s="82" t="n"/>
      <c r="Y37" s="23" t="n"/>
      <c r="Z37" s="82" t="n"/>
      <c r="AA37" s="23" t="n"/>
      <c r="AB37" s="23" t="n"/>
      <c r="AC37" s="7" t="n"/>
      <c r="AD37" s="7" t="n"/>
      <c r="AE37" s="61">
        <f>IF(Tasks[[#This Row],[Task Name]]="","",IF(Tasks[[#This Row],[_IsSummary]],MIN(INDEX(Tasks[_ShownFcstStart],Tasks[[#This Row],[_Row]]+1):INDEX(Tasks[_ShownFcstStart],Tasks[[#This Row],[_Row]]+Tasks[[#This Row],[_Descendants]])),Tasks[[#This Row],[_ShownFcstStart]]))</f>
        <v/>
      </c>
      <c r="AF37" s="61">
        <f>IF(Tasks[[#This Row],[Task Name]]="","",IF(Tasks[[#This Row],[_IsSummary]],MAX(INDEX(Tasks[_ShownFcstFinish],Tasks[[#This Row],[_Row]]+1):INDEX(Tasks[_ShownFcstFinish],Tasks[[#This Row],[_Row]]+Tasks[[#This Row],[_Descendants]])),Tasks[[#This Row],[_ShownFcstFinish]]))</f>
        <v/>
      </c>
      <c r="AG37" s="21">
        <f>""</f>
        <v/>
      </c>
      <c r="AH37" s="23" t="n"/>
      <c r="AI3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7" s="7" t="n"/>
      <c r="AK37" s="22" t="n"/>
      <c r="AL37" s="23" t="n"/>
      <c r="AM37" s="7" t="n"/>
      <c r="AN37" s="21">
        <f>IF(Tasks[[#This Row],[Task Name]]="","",IF(Tasks[[#This Row],[Finish]]&gt;=Tasks[[#This Row],[Planned Finish]],NETWORKDAYS.INTL(Tasks[[#This Row],[Planned Finish]],Tasks[[#This Row],[Finish]],WorkWeek,Holidays)-1,1-NETWORKDAYS.INTL(Tasks[[#This Row],[Finish]],Tasks[[#This Row],[Planned Finish]],WorkWeek,Holidays)))</f>
        <v/>
      </c>
      <c r="AO37" s="21">
        <f>IF(Tasks[[#This Row],[Task Name]]="","",IF(Tasks[[#This Row],[Progress]]&gt;=1,"Complete",IF(OR(N(Tasks[[#This Row],[Actual Start]])&gt;0,Tasks[[#This Row],[Progress]]&gt;0),IF(Tasks[[#This Row],[Finish Var]]&gt;0,"Behind","In Progress"),IF(Tasks[[#This Row],[Planned Start]]&lt;StatusDate,"Late Start","Not Started"))))</f>
        <v/>
      </c>
      <c r="AP37" s="21">
        <f>IF(Tasks[[#This Row],[Task Name]]="","",IF(IF(Tasks[[#This Row],[_IsSummary]],COUNTIF(INDEX(Tasks[_LeafCritical],Tasks[[#This Row],[_Row]]+1):INDEX(Tasks[_LeafCritical],Tasks[[#This Row],[_Row]]+Tasks[[#This Row],[_Descendants]]),TRUE())&gt;0,Tasks[[#This Row],[_LeafCritical]]),"Yes",""))</f>
        <v/>
      </c>
      <c r="AQ37" s="61">
        <f>IF(Tasks[[#This Row],[Task Name]]="","",IF(N(Tasks[[#This Row],[Baseline Start]])&gt;0,Tasks[[#This Row],[Baseline Start]],Tasks[[#This Row],[_CalcStart]]))</f>
        <v/>
      </c>
      <c r="AR37" s="61">
        <f>IF(Tasks[[#This Row],[Task Name]]="","",IF(N(Tasks[[#This Row],[Baseline Finish]])&gt;0,Tasks[[#This Row],[Baseline Finish]],Tasks[[#This Row],[_CalcFinish]]))</f>
        <v/>
      </c>
      <c r="AS37" s="21">
        <f>IF(Tasks[[#This Row],[Task Name]]="","",IF(Tasks[[#This Row],[Start]]&gt;=Tasks[[#This Row],[Planned Start]],NETWORKDAYS.INTL(Tasks[[#This Row],[Planned Start]],Tasks[[#This Row],[Start]],WorkWeek,Holidays)-1,1-NETWORKDAYS.INTL(Tasks[[#This Row],[Start]],Tasks[[#This Row],[Planned Start]],WorkWeek,Holidays)))</f>
        <v/>
      </c>
      <c r="AT37" s="61">
        <f>IF(Tasks[[#This Row],[Task Name]]="","",IF(Tasks[[#This Row],[_IsSummary]],MIN(INDEX(Tasks[_LeafLateStart],Tasks[[#This Row],[_Row]]+1):INDEX(Tasks[_LeafLateStart],Tasks[[#This Row],[_Row]]+Tasks[[#This Row],[_Descendants]])),Tasks[[#This Row],[_LeafLateStart]]))</f>
        <v/>
      </c>
      <c r="AU37" s="61">
        <f>IF(Tasks[[#This Row],[Task Name]]="","",IF(Tasks[[#This Row],[_IsSummary]],MAX(INDEX(Tasks[_LeafLateFinish],Tasks[[#This Row],[_Row]]+1):INDEX(Tasks[_LeafLateFinish],Tasks[[#This Row],[_Row]]+Tasks[[#This Row],[_Descendants]])),Tasks[[#This Row],[_LeafLateFinish]]))</f>
        <v/>
      </c>
      <c r="AV37" s="21">
        <f>IF(Tasks[[#This Row],[Task Name]]="","",IF(Tasks[[#This Row],[_IsSummary]],MIN(INDEX(Tasks[_LeafTotalSlack],Tasks[[#This Row],[_Row]]+1):INDEX(Tasks[_LeafTotalSlack],Tasks[[#This Row],[_Row]]+Tasks[[#This Row],[_Descendants]])),Tasks[[#This Row],[_LeafTotalSlack]]))</f>
        <v/>
      </c>
      <c r="AW3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3" t="n"/>
      <c r="BA3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f>IF(Tasks[[#This Row],[Task Name]]="","",IF(Tasks[[#This Row],[_Level]]&lt;=OutlineShowLevel,"Yes","No"))</f>
        <v/>
      </c>
      <c r="BE37" s="84">
        <f>IF(Tasks[[#This Row],[Task Name]]="","",IF(Tasks[[#This Row],[_IsSummary]],SUM(INDEX(Tasks[_LeafTotalWork],Tasks[[#This Row],[_Row]]+1):INDEX(Tasks[_LeafTotalWork],Tasks[[#This Row],[_Row]]+Tasks[[#This Row],[_Descendants]])),Tasks[[#This Row],[_LeafTotalWork]]))</f>
        <v/>
      </c>
      <c r="BF37" s="23" t="n"/>
      <c r="BG3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f>""</f>
        <v/>
      </c>
      <c r="BI37" s="85" t="n"/>
      <c r="BJ37" s="22" t="n"/>
      <c r="BK37" s="21">
        <f>IF(OR(Tasks[[#This Row],[Task Name]]="",Tasks[[#This Row],[Baseline Duration]]=""),"",Tasks[[#This Row],[_SpanDays]]-N(Tasks[[#This Row],[Baseline Duration]]))</f>
        <v/>
      </c>
      <c r="BL37" s="84">
        <f>IF(OR(Tasks[[#This Row],[Task Name]]="",Tasks[[#This Row],[Baseline Work]]=""),"",Tasks[[#This Row],[Work]]-N(Tasks[[#This Row],[Baseline Work]]))</f>
        <v/>
      </c>
      <c r="BM37" s="61">
        <f>IF(Tasks[[#This Row],[Task Name]]="","",IF(OR(TakeBaseline="Yes",N(Tasks[[#This Row],[Baseline Start]])=0),Tasks[[#This Row],[Start]],Tasks[[#This Row],[Baseline Start]]))</f>
        <v/>
      </c>
      <c r="BN37" s="61">
        <f>IF(Tasks[[#This Row],[Task Name]]="","",IF(OR(TakeBaseline="Yes",N(Tasks[[#This Row],[Baseline Finish]])=0),Tasks[[#This Row],[Finish]],Tasks[[#This Row],[Baseline Finish]]))</f>
        <v/>
      </c>
      <c r="BO37" s="21">
        <f>IF(Tasks[[#This Row],[Task Name]]="","",IF(OR(TakeBaseline="Yes",N(Tasks[[#This Row],[Baseline Duration]])=0),Tasks[[#This Row],[_SpanDays]],Tasks[[#This Row],[Baseline Duration]]))</f>
        <v/>
      </c>
      <c r="BP37" s="84">
        <f>IF(Tasks[[#This Row],[Task Name]]="","",IF(OR(TakeBaseline="Yes",N(Tasks[[#This Row],[Baseline Work]])=0),Tasks[[#This Row],[Work]],Tasks[[#This Row],[Baseline Work]]))</f>
        <v/>
      </c>
      <c r="BQ37" s="7" t="n"/>
      <c r="BR37" s="7" t="n"/>
      <c r="BS37" s="22" t="n"/>
      <c r="BT37" s="86" t="n"/>
      <c r="BU37" s="23" t="n"/>
      <c r="BV37" s="23" t="n"/>
      <c r="BW37" s="23" t="n"/>
      <c r="BX37" s="87">
        <f>IF(AND(Tasks[[#This Row],[_IsLeaf]]=1,ISNUMBER(Tasks[[#This Row],[Optimistic]]),ISNUMBER(Tasks[[#This Row],[Pessimistic]])),ROUND((Tasks[[#This Row],[Optimistic]]+4*N(Tasks[[#This Row],[_Days]])+Tasks[[#This Row],[Pessimistic]])/6,1),"")</f>
        <v/>
      </c>
      <c r="BY37" s="85" t="n"/>
      <c r="BZ37" s="85" t="n"/>
      <c r="CA37" s="22" t="n"/>
      <c r="CB37" s="42">
        <f>IF(Tasks[[#This Row],[Task Name]]="","",MAX(1,N(Tasks[[#This Row],[Level]])))</f>
        <v/>
      </c>
      <c r="CC37" s="42">
        <f>ROW()-ROW(Tasks[[#Headers],[ID]])</f>
        <v/>
      </c>
      <c r="CD37" s="42">
        <f>IF(OR(Tasks[[#This Row],[Task Name]]="",Tasks[[#This Row],[_Level]]&lt;=1),0,IFERROR(LOOKUP(2,1/(Tasks[[#Headers],[_Level]]:Tasks[[#This Row],[_Level]]=Tasks[[#This Row],[_Level]]-1),ROW(Tasks[[#Headers],[_Level]]:Tasks[[#This Row],[_Level]])),0))</f>
        <v/>
      </c>
      <c r="CE37" s="42">
        <f>IFERROR(N(INDEX(Tasks[_Level],Tasks[[#This Row],[_Row]]+1)),0)</f>
        <v/>
      </c>
      <c r="CF37" s="42">
        <f>AND(Tasks[[#This Row],[Task Name]]&lt;&gt;"",Tasks[[#This Row],[_NextLevel]]&gt;Tasks[[#This Row],[_Level]])</f>
        <v/>
      </c>
      <c r="CG37" s="42">
        <f>IF(Tasks[[#This Row],[_IsSummary]],COUNTIF(Tasks[WBS],Tasks[[#This Row],[WBS]]&amp;".*"),0)</f>
        <v/>
      </c>
      <c r="CH37" s="42">
        <f>IF(AND(Tasks[[#This Row],[Task Name]]&lt;&gt;"",NOT(Tasks[[#This Row],[_IsSummary]])),1,0)</f>
        <v/>
      </c>
      <c r="CI37" s="42">
        <f>IF(N(Tasks[[#This Row],[_Pred1UID]])=0,0,IFERROR(MATCH(Tasks[[#This Row],[_Pred1UID]],Tasks[UID],0),-1))</f>
        <v/>
      </c>
      <c r="CJ37" s="42">
        <f>IF(N(Tasks[[#This Row],[_Pred2UID]])=0,0,IFERROR(MATCH(Tasks[[#This Row],[_Pred2UID]],Tasks[UID],0),-1))</f>
        <v/>
      </c>
      <c r="CK37" s="42">
        <f>IF(N(Tasks[[#This Row],[_Pred3UID]])=0,0,IFERROR(MATCH(Tasks[[#This Row],[_Pred3UID]],Tasks[UID],0),-1))</f>
        <v/>
      </c>
      <c r="CL37" s="42">
        <f>IF(N(Tasks[[#This Row],[_Pred4UID]])=0,0,IFERROR(MATCH(Tasks[[#This Row],[_Pred4UID]],Tasks[UID],0),-1))</f>
        <v/>
      </c>
      <c r="CM3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7" s="88">
        <f>IF(N(Tasks[[#This Row],[Constraint Date]])=0,0,IF(AND(OR(Tasks[[#This Row],[_ConstraintCode]]=3,Tasks[[#This Row],[_ConstraintCode]]=6,Tasks[[#This Row],[_ConstraintCode]]=7),N(Tasks[[#This Row],[_Days]])&gt;1),WORKDAY.INTL(N(Tasks[[#This Row],[Constraint Date]]),-(N(Tasks[[#This Row],[_Days]])-1),WorkWeek,Holidays),N(Tasks[[#This Row],[Constraint Date]])))</f>
        <v/>
      </c>
      <c r="CO37" s="88">
        <f>IF(OR(Tasks[[#This Row],[_ConstraintCode]]=2,Tasks[[#This Row],[_ConstraintCode]]=3,Tasks[[#This Row],[_ConstraintCode]]=4,Tasks[[#This Row],[_ConstraintCode]]=6),Tasks[[#This Row],[_ConstraintStart]],0)</f>
        <v/>
      </c>
      <c r="CP37" s="88">
        <f>IF(OR(Tasks[[#This Row],[_ConstraintCode]]=2,Tasks[[#This Row],[_ConstraintCode]]=3,Tasks[[#This Row],[_ConstraintCode]]=5,Tasks[[#This Row],[_ConstraintCode]]=7),Tasks[[#This Row],[_ConstraintStart]],2958465)</f>
        <v/>
      </c>
      <c r="CQ3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7" s="88">
        <f>IF(NOT(Tasks[[#This Row],[_IsLeaf]]=1),"",IF(N(Tasks[[#This Row],[_Days]])&lt;=0,Tasks[[#This Row],[_LeafCalcStart]],WORKDAY.INTL(Tasks[[#This Row],[_LeafCalcStart]],Tasks[[#This Row],[_Days]]-1,WorkWeek,Holidays)))</f>
        <v/>
      </c>
      <c r="CS3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7" s="42">
        <f>IF(Tasks[[#This Row],[_Predecessors]]="","",TRIM(MID(SUBSTITUTE(SUBSTITUTE(SUBSTITUTE(UPPER(Tasks[[#This Row],[_Predecessors]]),";",",")," ",""),",",REPT(" ",99)),1,99)))</f>
        <v/>
      </c>
      <c r="CV37" s="42">
        <f>IF(Tasks[[#This Row],[_Pred1Text]]="","",IFERROR(VALUE(LEFT(Tasks[[#This Row],[_Pred1Text]],MIN(FIND("F",Tasks[[#This Row],[_Pred1Text]]&amp;"F"),FIND("S",Tasks[[#This Row],[_Pred1Text]]&amp;"S"),FIND("+",Tasks[[#This Row],[_Pred1Text]]&amp;"+"),FIND("-",Tasks[[#This Row],[_Pred1Text]]&amp;"-"))-1)),""))</f>
        <v/>
      </c>
      <c r="CW3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7" s="42">
        <f>IF(Tasks[[#This Row],[_Pred1Text]]="","",TRIM(MID(SUBSTITUTE(SUBSTITUTE(SUBSTITUTE(UPPER(Tasks[[#This Row],[_Predecessors]]),";",",")," ",""),",",REPT(" ",99)),100,99)))</f>
        <v/>
      </c>
      <c r="CZ37" s="42">
        <f>IF(Tasks[[#This Row],[_Pred2Text]]="","",IFERROR(VALUE(LEFT(Tasks[[#This Row],[_Pred2Text]],MIN(FIND("F",Tasks[[#This Row],[_Pred2Text]]&amp;"F"),FIND("S",Tasks[[#This Row],[_Pred2Text]]&amp;"S"),FIND("+",Tasks[[#This Row],[_Pred2Text]]&amp;"+"),FIND("-",Tasks[[#This Row],[_Pred2Text]]&amp;"-"))-1)),""))</f>
        <v/>
      </c>
      <c r="DA3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7" s="42">
        <f>IF(Tasks[[#This Row],[_Pred2Text]]="","",TRIM(MID(SUBSTITUTE(SUBSTITUTE(SUBSTITUTE(UPPER(Tasks[[#This Row],[_Predecessors]]),";",",")," ",""),",",REPT(" ",99)),199,99)))</f>
        <v/>
      </c>
      <c r="DD37" s="42">
        <f>IF(Tasks[[#This Row],[_Pred3Text]]="","",IFERROR(VALUE(LEFT(Tasks[[#This Row],[_Pred3Text]],MIN(FIND("F",Tasks[[#This Row],[_Pred3Text]]&amp;"F"),FIND("S",Tasks[[#This Row],[_Pred3Text]]&amp;"S"),FIND("+",Tasks[[#This Row],[_Pred3Text]]&amp;"+"),FIND("-",Tasks[[#This Row],[_Pred3Text]]&amp;"-"))-1)),""))</f>
        <v/>
      </c>
      <c r="DE3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7" s="42">
        <f>IF(Tasks[[#This Row],[_Pred3Text]]="","",TRIM(MID(SUBSTITUTE(SUBSTITUTE(SUBSTITUTE(UPPER(Tasks[[#This Row],[_Predecessors]]),";",",")," ",""),",",REPT(" ",99)),298,99)))</f>
        <v/>
      </c>
      <c r="DH37" s="42">
        <f>IF(Tasks[[#This Row],[_Pred4Text]]="","",IFERROR(VALUE(LEFT(Tasks[[#This Row],[_Pred4Text]],MIN(FIND("F",Tasks[[#This Row],[_Pred4Text]]&amp;"F"),FIND("S",Tasks[[#This Row],[_Pred4Text]]&amp;"S"),FIND("+",Tasks[[#This Row],[_Pred4Text]]&amp;"+"),FIND("-",Tasks[[#This Row],[_Pred4Text]]&amp;"-"))-1)),""))</f>
        <v/>
      </c>
      <c r="DI3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7" s="42">
        <f>IF(OR(Tasks[[#This Row],[Task Name]]="",Tasks[[#This Row],[_Resources]]=""),"",TRIM(MID(SUBSTITUTE(Tasks[[#This Row],[_Resources]],",",REPT(" ",99)),1,99)))</f>
        <v/>
      </c>
      <c r="DL37" s="42">
        <f>IF(Tasks[[#This Row],[_Res1Text]]="","",TRIM(MID(SUBSTITUTE(Tasks[[#This Row],[_Resources]],",",REPT(" ",99)),100,99)))</f>
        <v/>
      </c>
      <c r="DM37" s="42">
        <f>IF(Tasks[[#This Row],[_Res2Text]]="","",TRIM(MID(SUBSTITUTE(Tasks[[#This Row],[_Resources]],",",REPT(" ",99)),199,99)))</f>
        <v/>
      </c>
      <c r="DN37" s="42">
        <f>IF(Tasks[[#This Row],[_Res3Text]]="","",TRIM(MID(SUBSTITUTE(Tasks[[#This Row],[_Resources]],",",REPT(" ",99)),298,99)))</f>
        <v/>
      </c>
      <c r="DO37" s="42">
        <f>IF(Tasks[[#This Row],[_Res1Text]]="",0,IFERROR(MATCH(TRIM(LEFT(Tasks[[#This Row],[_Res1Text]],FIND("[",Tasks[[#This Row],[_Res1Text]]&amp;"[")-1)),res_Name,0),IFERROR(MATCH(TRIM(LEFT(Tasks[[#This Row],[_Res1Text]],FIND("[",Tasks[[#This Row],[_Res1Text]]&amp;"[")-1)),res_Initials,0),0)))</f>
        <v/>
      </c>
      <c r="DP37" s="42">
        <f>IF(Tasks[[#This Row],[_Res2Text]]="",0,IFERROR(MATCH(TRIM(LEFT(Tasks[[#This Row],[_Res2Text]],FIND("[",Tasks[[#This Row],[_Res2Text]]&amp;"[")-1)),res_Name,0),IFERROR(MATCH(TRIM(LEFT(Tasks[[#This Row],[_Res2Text]],FIND("[",Tasks[[#This Row],[_Res2Text]]&amp;"[")-1)),res_Initials,0),0)))</f>
        <v/>
      </c>
      <c r="DQ37" s="42">
        <f>IF(Tasks[[#This Row],[_Res3Text]]="",0,IFERROR(MATCH(TRIM(LEFT(Tasks[[#This Row],[_Res3Text]],FIND("[",Tasks[[#This Row],[_Res3Text]]&amp;"[")-1)),res_Name,0),IFERROR(MATCH(TRIM(LEFT(Tasks[[#This Row],[_Res3Text]],FIND("[",Tasks[[#This Row],[_Res3Text]]&amp;"[")-1)),res_Initials,0),0)))</f>
        <v/>
      </c>
      <c r="DR37" s="42">
        <f>IF(Tasks[[#This Row],[_Res4Text]]="",0,IFERROR(MATCH(TRIM(LEFT(Tasks[[#This Row],[_Res4Text]],FIND("[",Tasks[[#This Row],[_Res4Text]]&amp;"[")-1)),res_Name,0),IFERROR(MATCH(TRIM(LEFT(Tasks[[#This Row],[_Res4Text]],FIND("[",Tasks[[#This Row],[_Res4Text]]&amp;"[")-1)),res_Initials,0),0)))</f>
        <v/>
      </c>
      <c r="DS37" s="42">
        <f>IF(Tasks[[#This Row],[_Res1Text]]="","",IF(Tasks[[#This Row],[_Res1Row]]&gt;0,INDEX(res_Name,Tasks[[#This Row],[_Res1Row]]),TRIM(LEFT(Tasks[[#This Row],[_Res1Text]],FIND("[",Tasks[[#This Row],[_Res1Text]]&amp;"[")-1))))</f>
        <v/>
      </c>
      <c r="DT3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7" s="42">
        <f>IF(NOT(Tasks[[#This Row],[_IsLeaf]]=1),0,(Tasks[[#This Row],[_Resource1]]&lt;&gt;"")+(Tasks[[#This Row],[_Res2]]&lt;&gt;"")+(Tasks[[#This Row],[_Res3]]&lt;&gt;"")+(Tasks[[#This Row],[_Res4]]&lt;&gt;""))</f>
        <v/>
      </c>
      <c r="DV37" s="42">
        <f>IF(Tasks[[#This Row],[_Res2Text]]="","",IF(Tasks[[#This Row],[_Res2Row]]&gt;0,INDEX(res_Name,Tasks[[#This Row],[_Res2Row]]),TRIM(LEFT(Tasks[[#This Row],[_Res2Text]],FIND("[",Tasks[[#This Row],[_Res2Text]]&amp;"[")-1))))</f>
        <v/>
      </c>
      <c r="DW3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7" s="42">
        <f>IF(OR(NOT(Tasks[[#This Row],[_IsLeaf]]=1),Tasks[[#This Row],[_Res2Row]]=0),0,N(Tasks[[#This Row],[_Days]])*HoursPerDay*IF(Tasks[[#This Row],[_Res2Units]]="",DefaultUnits,Tasks[[#This Row],[_Res2Units]]))</f>
        <v/>
      </c>
      <c r="DY37" s="42">
        <f>IF(AND(AND(Tasks[[#This Row],[_IsLeaf]]=1,Tasks[[#This Row],[_LeafTotalWork]]&gt;0),Tasks[[#This Row],[_Res2Work]]&gt;0),Tasks[[#This Row],[_Res2Work]]/(Tasks[[#This Row],[_FinishWorkday]]-Tasks[[#This Row],[_StartWorkday]]+1),0)</f>
        <v/>
      </c>
      <c r="DZ37" s="42">
        <f>Tasks[[#This Row],[_Res2WorkPerWD]]*MAX(0,Tasks[[#This Row],[_StartWorkday]]-1)</f>
        <v/>
      </c>
      <c r="EA37" s="42">
        <f>Tasks[[#This Row],[_Res2Work]]*Tasks[[#This Row],[_LeafProgress]]</f>
        <v/>
      </c>
      <c r="EB37" s="42">
        <f>IF(Tasks[[#This Row],[_Res3Text]]="","",IF(Tasks[[#This Row],[_Res3Row]]&gt;0,INDEX(res_Name,Tasks[[#This Row],[_Res3Row]]),TRIM(LEFT(Tasks[[#This Row],[_Res3Text]],FIND("[",Tasks[[#This Row],[_Res3Text]]&amp;"[")-1))))</f>
        <v/>
      </c>
      <c r="EC3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7" s="42">
        <f>IF(OR(NOT(Tasks[[#This Row],[_IsLeaf]]=1),Tasks[[#This Row],[_Res3Row]]=0),0,N(Tasks[[#This Row],[_Days]])*HoursPerDay*IF(Tasks[[#This Row],[_Res3Units]]="",DefaultUnits,Tasks[[#This Row],[_Res3Units]]))</f>
        <v/>
      </c>
      <c r="EE37" s="42">
        <f>IF(AND(AND(Tasks[[#This Row],[_IsLeaf]]=1,Tasks[[#This Row],[_LeafTotalWork]]&gt;0),Tasks[[#This Row],[_Res3Work]]&gt;0),Tasks[[#This Row],[_Res3Work]]/(Tasks[[#This Row],[_FinishWorkday]]-Tasks[[#This Row],[_StartWorkday]]+1),0)</f>
        <v/>
      </c>
      <c r="EF37" s="42">
        <f>Tasks[[#This Row],[_Res3WorkPerWD]]*MAX(0,Tasks[[#This Row],[_StartWorkday]]-1)</f>
        <v/>
      </c>
      <c r="EG37" s="42">
        <f>Tasks[[#This Row],[_Res3Work]]*Tasks[[#This Row],[_LeafProgress]]</f>
        <v/>
      </c>
      <c r="EH37" s="42">
        <f>IF(Tasks[[#This Row],[_Res4Text]]="","",IF(Tasks[[#This Row],[_Res4Row]]&gt;0,INDEX(res_Name,Tasks[[#This Row],[_Res4Row]]),TRIM(LEFT(Tasks[[#This Row],[_Res4Text]],FIND("[",Tasks[[#This Row],[_Res4Text]]&amp;"[")-1))))</f>
        <v/>
      </c>
      <c r="EI3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7" s="42">
        <f>IF(OR(NOT(Tasks[[#This Row],[_IsLeaf]]=1),Tasks[[#This Row],[_Res4Row]]=0),0,N(Tasks[[#This Row],[_Days]])*HoursPerDay*IF(Tasks[[#This Row],[_Res4Units]]="",DefaultUnits,Tasks[[#This Row],[_Res4Units]]))</f>
        <v/>
      </c>
      <c r="EK37" s="42">
        <f>IF(AND(AND(Tasks[[#This Row],[_IsLeaf]]=1,Tasks[[#This Row],[_LeafTotalWork]]&gt;0),Tasks[[#This Row],[_Res4Work]]&gt;0),Tasks[[#This Row],[_Res4Work]]/(Tasks[[#This Row],[_FinishWorkday]]-Tasks[[#This Row],[_StartWorkday]]+1),0)</f>
        <v/>
      </c>
      <c r="EL37" s="42">
        <f>Tasks[[#This Row],[_Res4WorkPerWD]]*MAX(0,Tasks[[#This Row],[_StartWorkday]]-1)</f>
        <v/>
      </c>
      <c r="EM37" s="42">
        <f>Tasks[[#This Row],[_Res4Work]]*Tasks[[#This Row],[_LeafProgress]]</f>
        <v/>
      </c>
      <c r="EN37" s="42">
        <f>IF(ISNUMBER(Tasks[[#This Row],[% Complete]]),Tasks[[#This Row],[% Complete]],IF(Tasks[[#This Row],[Stage]]="",0,IFERROR(INDEX(stg_Pct,MATCH(Tasks[[#This Row],[Stage]],stg_Name,0)),0)))</f>
        <v/>
      </c>
      <c r="EO37" s="42">
        <f>IF(NOT(Tasks[[#This Row],[_IsLeaf]]=1),0,IF(N(Tasks[[#This Row],[Actual Finish]])&gt;0,1,MIN(1,Tasks[[#This Row],[_Pct]])))</f>
        <v/>
      </c>
      <c r="EP37" s="42">
        <f>IF(OR(NOT(Tasks[[#This Row],[_IsLeaf]]=1),Tasks[[#This Row],[_Res1Row]]=0),0,N(Tasks[[#This Row],[_Days]])*HoursPerDay*IF(Tasks[[#This Row],[_Units1]]="",DefaultUnits,Tasks[[#This Row],[_Units1]]))</f>
        <v/>
      </c>
      <c r="EQ37" s="42">
        <f>Tasks[[#This Row],[_LeafWork]]+Tasks[[#This Row],[_Res2Work]]+Tasks[[#This Row],[_Res3Work]]+Tasks[[#This Row],[_Res4Work]]</f>
        <v/>
      </c>
      <c r="ER3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7" s="42">
        <f>IF(NOT(Tasks[[#This Row],[_IsLeaf]]=1),0,MAX(_xlfn.MAXIFS(Tasks[_Row],Tasks[_Pred1UID],Tasks[[#This Row],[UID]]),_xlfn.MAXIFS(Tasks[_Row],Tasks[_Pred2UID],Tasks[[#This Row],[UID]]),_xlfn.MAXIFS(Tasks[_Row],Tasks[_Pred3UID],Tasks[[#This Row],[UID]]),_xlfn.MAXIFS(Tasks[_Row],Tasks[_Pred4UID],Tasks[[#This Row],[UID]])))</f>
        <v/>
      </c>
      <c r="FA3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7" s="88">
        <f>IF(NOT(Tasks[[#This Row],[_IsLeaf]]=1),"",IF(N(Tasks[[#This Row],[_Days]])&lt;=0,Tasks[[#This Row],[_LeafLateFinish]],WORKDAY.INTL(Tasks[[#This Row],[_LeafLateFinish]],-(Tasks[[#This Row],[_Days]]-1),WorkWeek,Holidays)))</f>
        <v/>
      </c>
      <c r="FD3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7" s="42">
        <f>AND(Tasks[[#This Row],[_IsLeaf]]=1,Tasks[[#This Row],[_LeafProgress]]&lt;1,N(Tasks[[#This Row],[_LeafTotalSlack]])&lt;=CriticalSlackDays)</f>
        <v/>
      </c>
      <c r="FF37" s="42">
        <f>IF(AND(Tasks[[#This Row],[_IsLeaf]]=1,Tasks[[#This Row],[_ConstraintCode]]=1,Tasks[[#This Row],[Mode]]&lt;&gt;"Manual",N(Tasks[[#This Row],[Actual Start]])=0),MAX(0,N(Tasks[[#This Row],[Free Slack]])),0)</f>
        <v/>
      </c>
      <c r="FG37" s="88">
        <f>IF(NOT(Tasks[[#This Row],[_IsLeaf]]=1),"",IF(Tasks[[#This Row],[_AlapShift]]=0,Tasks[[#This Row],[_LeafCalcStart]],WORKDAY.INTL(Tasks[[#This Row],[_LeafCalcStart]],Tasks[[#This Row],[_AlapShift]],WorkWeek,Holidays)))</f>
        <v/>
      </c>
      <c r="FH37" s="88">
        <f>IF(NOT(Tasks[[#This Row],[_IsLeaf]]=1),"",IF(Tasks[[#This Row],[_AlapShift]]=0,Tasks[[#This Row],[_LeafCalcFinish]],WORKDAY.INTL(Tasks[[#This Row],[_LeafCalcFinish]],Tasks[[#This Row],[_AlapShift]],WorkWeek,Holidays)))</f>
        <v/>
      </c>
      <c r="FI37" s="88">
        <f>IF(NOT(Tasks[[#This Row],[_IsLeaf]]=1),"",IF(Tasks[[#This Row],[_AlapShift]]=0,Tasks[[#This Row],[_LeafFcstStart]],WORKDAY.INTL(Tasks[[#This Row],[_LeafFcstStart]],Tasks[[#This Row],[_AlapShift]],WorkWeek,Holidays)))</f>
        <v/>
      </c>
      <c r="FJ37" s="88">
        <f>IF(NOT(Tasks[[#This Row],[_IsLeaf]]=1),"",IF(Tasks[[#This Row],[_AlapShift]]=0,Tasks[[#This Row],[_LeafFcstFinish]],WORKDAY.INTL(Tasks[[#This Row],[_LeafFcstFinish]],Tasks[[#This Row],[_AlapShift]],WorkWeek,Holidays)))</f>
        <v/>
      </c>
      <c r="FK37" s="88">
        <f>IF(Tasks[[#This Row],[Task Name]]="","",IF(Tasks[[#This Row],[_IsSummary]],MIN(INDEX(Tasks[_ShownCalcStart],Tasks[[#This Row],[_Row]]+1):INDEX(Tasks[_ShownCalcStart],Tasks[[#This Row],[_Row]]+Tasks[[#This Row],[_Descendants]])),Tasks[[#This Row],[_ShownCalcStart]]))</f>
        <v/>
      </c>
      <c r="FL37" s="88">
        <f>IF(Tasks[[#This Row],[Task Name]]="","",IF(Tasks[[#This Row],[_IsSummary]],MAX(INDEX(Tasks[_ShownCalcFinish],Tasks[[#This Row],[_Row]]+1):INDEX(Tasks[_ShownCalcFinish],Tasks[[#This Row],[_Row]]+Tasks[[#This Row],[_Descendants]])),Tasks[[#This Row],[_ShownCalcFinish]]))</f>
        <v/>
      </c>
      <c r="FM3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7" s="42">
        <f>IF(AND(Tasks[[#This Row],[_IsLeaf]]=1,Tasks[[#This Row],[_LeafTotalWork]]&gt;0),NETWORKDAYS.INTL(ProjectStart,Tasks[[#This Row],[_ShownFcstStart]],WorkWeek,Holidays),0)</f>
        <v/>
      </c>
      <c r="FZ37" s="42">
        <f>IF(AND(Tasks[[#This Row],[_IsLeaf]]=1,Tasks[[#This Row],[_LeafTotalWork]]&gt;0),MAX(Tasks[[#This Row],[_StartWorkday]],NETWORKDAYS.INTL(ProjectStart,Tasks[[#This Row],[_ShownFcstFinish]],WorkWeek,Holidays)),0)</f>
        <v/>
      </c>
      <c r="GA37" s="42">
        <f>IF(AND(Tasks[[#This Row],[_IsLeaf]]=1,Tasks[[#This Row],[_LeafTotalWork]]&gt;0),Tasks[[#This Row],[_LeafWork]]/(Tasks[[#This Row],[_FinishWorkday]]-Tasks[[#This Row],[_StartWorkday]]+1),0)</f>
        <v/>
      </c>
      <c r="GB37" s="42">
        <f>Tasks[[#This Row],[_WorkPerWorkday]]*(Tasks[[#This Row],[_StartWorkday]]-1)</f>
        <v/>
      </c>
      <c r="GC37" s="42">
        <f>IF(Tasks[[#This Row],[_IsLeaf]]=1,MAX(N(Tasks[[#This Row],[_Days]]),0.1),0)</f>
        <v/>
      </c>
      <c r="GD37" s="42">
        <f>Tasks[[#This Row],[_WeightDur]]*Tasks[[#This Row],[_LeafProgress]]</f>
        <v/>
      </c>
      <c r="GE37" s="42">
        <f>Tasks[[#This Row],[_WeightDur]]*Tasks[[#This Row],[_PlannedPct]]</f>
        <v/>
      </c>
      <c r="GF3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7" s="42">
        <f>IF(AND(Tasks[[#This Row],[_IsLeaf]]=1,N(Tasks[[#This Row],[_Days]])=0,Tasks[[#This Row],[_LeafProgress]]&lt;1),Tasks[[#This Row],[_ShownFcstFinish]]+Tasks[[#This Row],[_Row]]/100000,"")</f>
        <v/>
      </c>
      <c r="GH3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7" s="42">
        <f>IF(Tasks[[#This Row],[Task Name]]="","",LEFT(Tasks[[#This Row],[WBS]],FIND(".",Tasks[[#This Row],[WBS]]&amp;".")-1))</f>
        <v/>
      </c>
      <c r="GJ37" s="42">
        <f>IF(AND(Tasks[[#This Row],[Task Name]]&lt;&gt;"",Tasks[[#This Row],[_Level]]=1),Tasks[[#This Row],[_Row]],"")</f>
        <v/>
      </c>
      <c r="GK37" s="42">
        <f>IF(AND(Tasks[[#This Row],[_IsLeaf]]=1,N(Tasks[[#This Row],[_Days]])=0),Tasks[[#This Row],[Planned Finish]]+Tasks[[#This Row],[_Row]]/100000,"")</f>
        <v/>
      </c>
      <c r="GL37" s="42">
        <f>IF(AND(Tasks[[#This Row],[_IsLeaf]]=1,Tasks[[#This Row],[_LeafProgress]]&lt;1,OR(N(Tasks[[#This Row],[Finish Var]])&gt;0,Tasks[[#This Row],[Status]]="Late Start")),MAX(0,Tasks[[#This Row],[Finish Var]])+1-Tasks[[#This Row],[_Row]]/1000000,"")</f>
        <v/>
      </c>
      <c r="GM37" s="42">
        <f>IF(AND(Tasks[[#This Row],[_IsLeaf]]=1,N(Tasks[[#This Row],[Actual Start]])=0,Tasks[[#This Row],[_ShownFcstStart]]&gt;=StatusDate,Tasks[[#This Row],[_ShownFcstStart]]&lt;=LookaheadEnd),Tasks[[#This Row],[_ShownFcstStart]]+Tasks[[#This Row],[_Row]]/100000,"")</f>
        <v/>
      </c>
      <c r="GN37" s="42">
        <f>IF(AND(Tasks[[#This Row],[_IsLeaf]]=1,Tasks[[#This Row],[_LeafProgress]]&lt;1,Tasks[[#This Row],[_ShownFcstFinish]]&gt;=StatusDate,Tasks[[#This Row],[_ShownFcstFinish]]&lt;=LookaheadEnd),Tasks[[#This Row],[_ShownFcstFinish]]+Tasks[[#This Row],[_Row]]/100000,"")</f>
        <v/>
      </c>
      <c r="GO37" s="42">
        <f>IF(Tasks[[#This Row],[_LeafCritical]],Tasks[[#This Row],[_ShownFcstStart]]+Tasks[[#This Row],[_Row]]/100000,"")</f>
        <v/>
      </c>
      <c r="GP37" s="42">
        <f>Tasks[[#This Row],[_LeafWork]]*Tasks[[#This Row],[_LeafProgress]]</f>
        <v/>
      </c>
      <c r="GQ37" s="88">
        <f>IF(AND(Tasks[[#This Row],[_IsLeaf]]=1,Tasks[[#This Row],[_LeafProgress]]&gt;=1),IF(N(Tasks[[#This Row],[Actual Finish]])&gt;0,Tasks[[#This Row],[Actual Finish]],Tasks[[#This Row],[_ShownFcstFinish]]),"")</f>
        <v/>
      </c>
      <c r="GR37" s="42">
        <f>IF(Tasks[[#This Row],[_IsLeaf]]=1,N(Tasks[[#This Row],[Story Points]]),0)</f>
        <v/>
      </c>
      <c r="GS37" s="42">
        <f>""</f>
        <v/>
      </c>
      <c r="GT37" s="42">
        <f>IF(Tasks[[#This Row],[Task Name]]="",FALSE(),AND(Tasks[[#This Row],[_IsLeaf]]=1,N(Tasks[[#This Row],[_Days]])=0))</f>
        <v/>
      </c>
      <c r="GU37" s="88">
        <f>IF(Tasks[[#This Row],[Task Name]]="",0,IF(AND(Tasks[[#This Row],[_IsLeaf]]=1,NOT(Tasks[[#This Row],[_IsMilestone]]),N(Tasks[[#This Row],[Progress]])&gt;0),Tasks[[#This Row],[Start]],0))</f>
        <v/>
      </c>
      <c r="GV37" s="88">
        <f>IF(Tasks[[#This Row],[_DoneFrom]]=0,0,IF(Tasks[[#This Row],[Progress]]&gt;=1,Tasks[[#This Row],[Finish]],MAX(Tasks[[#This Row],[_DoneFrom]],Tasks[[#This Row],[Start]]+ROUND((Tasks[[#This Row],[Finish]]-Tasks[[#This Row],[Start]]+1)*Tasks[[#This Row],[Progress]],0)-1)))</f>
        <v/>
      </c>
      <c r="GW37" s="88">
        <f>IF(Tasks[[#This Row],[Task Name]]="",0,IF(OR(NOT(Tasks[[#This Row],[_IsLeaf]]=1),Tasks[[#This Row],[_IsMilestone]],N(Tasks[[#This Row],[Progress]])&gt;=1),0,IF(Tasks[[#This Row],[_DoneTo]]&gt;0,Tasks[[#This Row],[_DoneTo]]+1,Tasks[[#This Row],[Start]])))</f>
        <v/>
      </c>
      <c r="GX37" s="88">
        <f>IF(Tasks[[#This Row],[_RemFrom]]=0,0,Tasks[[#This Row],[Finish]])</f>
        <v/>
      </c>
      <c r="GY37" s="42">
        <f>IF(Tasks[[#This Row],[Task Name]]="",FALSE(),OR(NOT(BaselineSet),N(Tasks[[#This Row],[Baseline Start]])&gt;0))</f>
        <v/>
      </c>
      <c r="GZ37" s="42">
        <f>IF(AND(Sandbox="Yes",L_PARSE_DURATION(Tasks[[#This Row],[Sandbox Duration]])&lt;&gt;""),L_PARSE_DURATION(Tasks[[#This Row],[Sandbox Duration]]),L_PARSE_DURATION(Tasks[[#This Row],[Duration]]))</f>
        <v/>
      </c>
      <c r="HA3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7" s="42">
        <f>IF(Tasks[[#This Row],[_IsLeaf]]=1,Tasks[[#This Row],[_Row]],"")</f>
        <v/>
      </c>
      <c r="HD37" s="42">
        <f>IFERROR(INDEX(Tasks[UID],SMALL(Tasks[_PickKey],Tasks[[#This Row],[_Row]]))&amp;" "&amp;INDEX(Tasks[Task Name],SMALL(Tasks[_PickKey],Tasks[[#This Row],[_Row]])),"")</f>
        <v/>
      </c>
      <c r="HE37" s="42">
        <f>IF(Tasks[[#This Row],[Task Name]]="","",IF(Tasks[[#This Row],[_IsSummary]],NETWORKDAYS.INTL(Tasks[[#This Row],[Start]],Tasks[[#This Row],[Finish]],WorkWeek,Holidays),N(Tasks[[#This Row],[_Days]])))</f>
        <v/>
      </c>
      <c r="HF37" s="42">
        <f>IF(Tasks[[#This Row],[Expected]]="",0,((Tasks[[#This Row],[Pessimistic]]-Tasks[[#This Row],[Optimistic]])/6)^2)</f>
        <v/>
      </c>
      <c r="HG37" s="42">
        <f>IF(Tasks[[#This Row],[Expected]]="",0,Tasks[[#This Row],[Expected]]-N(Tasks[[#This Row],[_Days]]))</f>
        <v/>
      </c>
    </row>
    <row r="38">
      <c r="A38" s="21">
        <f>IF(Tasks[[#This Row],[Task Name]]="","",COUNTA(Tasks[[#Headers],[Task Name]]:Tasks[[#This Row],[Task Name]])-1)</f>
        <v/>
      </c>
      <c r="B38" s="22" t="n">
        <v>46</v>
      </c>
      <c r="C38" s="22" t="n"/>
      <c r="D38" s="23" t="n"/>
      <c r="E38" s="22" t="n"/>
      <c r="F38" s="23" t="n"/>
      <c r="G38" s="22" t="n"/>
      <c r="H38" s="22" t="n"/>
      <c r="I38" s="23" t="n"/>
      <c r="J38" s="22" t="n"/>
      <c r="K38" s="22" t="n"/>
      <c r="L38" s="23" t="n"/>
      <c r="M38" s="22" t="n"/>
      <c r="N38" s="22" t="n"/>
      <c r="O38" s="23" t="n"/>
      <c r="P38" s="22" t="n"/>
      <c r="Q38" s="22" t="n"/>
      <c r="R38" s="23" t="n"/>
      <c r="S38" s="23" t="n"/>
      <c r="T38" s="82" t="n"/>
      <c r="U38" s="23" t="n"/>
      <c r="V38" s="82" t="n"/>
      <c r="W38" s="23" t="n"/>
      <c r="X38" s="82" t="n"/>
      <c r="Y38" s="23" t="n"/>
      <c r="Z38" s="82" t="n"/>
      <c r="AA38" s="23" t="n"/>
      <c r="AB38" s="23" t="n"/>
      <c r="AC38" s="7" t="n"/>
      <c r="AD38" s="7" t="n"/>
      <c r="AE38" s="61">
        <f>IF(Tasks[[#This Row],[Task Name]]="","",IF(Tasks[[#This Row],[_IsSummary]],MIN(INDEX(Tasks[_ShownFcstStart],Tasks[[#This Row],[_Row]]+1):INDEX(Tasks[_ShownFcstStart],Tasks[[#This Row],[_Row]]+Tasks[[#This Row],[_Descendants]])),Tasks[[#This Row],[_ShownFcstStart]]))</f>
        <v/>
      </c>
      <c r="AF38" s="61">
        <f>IF(Tasks[[#This Row],[Task Name]]="","",IF(Tasks[[#This Row],[_IsSummary]],MAX(INDEX(Tasks[_ShownFcstFinish],Tasks[[#This Row],[_Row]]+1):INDEX(Tasks[_ShownFcstFinish],Tasks[[#This Row],[_Row]]+Tasks[[#This Row],[_Descendants]])),Tasks[[#This Row],[_ShownFcstFinish]]))</f>
        <v/>
      </c>
      <c r="AG38" s="21">
        <f>""</f>
        <v/>
      </c>
      <c r="AH38" s="23" t="n"/>
      <c r="AI3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8" s="7" t="n"/>
      <c r="AK38" s="22" t="n"/>
      <c r="AL38" s="23" t="n"/>
      <c r="AM38" s="7" t="n"/>
      <c r="AN38" s="21">
        <f>IF(Tasks[[#This Row],[Task Name]]="","",IF(Tasks[[#This Row],[Finish]]&gt;=Tasks[[#This Row],[Planned Finish]],NETWORKDAYS.INTL(Tasks[[#This Row],[Planned Finish]],Tasks[[#This Row],[Finish]],WorkWeek,Holidays)-1,1-NETWORKDAYS.INTL(Tasks[[#This Row],[Finish]],Tasks[[#This Row],[Planned Finish]],WorkWeek,Holidays)))</f>
        <v/>
      </c>
      <c r="AO38" s="21">
        <f>IF(Tasks[[#This Row],[Task Name]]="","",IF(Tasks[[#This Row],[Progress]]&gt;=1,"Complete",IF(OR(N(Tasks[[#This Row],[Actual Start]])&gt;0,Tasks[[#This Row],[Progress]]&gt;0),IF(Tasks[[#This Row],[Finish Var]]&gt;0,"Behind","In Progress"),IF(Tasks[[#This Row],[Planned Start]]&lt;StatusDate,"Late Start","Not Started"))))</f>
        <v/>
      </c>
      <c r="AP38" s="21">
        <f>IF(Tasks[[#This Row],[Task Name]]="","",IF(IF(Tasks[[#This Row],[_IsSummary]],COUNTIF(INDEX(Tasks[_LeafCritical],Tasks[[#This Row],[_Row]]+1):INDEX(Tasks[_LeafCritical],Tasks[[#This Row],[_Row]]+Tasks[[#This Row],[_Descendants]]),TRUE())&gt;0,Tasks[[#This Row],[_LeafCritical]]),"Yes",""))</f>
        <v/>
      </c>
      <c r="AQ38" s="61">
        <f>IF(Tasks[[#This Row],[Task Name]]="","",IF(N(Tasks[[#This Row],[Baseline Start]])&gt;0,Tasks[[#This Row],[Baseline Start]],Tasks[[#This Row],[_CalcStart]]))</f>
        <v/>
      </c>
      <c r="AR38" s="61">
        <f>IF(Tasks[[#This Row],[Task Name]]="","",IF(N(Tasks[[#This Row],[Baseline Finish]])&gt;0,Tasks[[#This Row],[Baseline Finish]],Tasks[[#This Row],[_CalcFinish]]))</f>
        <v/>
      </c>
      <c r="AS38" s="21">
        <f>IF(Tasks[[#This Row],[Task Name]]="","",IF(Tasks[[#This Row],[Start]]&gt;=Tasks[[#This Row],[Planned Start]],NETWORKDAYS.INTL(Tasks[[#This Row],[Planned Start]],Tasks[[#This Row],[Start]],WorkWeek,Holidays)-1,1-NETWORKDAYS.INTL(Tasks[[#This Row],[Start]],Tasks[[#This Row],[Planned Start]],WorkWeek,Holidays)))</f>
        <v/>
      </c>
      <c r="AT38" s="61">
        <f>IF(Tasks[[#This Row],[Task Name]]="","",IF(Tasks[[#This Row],[_IsSummary]],MIN(INDEX(Tasks[_LeafLateStart],Tasks[[#This Row],[_Row]]+1):INDEX(Tasks[_LeafLateStart],Tasks[[#This Row],[_Row]]+Tasks[[#This Row],[_Descendants]])),Tasks[[#This Row],[_LeafLateStart]]))</f>
        <v/>
      </c>
      <c r="AU38" s="61">
        <f>IF(Tasks[[#This Row],[Task Name]]="","",IF(Tasks[[#This Row],[_IsSummary]],MAX(INDEX(Tasks[_LeafLateFinish],Tasks[[#This Row],[_Row]]+1):INDEX(Tasks[_LeafLateFinish],Tasks[[#This Row],[_Row]]+Tasks[[#This Row],[_Descendants]])),Tasks[[#This Row],[_LeafLateFinish]]))</f>
        <v/>
      </c>
      <c r="AV38" s="21">
        <f>IF(Tasks[[#This Row],[Task Name]]="","",IF(Tasks[[#This Row],[_IsSummary]],MIN(INDEX(Tasks[_LeafTotalSlack],Tasks[[#This Row],[_Row]]+1):INDEX(Tasks[_LeafTotalSlack],Tasks[[#This Row],[_Row]]+Tasks[[#This Row],[_Descendants]])),Tasks[[#This Row],[_LeafTotalSlack]]))</f>
        <v/>
      </c>
      <c r="AW3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3" t="n"/>
      <c r="BA3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f>IF(Tasks[[#This Row],[Task Name]]="","",IF(Tasks[[#This Row],[_Level]]&lt;=OutlineShowLevel,"Yes","No"))</f>
        <v/>
      </c>
      <c r="BE38" s="84">
        <f>IF(Tasks[[#This Row],[Task Name]]="","",IF(Tasks[[#This Row],[_IsSummary]],SUM(INDEX(Tasks[_LeafTotalWork],Tasks[[#This Row],[_Row]]+1):INDEX(Tasks[_LeafTotalWork],Tasks[[#This Row],[_Row]]+Tasks[[#This Row],[_Descendants]])),Tasks[[#This Row],[_LeafTotalWork]]))</f>
        <v/>
      </c>
      <c r="BF38" s="23" t="n"/>
      <c r="BG3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f>""</f>
        <v/>
      </c>
      <c r="BI38" s="85" t="n"/>
      <c r="BJ38" s="22" t="n"/>
      <c r="BK38" s="21">
        <f>IF(OR(Tasks[[#This Row],[Task Name]]="",Tasks[[#This Row],[Baseline Duration]]=""),"",Tasks[[#This Row],[_SpanDays]]-N(Tasks[[#This Row],[Baseline Duration]]))</f>
        <v/>
      </c>
      <c r="BL38" s="84">
        <f>IF(OR(Tasks[[#This Row],[Task Name]]="",Tasks[[#This Row],[Baseline Work]]=""),"",Tasks[[#This Row],[Work]]-N(Tasks[[#This Row],[Baseline Work]]))</f>
        <v/>
      </c>
      <c r="BM38" s="61">
        <f>IF(Tasks[[#This Row],[Task Name]]="","",IF(OR(TakeBaseline="Yes",N(Tasks[[#This Row],[Baseline Start]])=0),Tasks[[#This Row],[Start]],Tasks[[#This Row],[Baseline Start]]))</f>
        <v/>
      </c>
      <c r="BN38" s="61">
        <f>IF(Tasks[[#This Row],[Task Name]]="","",IF(OR(TakeBaseline="Yes",N(Tasks[[#This Row],[Baseline Finish]])=0),Tasks[[#This Row],[Finish]],Tasks[[#This Row],[Baseline Finish]]))</f>
        <v/>
      </c>
      <c r="BO38" s="21">
        <f>IF(Tasks[[#This Row],[Task Name]]="","",IF(OR(TakeBaseline="Yes",N(Tasks[[#This Row],[Baseline Duration]])=0),Tasks[[#This Row],[_SpanDays]],Tasks[[#This Row],[Baseline Duration]]))</f>
        <v/>
      </c>
      <c r="BP38" s="84">
        <f>IF(Tasks[[#This Row],[Task Name]]="","",IF(OR(TakeBaseline="Yes",N(Tasks[[#This Row],[Baseline Work]])=0),Tasks[[#This Row],[Work]],Tasks[[#This Row],[Baseline Work]]))</f>
        <v/>
      </c>
      <c r="BQ38" s="7" t="n"/>
      <c r="BR38" s="7" t="n"/>
      <c r="BS38" s="22" t="n"/>
      <c r="BT38" s="86" t="n"/>
      <c r="BU38" s="23" t="n"/>
      <c r="BV38" s="23" t="n"/>
      <c r="BW38" s="23" t="n"/>
      <c r="BX38" s="87">
        <f>IF(AND(Tasks[[#This Row],[_IsLeaf]]=1,ISNUMBER(Tasks[[#This Row],[Optimistic]]),ISNUMBER(Tasks[[#This Row],[Pessimistic]])),ROUND((Tasks[[#This Row],[Optimistic]]+4*N(Tasks[[#This Row],[_Days]])+Tasks[[#This Row],[Pessimistic]])/6,1),"")</f>
        <v/>
      </c>
      <c r="BY38" s="85" t="n"/>
      <c r="BZ38" s="85" t="n"/>
      <c r="CA38" s="22" t="n"/>
      <c r="CB38" s="42">
        <f>IF(Tasks[[#This Row],[Task Name]]="","",MAX(1,N(Tasks[[#This Row],[Level]])))</f>
        <v/>
      </c>
      <c r="CC38" s="42">
        <f>ROW()-ROW(Tasks[[#Headers],[ID]])</f>
        <v/>
      </c>
      <c r="CD38" s="42">
        <f>IF(OR(Tasks[[#This Row],[Task Name]]="",Tasks[[#This Row],[_Level]]&lt;=1),0,IFERROR(LOOKUP(2,1/(Tasks[[#Headers],[_Level]]:Tasks[[#This Row],[_Level]]=Tasks[[#This Row],[_Level]]-1),ROW(Tasks[[#Headers],[_Level]]:Tasks[[#This Row],[_Level]])),0))</f>
        <v/>
      </c>
      <c r="CE38" s="42">
        <f>IFERROR(N(INDEX(Tasks[_Level],Tasks[[#This Row],[_Row]]+1)),0)</f>
        <v/>
      </c>
      <c r="CF38" s="42">
        <f>AND(Tasks[[#This Row],[Task Name]]&lt;&gt;"",Tasks[[#This Row],[_NextLevel]]&gt;Tasks[[#This Row],[_Level]])</f>
        <v/>
      </c>
      <c r="CG38" s="42">
        <f>IF(Tasks[[#This Row],[_IsSummary]],COUNTIF(Tasks[WBS],Tasks[[#This Row],[WBS]]&amp;".*"),0)</f>
        <v/>
      </c>
      <c r="CH38" s="42">
        <f>IF(AND(Tasks[[#This Row],[Task Name]]&lt;&gt;"",NOT(Tasks[[#This Row],[_IsSummary]])),1,0)</f>
        <v/>
      </c>
      <c r="CI38" s="42">
        <f>IF(N(Tasks[[#This Row],[_Pred1UID]])=0,0,IFERROR(MATCH(Tasks[[#This Row],[_Pred1UID]],Tasks[UID],0),-1))</f>
        <v/>
      </c>
      <c r="CJ38" s="42">
        <f>IF(N(Tasks[[#This Row],[_Pred2UID]])=0,0,IFERROR(MATCH(Tasks[[#This Row],[_Pred2UID]],Tasks[UID],0),-1))</f>
        <v/>
      </c>
      <c r="CK38" s="42">
        <f>IF(N(Tasks[[#This Row],[_Pred3UID]])=0,0,IFERROR(MATCH(Tasks[[#This Row],[_Pred3UID]],Tasks[UID],0),-1))</f>
        <v/>
      </c>
      <c r="CL38" s="42">
        <f>IF(N(Tasks[[#This Row],[_Pred4UID]])=0,0,IFERROR(MATCH(Tasks[[#This Row],[_Pred4UID]],Tasks[UID],0),-1))</f>
        <v/>
      </c>
      <c r="CM3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8" s="88">
        <f>IF(N(Tasks[[#This Row],[Constraint Date]])=0,0,IF(AND(OR(Tasks[[#This Row],[_ConstraintCode]]=3,Tasks[[#This Row],[_ConstraintCode]]=6,Tasks[[#This Row],[_ConstraintCode]]=7),N(Tasks[[#This Row],[_Days]])&gt;1),WORKDAY.INTL(N(Tasks[[#This Row],[Constraint Date]]),-(N(Tasks[[#This Row],[_Days]])-1),WorkWeek,Holidays),N(Tasks[[#This Row],[Constraint Date]])))</f>
        <v/>
      </c>
      <c r="CO38" s="88">
        <f>IF(OR(Tasks[[#This Row],[_ConstraintCode]]=2,Tasks[[#This Row],[_ConstraintCode]]=3,Tasks[[#This Row],[_ConstraintCode]]=4,Tasks[[#This Row],[_ConstraintCode]]=6),Tasks[[#This Row],[_ConstraintStart]],0)</f>
        <v/>
      </c>
      <c r="CP38" s="88">
        <f>IF(OR(Tasks[[#This Row],[_ConstraintCode]]=2,Tasks[[#This Row],[_ConstraintCode]]=3,Tasks[[#This Row],[_ConstraintCode]]=5,Tasks[[#This Row],[_ConstraintCode]]=7),Tasks[[#This Row],[_ConstraintStart]],2958465)</f>
        <v/>
      </c>
      <c r="CQ3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8" s="88">
        <f>IF(NOT(Tasks[[#This Row],[_IsLeaf]]=1),"",IF(N(Tasks[[#This Row],[_Days]])&lt;=0,Tasks[[#This Row],[_LeafCalcStart]],WORKDAY.INTL(Tasks[[#This Row],[_LeafCalcStart]],Tasks[[#This Row],[_Days]]-1,WorkWeek,Holidays)))</f>
        <v/>
      </c>
      <c r="CS3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8" s="42">
        <f>IF(Tasks[[#This Row],[_Predecessors]]="","",TRIM(MID(SUBSTITUTE(SUBSTITUTE(SUBSTITUTE(UPPER(Tasks[[#This Row],[_Predecessors]]),";",",")," ",""),",",REPT(" ",99)),1,99)))</f>
        <v/>
      </c>
      <c r="CV38" s="42">
        <f>IF(Tasks[[#This Row],[_Pred1Text]]="","",IFERROR(VALUE(LEFT(Tasks[[#This Row],[_Pred1Text]],MIN(FIND("F",Tasks[[#This Row],[_Pred1Text]]&amp;"F"),FIND("S",Tasks[[#This Row],[_Pred1Text]]&amp;"S"),FIND("+",Tasks[[#This Row],[_Pred1Text]]&amp;"+"),FIND("-",Tasks[[#This Row],[_Pred1Text]]&amp;"-"))-1)),""))</f>
        <v/>
      </c>
      <c r="CW3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8" s="42">
        <f>IF(Tasks[[#This Row],[_Pred1Text]]="","",TRIM(MID(SUBSTITUTE(SUBSTITUTE(SUBSTITUTE(UPPER(Tasks[[#This Row],[_Predecessors]]),";",",")," ",""),",",REPT(" ",99)),100,99)))</f>
        <v/>
      </c>
      <c r="CZ38" s="42">
        <f>IF(Tasks[[#This Row],[_Pred2Text]]="","",IFERROR(VALUE(LEFT(Tasks[[#This Row],[_Pred2Text]],MIN(FIND("F",Tasks[[#This Row],[_Pred2Text]]&amp;"F"),FIND("S",Tasks[[#This Row],[_Pred2Text]]&amp;"S"),FIND("+",Tasks[[#This Row],[_Pred2Text]]&amp;"+"),FIND("-",Tasks[[#This Row],[_Pred2Text]]&amp;"-"))-1)),""))</f>
        <v/>
      </c>
      <c r="DA3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8" s="42">
        <f>IF(Tasks[[#This Row],[_Pred2Text]]="","",TRIM(MID(SUBSTITUTE(SUBSTITUTE(SUBSTITUTE(UPPER(Tasks[[#This Row],[_Predecessors]]),";",",")," ",""),",",REPT(" ",99)),199,99)))</f>
        <v/>
      </c>
      <c r="DD38" s="42">
        <f>IF(Tasks[[#This Row],[_Pred3Text]]="","",IFERROR(VALUE(LEFT(Tasks[[#This Row],[_Pred3Text]],MIN(FIND("F",Tasks[[#This Row],[_Pred3Text]]&amp;"F"),FIND("S",Tasks[[#This Row],[_Pred3Text]]&amp;"S"),FIND("+",Tasks[[#This Row],[_Pred3Text]]&amp;"+"),FIND("-",Tasks[[#This Row],[_Pred3Text]]&amp;"-"))-1)),""))</f>
        <v/>
      </c>
      <c r="DE3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8" s="42">
        <f>IF(Tasks[[#This Row],[_Pred3Text]]="","",TRIM(MID(SUBSTITUTE(SUBSTITUTE(SUBSTITUTE(UPPER(Tasks[[#This Row],[_Predecessors]]),";",",")," ",""),",",REPT(" ",99)),298,99)))</f>
        <v/>
      </c>
      <c r="DH38" s="42">
        <f>IF(Tasks[[#This Row],[_Pred4Text]]="","",IFERROR(VALUE(LEFT(Tasks[[#This Row],[_Pred4Text]],MIN(FIND("F",Tasks[[#This Row],[_Pred4Text]]&amp;"F"),FIND("S",Tasks[[#This Row],[_Pred4Text]]&amp;"S"),FIND("+",Tasks[[#This Row],[_Pred4Text]]&amp;"+"),FIND("-",Tasks[[#This Row],[_Pred4Text]]&amp;"-"))-1)),""))</f>
        <v/>
      </c>
      <c r="DI3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8" s="42">
        <f>IF(OR(Tasks[[#This Row],[Task Name]]="",Tasks[[#This Row],[_Resources]]=""),"",TRIM(MID(SUBSTITUTE(Tasks[[#This Row],[_Resources]],",",REPT(" ",99)),1,99)))</f>
        <v/>
      </c>
      <c r="DL38" s="42">
        <f>IF(Tasks[[#This Row],[_Res1Text]]="","",TRIM(MID(SUBSTITUTE(Tasks[[#This Row],[_Resources]],",",REPT(" ",99)),100,99)))</f>
        <v/>
      </c>
      <c r="DM38" s="42">
        <f>IF(Tasks[[#This Row],[_Res2Text]]="","",TRIM(MID(SUBSTITUTE(Tasks[[#This Row],[_Resources]],",",REPT(" ",99)),199,99)))</f>
        <v/>
      </c>
      <c r="DN38" s="42">
        <f>IF(Tasks[[#This Row],[_Res3Text]]="","",TRIM(MID(SUBSTITUTE(Tasks[[#This Row],[_Resources]],",",REPT(" ",99)),298,99)))</f>
        <v/>
      </c>
      <c r="DO38" s="42">
        <f>IF(Tasks[[#This Row],[_Res1Text]]="",0,IFERROR(MATCH(TRIM(LEFT(Tasks[[#This Row],[_Res1Text]],FIND("[",Tasks[[#This Row],[_Res1Text]]&amp;"[")-1)),res_Name,0),IFERROR(MATCH(TRIM(LEFT(Tasks[[#This Row],[_Res1Text]],FIND("[",Tasks[[#This Row],[_Res1Text]]&amp;"[")-1)),res_Initials,0),0)))</f>
        <v/>
      </c>
      <c r="DP38" s="42">
        <f>IF(Tasks[[#This Row],[_Res2Text]]="",0,IFERROR(MATCH(TRIM(LEFT(Tasks[[#This Row],[_Res2Text]],FIND("[",Tasks[[#This Row],[_Res2Text]]&amp;"[")-1)),res_Name,0),IFERROR(MATCH(TRIM(LEFT(Tasks[[#This Row],[_Res2Text]],FIND("[",Tasks[[#This Row],[_Res2Text]]&amp;"[")-1)),res_Initials,0),0)))</f>
        <v/>
      </c>
      <c r="DQ38" s="42">
        <f>IF(Tasks[[#This Row],[_Res3Text]]="",0,IFERROR(MATCH(TRIM(LEFT(Tasks[[#This Row],[_Res3Text]],FIND("[",Tasks[[#This Row],[_Res3Text]]&amp;"[")-1)),res_Name,0),IFERROR(MATCH(TRIM(LEFT(Tasks[[#This Row],[_Res3Text]],FIND("[",Tasks[[#This Row],[_Res3Text]]&amp;"[")-1)),res_Initials,0),0)))</f>
        <v/>
      </c>
      <c r="DR38" s="42">
        <f>IF(Tasks[[#This Row],[_Res4Text]]="",0,IFERROR(MATCH(TRIM(LEFT(Tasks[[#This Row],[_Res4Text]],FIND("[",Tasks[[#This Row],[_Res4Text]]&amp;"[")-1)),res_Name,0),IFERROR(MATCH(TRIM(LEFT(Tasks[[#This Row],[_Res4Text]],FIND("[",Tasks[[#This Row],[_Res4Text]]&amp;"[")-1)),res_Initials,0),0)))</f>
        <v/>
      </c>
      <c r="DS38" s="42">
        <f>IF(Tasks[[#This Row],[_Res1Text]]="","",IF(Tasks[[#This Row],[_Res1Row]]&gt;0,INDEX(res_Name,Tasks[[#This Row],[_Res1Row]]),TRIM(LEFT(Tasks[[#This Row],[_Res1Text]],FIND("[",Tasks[[#This Row],[_Res1Text]]&amp;"[")-1))))</f>
        <v/>
      </c>
      <c r="DT3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8" s="42">
        <f>IF(NOT(Tasks[[#This Row],[_IsLeaf]]=1),0,(Tasks[[#This Row],[_Resource1]]&lt;&gt;"")+(Tasks[[#This Row],[_Res2]]&lt;&gt;"")+(Tasks[[#This Row],[_Res3]]&lt;&gt;"")+(Tasks[[#This Row],[_Res4]]&lt;&gt;""))</f>
        <v/>
      </c>
      <c r="DV38" s="42">
        <f>IF(Tasks[[#This Row],[_Res2Text]]="","",IF(Tasks[[#This Row],[_Res2Row]]&gt;0,INDEX(res_Name,Tasks[[#This Row],[_Res2Row]]),TRIM(LEFT(Tasks[[#This Row],[_Res2Text]],FIND("[",Tasks[[#This Row],[_Res2Text]]&amp;"[")-1))))</f>
        <v/>
      </c>
      <c r="DW3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8" s="42">
        <f>IF(OR(NOT(Tasks[[#This Row],[_IsLeaf]]=1),Tasks[[#This Row],[_Res2Row]]=0),0,N(Tasks[[#This Row],[_Days]])*HoursPerDay*IF(Tasks[[#This Row],[_Res2Units]]="",DefaultUnits,Tasks[[#This Row],[_Res2Units]]))</f>
        <v/>
      </c>
      <c r="DY38" s="42">
        <f>IF(AND(AND(Tasks[[#This Row],[_IsLeaf]]=1,Tasks[[#This Row],[_LeafTotalWork]]&gt;0),Tasks[[#This Row],[_Res2Work]]&gt;0),Tasks[[#This Row],[_Res2Work]]/(Tasks[[#This Row],[_FinishWorkday]]-Tasks[[#This Row],[_StartWorkday]]+1),0)</f>
        <v/>
      </c>
      <c r="DZ38" s="42">
        <f>Tasks[[#This Row],[_Res2WorkPerWD]]*MAX(0,Tasks[[#This Row],[_StartWorkday]]-1)</f>
        <v/>
      </c>
      <c r="EA38" s="42">
        <f>Tasks[[#This Row],[_Res2Work]]*Tasks[[#This Row],[_LeafProgress]]</f>
        <v/>
      </c>
      <c r="EB38" s="42">
        <f>IF(Tasks[[#This Row],[_Res3Text]]="","",IF(Tasks[[#This Row],[_Res3Row]]&gt;0,INDEX(res_Name,Tasks[[#This Row],[_Res3Row]]),TRIM(LEFT(Tasks[[#This Row],[_Res3Text]],FIND("[",Tasks[[#This Row],[_Res3Text]]&amp;"[")-1))))</f>
        <v/>
      </c>
      <c r="EC3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8" s="42">
        <f>IF(OR(NOT(Tasks[[#This Row],[_IsLeaf]]=1),Tasks[[#This Row],[_Res3Row]]=0),0,N(Tasks[[#This Row],[_Days]])*HoursPerDay*IF(Tasks[[#This Row],[_Res3Units]]="",DefaultUnits,Tasks[[#This Row],[_Res3Units]]))</f>
        <v/>
      </c>
      <c r="EE38" s="42">
        <f>IF(AND(AND(Tasks[[#This Row],[_IsLeaf]]=1,Tasks[[#This Row],[_LeafTotalWork]]&gt;0),Tasks[[#This Row],[_Res3Work]]&gt;0),Tasks[[#This Row],[_Res3Work]]/(Tasks[[#This Row],[_FinishWorkday]]-Tasks[[#This Row],[_StartWorkday]]+1),0)</f>
        <v/>
      </c>
      <c r="EF38" s="42">
        <f>Tasks[[#This Row],[_Res3WorkPerWD]]*MAX(0,Tasks[[#This Row],[_StartWorkday]]-1)</f>
        <v/>
      </c>
      <c r="EG38" s="42">
        <f>Tasks[[#This Row],[_Res3Work]]*Tasks[[#This Row],[_LeafProgress]]</f>
        <v/>
      </c>
      <c r="EH38" s="42">
        <f>IF(Tasks[[#This Row],[_Res4Text]]="","",IF(Tasks[[#This Row],[_Res4Row]]&gt;0,INDEX(res_Name,Tasks[[#This Row],[_Res4Row]]),TRIM(LEFT(Tasks[[#This Row],[_Res4Text]],FIND("[",Tasks[[#This Row],[_Res4Text]]&amp;"[")-1))))</f>
        <v/>
      </c>
      <c r="EI3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8" s="42">
        <f>IF(OR(NOT(Tasks[[#This Row],[_IsLeaf]]=1),Tasks[[#This Row],[_Res4Row]]=0),0,N(Tasks[[#This Row],[_Days]])*HoursPerDay*IF(Tasks[[#This Row],[_Res4Units]]="",DefaultUnits,Tasks[[#This Row],[_Res4Units]]))</f>
        <v/>
      </c>
      <c r="EK38" s="42">
        <f>IF(AND(AND(Tasks[[#This Row],[_IsLeaf]]=1,Tasks[[#This Row],[_LeafTotalWork]]&gt;0),Tasks[[#This Row],[_Res4Work]]&gt;0),Tasks[[#This Row],[_Res4Work]]/(Tasks[[#This Row],[_FinishWorkday]]-Tasks[[#This Row],[_StartWorkday]]+1),0)</f>
        <v/>
      </c>
      <c r="EL38" s="42">
        <f>Tasks[[#This Row],[_Res4WorkPerWD]]*MAX(0,Tasks[[#This Row],[_StartWorkday]]-1)</f>
        <v/>
      </c>
      <c r="EM38" s="42">
        <f>Tasks[[#This Row],[_Res4Work]]*Tasks[[#This Row],[_LeafProgress]]</f>
        <v/>
      </c>
      <c r="EN38" s="42">
        <f>IF(ISNUMBER(Tasks[[#This Row],[% Complete]]),Tasks[[#This Row],[% Complete]],IF(Tasks[[#This Row],[Stage]]="",0,IFERROR(INDEX(stg_Pct,MATCH(Tasks[[#This Row],[Stage]],stg_Name,0)),0)))</f>
        <v/>
      </c>
      <c r="EO38" s="42">
        <f>IF(NOT(Tasks[[#This Row],[_IsLeaf]]=1),0,IF(N(Tasks[[#This Row],[Actual Finish]])&gt;0,1,MIN(1,Tasks[[#This Row],[_Pct]])))</f>
        <v/>
      </c>
      <c r="EP38" s="42">
        <f>IF(OR(NOT(Tasks[[#This Row],[_IsLeaf]]=1),Tasks[[#This Row],[_Res1Row]]=0),0,N(Tasks[[#This Row],[_Days]])*HoursPerDay*IF(Tasks[[#This Row],[_Units1]]="",DefaultUnits,Tasks[[#This Row],[_Units1]]))</f>
        <v/>
      </c>
      <c r="EQ38" s="42">
        <f>Tasks[[#This Row],[_LeafWork]]+Tasks[[#This Row],[_Res2Work]]+Tasks[[#This Row],[_Res3Work]]+Tasks[[#This Row],[_Res4Work]]</f>
        <v/>
      </c>
      <c r="ER3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8" s="42">
        <f>IF(NOT(Tasks[[#This Row],[_IsLeaf]]=1),0,MAX(_xlfn.MAXIFS(Tasks[_Row],Tasks[_Pred1UID],Tasks[[#This Row],[UID]]),_xlfn.MAXIFS(Tasks[_Row],Tasks[_Pred2UID],Tasks[[#This Row],[UID]]),_xlfn.MAXIFS(Tasks[_Row],Tasks[_Pred3UID],Tasks[[#This Row],[UID]]),_xlfn.MAXIFS(Tasks[_Row],Tasks[_Pred4UID],Tasks[[#This Row],[UID]])))</f>
        <v/>
      </c>
      <c r="FA3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8" s="88">
        <f>IF(NOT(Tasks[[#This Row],[_IsLeaf]]=1),"",IF(N(Tasks[[#This Row],[_Days]])&lt;=0,Tasks[[#This Row],[_LeafLateFinish]],WORKDAY.INTL(Tasks[[#This Row],[_LeafLateFinish]],-(Tasks[[#This Row],[_Days]]-1),WorkWeek,Holidays)))</f>
        <v/>
      </c>
      <c r="FD3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8" s="42">
        <f>AND(Tasks[[#This Row],[_IsLeaf]]=1,Tasks[[#This Row],[_LeafProgress]]&lt;1,N(Tasks[[#This Row],[_LeafTotalSlack]])&lt;=CriticalSlackDays)</f>
        <v/>
      </c>
      <c r="FF38" s="42">
        <f>IF(AND(Tasks[[#This Row],[_IsLeaf]]=1,Tasks[[#This Row],[_ConstraintCode]]=1,Tasks[[#This Row],[Mode]]&lt;&gt;"Manual",N(Tasks[[#This Row],[Actual Start]])=0),MAX(0,N(Tasks[[#This Row],[Free Slack]])),0)</f>
        <v/>
      </c>
      <c r="FG38" s="88">
        <f>IF(NOT(Tasks[[#This Row],[_IsLeaf]]=1),"",IF(Tasks[[#This Row],[_AlapShift]]=0,Tasks[[#This Row],[_LeafCalcStart]],WORKDAY.INTL(Tasks[[#This Row],[_LeafCalcStart]],Tasks[[#This Row],[_AlapShift]],WorkWeek,Holidays)))</f>
        <v/>
      </c>
      <c r="FH38" s="88">
        <f>IF(NOT(Tasks[[#This Row],[_IsLeaf]]=1),"",IF(Tasks[[#This Row],[_AlapShift]]=0,Tasks[[#This Row],[_LeafCalcFinish]],WORKDAY.INTL(Tasks[[#This Row],[_LeafCalcFinish]],Tasks[[#This Row],[_AlapShift]],WorkWeek,Holidays)))</f>
        <v/>
      </c>
      <c r="FI38" s="88">
        <f>IF(NOT(Tasks[[#This Row],[_IsLeaf]]=1),"",IF(Tasks[[#This Row],[_AlapShift]]=0,Tasks[[#This Row],[_LeafFcstStart]],WORKDAY.INTL(Tasks[[#This Row],[_LeafFcstStart]],Tasks[[#This Row],[_AlapShift]],WorkWeek,Holidays)))</f>
        <v/>
      </c>
      <c r="FJ38" s="88">
        <f>IF(NOT(Tasks[[#This Row],[_IsLeaf]]=1),"",IF(Tasks[[#This Row],[_AlapShift]]=0,Tasks[[#This Row],[_LeafFcstFinish]],WORKDAY.INTL(Tasks[[#This Row],[_LeafFcstFinish]],Tasks[[#This Row],[_AlapShift]],WorkWeek,Holidays)))</f>
        <v/>
      </c>
      <c r="FK38" s="88">
        <f>IF(Tasks[[#This Row],[Task Name]]="","",IF(Tasks[[#This Row],[_IsSummary]],MIN(INDEX(Tasks[_ShownCalcStart],Tasks[[#This Row],[_Row]]+1):INDEX(Tasks[_ShownCalcStart],Tasks[[#This Row],[_Row]]+Tasks[[#This Row],[_Descendants]])),Tasks[[#This Row],[_ShownCalcStart]]))</f>
        <v/>
      </c>
      <c r="FL38" s="88">
        <f>IF(Tasks[[#This Row],[Task Name]]="","",IF(Tasks[[#This Row],[_IsSummary]],MAX(INDEX(Tasks[_ShownCalcFinish],Tasks[[#This Row],[_Row]]+1):INDEX(Tasks[_ShownCalcFinish],Tasks[[#This Row],[_Row]]+Tasks[[#This Row],[_Descendants]])),Tasks[[#This Row],[_ShownCalcFinish]]))</f>
        <v/>
      </c>
      <c r="FM3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8" s="42">
        <f>IF(AND(Tasks[[#This Row],[_IsLeaf]]=1,Tasks[[#This Row],[_LeafTotalWork]]&gt;0),NETWORKDAYS.INTL(ProjectStart,Tasks[[#This Row],[_ShownFcstStart]],WorkWeek,Holidays),0)</f>
        <v/>
      </c>
      <c r="FZ38" s="42">
        <f>IF(AND(Tasks[[#This Row],[_IsLeaf]]=1,Tasks[[#This Row],[_LeafTotalWork]]&gt;0),MAX(Tasks[[#This Row],[_StartWorkday]],NETWORKDAYS.INTL(ProjectStart,Tasks[[#This Row],[_ShownFcstFinish]],WorkWeek,Holidays)),0)</f>
        <v/>
      </c>
      <c r="GA38" s="42">
        <f>IF(AND(Tasks[[#This Row],[_IsLeaf]]=1,Tasks[[#This Row],[_LeafTotalWork]]&gt;0),Tasks[[#This Row],[_LeafWork]]/(Tasks[[#This Row],[_FinishWorkday]]-Tasks[[#This Row],[_StartWorkday]]+1),0)</f>
        <v/>
      </c>
      <c r="GB38" s="42">
        <f>Tasks[[#This Row],[_WorkPerWorkday]]*(Tasks[[#This Row],[_StartWorkday]]-1)</f>
        <v/>
      </c>
      <c r="GC38" s="42">
        <f>IF(Tasks[[#This Row],[_IsLeaf]]=1,MAX(N(Tasks[[#This Row],[_Days]]),0.1),0)</f>
        <v/>
      </c>
      <c r="GD38" s="42">
        <f>Tasks[[#This Row],[_WeightDur]]*Tasks[[#This Row],[_LeafProgress]]</f>
        <v/>
      </c>
      <c r="GE38" s="42">
        <f>Tasks[[#This Row],[_WeightDur]]*Tasks[[#This Row],[_PlannedPct]]</f>
        <v/>
      </c>
      <c r="GF3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8" s="42">
        <f>IF(AND(Tasks[[#This Row],[_IsLeaf]]=1,N(Tasks[[#This Row],[_Days]])=0,Tasks[[#This Row],[_LeafProgress]]&lt;1),Tasks[[#This Row],[_ShownFcstFinish]]+Tasks[[#This Row],[_Row]]/100000,"")</f>
        <v/>
      </c>
      <c r="GH3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8" s="42">
        <f>IF(Tasks[[#This Row],[Task Name]]="","",LEFT(Tasks[[#This Row],[WBS]],FIND(".",Tasks[[#This Row],[WBS]]&amp;".")-1))</f>
        <v/>
      </c>
      <c r="GJ38" s="42">
        <f>IF(AND(Tasks[[#This Row],[Task Name]]&lt;&gt;"",Tasks[[#This Row],[_Level]]=1),Tasks[[#This Row],[_Row]],"")</f>
        <v/>
      </c>
      <c r="GK38" s="42">
        <f>IF(AND(Tasks[[#This Row],[_IsLeaf]]=1,N(Tasks[[#This Row],[_Days]])=0),Tasks[[#This Row],[Planned Finish]]+Tasks[[#This Row],[_Row]]/100000,"")</f>
        <v/>
      </c>
      <c r="GL38" s="42">
        <f>IF(AND(Tasks[[#This Row],[_IsLeaf]]=1,Tasks[[#This Row],[_LeafProgress]]&lt;1,OR(N(Tasks[[#This Row],[Finish Var]])&gt;0,Tasks[[#This Row],[Status]]="Late Start")),MAX(0,Tasks[[#This Row],[Finish Var]])+1-Tasks[[#This Row],[_Row]]/1000000,"")</f>
        <v/>
      </c>
      <c r="GM38" s="42">
        <f>IF(AND(Tasks[[#This Row],[_IsLeaf]]=1,N(Tasks[[#This Row],[Actual Start]])=0,Tasks[[#This Row],[_ShownFcstStart]]&gt;=StatusDate,Tasks[[#This Row],[_ShownFcstStart]]&lt;=LookaheadEnd),Tasks[[#This Row],[_ShownFcstStart]]+Tasks[[#This Row],[_Row]]/100000,"")</f>
        <v/>
      </c>
      <c r="GN38" s="42">
        <f>IF(AND(Tasks[[#This Row],[_IsLeaf]]=1,Tasks[[#This Row],[_LeafProgress]]&lt;1,Tasks[[#This Row],[_ShownFcstFinish]]&gt;=StatusDate,Tasks[[#This Row],[_ShownFcstFinish]]&lt;=LookaheadEnd),Tasks[[#This Row],[_ShownFcstFinish]]+Tasks[[#This Row],[_Row]]/100000,"")</f>
        <v/>
      </c>
      <c r="GO38" s="42">
        <f>IF(Tasks[[#This Row],[_LeafCritical]],Tasks[[#This Row],[_ShownFcstStart]]+Tasks[[#This Row],[_Row]]/100000,"")</f>
        <v/>
      </c>
      <c r="GP38" s="42">
        <f>Tasks[[#This Row],[_LeafWork]]*Tasks[[#This Row],[_LeafProgress]]</f>
        <v/>
      </c>
      <c r="GQ38" s="88">
        <f>IF(AND(Tasks[[#This Row],[_IsLeaf]]=1,Tasks[[#This Row],[_LeafProgress]]&gt;=1),IF(N(Tasks[[#This Row],[Actual Finish]])&gt;0,Tasks[[#This Row],[Actual Finish]],Tasks[[#This Row],[_ShownFcstFinish]]),"")</f>
        <v/>
      </c>
      <c r="GR38" s="42">
        <f>IF(Tasks[[#This Row],[_IsLeaf]]=1,N(Tasks[[#This Row],[Story Points]]),0)</f>
        <v/>
      </c>
      <c r="GS38" s="42">
        <f>""</f>
        <v/>
      </c>
      <c r="GT38" s="42">
        <f>IF(Tasks[[#This Row],[Task Name]]="",FALSE(),AND(Tasks[[#This Row],[_IsLeaf]]=1,N(Tasks[[#This Row],[_Days]])=0))</f>
        <v/>
      </c>
      <c r="GU38" s="88">
        <f>IF(Tasks[[#This Row],[Task Name]]="",0,IF(AND(Tasks[[#This Row],[_IsLeaf]]=1,NOT(Tasks[[#This Row],[_IsMilestone]]),N(Tasks[[#This Row],[Progress]])&gt;0),Tasks[[#This Row],[Start]],0))</f>
        <v/>
      </c>
      <c r="GV38" s="88">
        <f>IF(Tasks[[#This Row],[_DoneFrom]]=0,0,IF(Tasks[[#This Row],[Progress]]&gt;=1,Tasks[[#This Row],[Finish]],MAX(Tasks[[#This Row],[_DoneFrom]],Tasks[[#This Row],[Start]]+ROUND((Tasks[[#This Row],[Finish]]-Tasks[[#This Row],[Start]]+1)*Tasks[[#This Row],[Progress]],0)-1)))</f>
        <v/>
      </c>
      <c r="GW38" s="88">
        <f>IF(Tasks[[#This Row],[Task Name]]="",0,IF(OR(NOT(Tasks[[#This Row],[_IsLeaf]]=1),Tasks[[#This Row],[_IsMilestone]],N(Tasks[[#This Row],[Progress]])&gt;=1),0,IF(Tasks[[#This Row],[_DoneTo]]&gt;0,Tasks[[#This Row],[_DoneTo]]+1,Tasks[[#This Row],[Start]])))</f>
        <v/>
      </c>
      <c r="GX38" s="88">
        <f>IF(Tasks[[#This Row],[_RemFrom]]=0,0,Tasks[[#This Row],[Finish]])</f>
        <v/>
      </c>
      <c r="GY38" s="42">
        <f>IF(Tasks[[#This Row],[Task Name]]="",FALSE(),OR(NOT(BaselineSet),N(Tasks[[#This Row],[Baseline Start]])&gt;0))</f>
        <v/>
      </c>
      <c r="GZ38" s="42">
        <f>IF(AND(Sandbox="Yes",L_PARSE_DURATION(Tasks[[#This Row],[Sandbox Duration]])&lt;&gt;""),L_PARSE_DURATION(Tasks[[#This Row],[Sandbox Duration]]),L_PARSE_DURATION(Tasks[[#This Row],[Duration]]))</f>
        <v/>
      </c>
      <c r="HA3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8" s="42">
        <f>IF(Tasks[[#This Row],[_IsLeaf]]=1,Tasks[[#This Row],[_Row]],"")</f>
        <v/>
      </c>
      <c r="HD38" s="42">
        <f>IFERROR(INDEX(Tasks[UID],SMALL(Tasks[_PickKey],Tasks[[#This Row],[_Row]]))&amp;" "&amp;INDEX(Tasks[Task Name],SMALL(Tasks[_PickKey],Tasks[[#This Row],[_Row]])),"")</f>
        <v/>
      </c>
      <c r="HE38" s="42">
        <f>IF(Tasks[[#This Row],[Task Name]]="","",IF(Tasks[[#This Row],[_IsSummary]],NETWORKDAYS.INTL(Tasks[[#This Row],[Start]],Tasks[[#This Row],[Finish]],WorkWeek,Holidays),N(Tasks[[#This Row],[_Days]])))</f>
        <v/>
      </c>
      <c r="HF38" s="42">
        <f>IF(Tasks[[#This Row],[Expected]]="",0,((Tasks[[#This Row],[Pessimistic]]-Tasks[[#This Row],[Optimistic]])/6)^2)</f>
        <v/>
      </c>
      <c r="HG38" s="42">
        <f>IF(Tasks[[#This Row],[Expected]]="",0,Tasks[[#This Row],[Expected]]-N(Tasks[[#This Row],[_Days]]))</f>
        <v/>
      </c>
    </row>
    <row r="39">
      <c r="A39" s="21">
        <f>IF(Tasks[[#This Row],[Task Name]]="","",COUNTA(Tasks[[#Headers],[Task Name]]:Tasks[[#This Row],[Task Name]])-1)</f>
        <v/>
      </c>
      <c r="B39" s="22" t="n">
        <v>47</v>
      </c>
      <c r="C39" s="22" t="n"/>
      <c r="D39" s="23" t="n"/>
      <c r="E39" s="22" t="n"/>
      <c r="F39" s="23" t="n"/>
      <c r="G39" s="22" t="n"/>
      <c r="H39" s="22" t="n"/>
      <c r="I39" s="23" t="n"/>
      <c r="J39" s="22" t="n"/>
      <c r="K39" s="22" t="n"/>
      <c r="L39" s="23" t="n"/>
      <c r="M39" s="22" t="n"/>
      <c r="N39" s="22" t="n"/>
      <c r="O39" s="23" t="n"/>
      <c r="P39" s="22" t="n"/>
      <c r="Q39" s="22" t="n"/>
      <c r="R39" s="23" t="n"/>
      <c r="S39" s="23" t="n"/>
      <c r="T39" s="82" t="n"/>
      <c r="U39" s="23" t="n"/>
      <c r="V39" s="82" t="n"/>
      <c r="W39" s="23" t="n"/>
      <c r="X39" s="82" t="n"/>
      <c r="Y39" s="23" t="n"/>
      <c r="Z39" s="82" t="n"/>
      <c r="AA39" s="23" t="n"/>
      <c r="AB39" s="23" t="n"/>
      <c r="AC39" s="7" t="n"/>
      <c r="AD39" s="7" t="n"/>
      <c r="AE39" s="61">
        <f>IF(Tasks[[#This Row],[Task Name]]="","",IF(Tasks[[#This Row],[_IsSummary]],MIN(INDEX(Tasks[_ShownFcstStart],Tasks[[#This Row],[_Row]]+1):INDEX(Tasks[_ShownFcstStart],Tasks[[#This Row],[_Row]]+Tasks[[#This Row],[_Descendants]])),Tasks[[#This Row],[_ShownFcstStart]]))</f>
        <v/>
      </c>
      <c r="AF39" s="61">
        <f>IF(Tasks[[#This Row],[Task Name]]="","",IF(Tasks[[#This Row],[_IsSummary]],MAX(INDEX(Tasks[_ShownFcstFinish],Tasks[[#This Row],[_Row]]+1):INDEX(Tasks[_ShownFcstFinish],Tasks[[#This Row],[_Row]]+Tasks[[#This Row],[_Descendants]])),Tasks[[#This Row],[_ShownFcstFinish]]))</f>
        <v/>
      </c>
      <c r="AG39" s="21">
        <f>""</f>
        <v/>
      </c>
      <c r="AH39" s="23" t="n"/>
      <c r="AI3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39" s="7" t="n"/>
      <c r="AK39" s="22" t="n"/>
      <c r="AL39" s="23" t="n"/>
      <c r="AM39" s="7" t="n"/>
      <c r="AN39" s="21">
        <f>IF(Tasks[[#This Row],[Task Name]]="","",IF(Tasks[[#This Row],[Finish]]&gt;=Tasks[[#This Row],[Planned Finish]],NETWORKDAYS.INTL(Tasks[[#This Row],[Planned Finish]],Tasks[[#This Row],[Finish]],WorkWeek,Holidays)-1,1-NETWORKDAYS.INTL(Tasks[[#This Row],[Finish]],Tasks[[#This Row],[Planned Finish]],WorkWeek,Holidays)))</f>
        <v/>
      </c>
      <c r="AO39" s="21">
        <f>IF(Tasks[[#This Row],[Task Name]]="","",IF(Tasks[[#This Row],[Progress]]&gt;=1,"Complete",IF(OR(N(Tasks[[#This Row],[Actual Start]])&gt;0,Tasks[[#This Row],[Progress]]&gt;0),IF(Tasks[[#This Row],[Finish Var]]&gt;0,"Behind","In Progress"),IF(Tasks[[#This Row],[Planned Start]]&lt;StatusDate,"Late Start","Not Started"))))</f>
        <v/>
      </c>
      <c r="AP39" s="21">
        <f>IF(Tasks[[#This Row],[Task Name]]="","",IF(IF(Tasks[[#This Row],[_IsSummary]],COUNTIF(INDEX(Tasks[_LeafCritical],Tasks[[#This Row],[_Row]]+1):INDEX(Tasks[_LeafCritical],Tasks[[#This Row],[_Row]]+Tasks[[#This Row],[_Descendants]]),TRUE())&gt;0,Tasks[[#This Row],[_LeafCritical]]),"Yes",""))</f>
        <v/>
      </c>
      <c r="AQ39" s="61">
        <f>IF(Tasks[[#This Row],[Task Name]]="","",IF(N(Tasks[[#This Row],[Baseline Start]])&gt;0,Tasks[[#This Row],[Baseline Start]],Tasks[[#This Row],[_CalcStart]]))</f>
        <v/>
      </c>
      <c r="AR39" s="61">
        <f>IF(Tasks[[#This Row],[Task Name]]="","",IF(N(Tasks[[#This Row],[Baseline Finish]])&gt;0,Tasks[[#This Row],[Baseline Finish]],Tasks[[#This Row],[_CalcFinish]]))</f>
        <v/>
      </c>
      <c r="AS39" s="21">
        <f>IF(Tasks[[#This Row],[Task Name]]="","",IF(Tasks[[#This Row],[Start]]&gt;=Tasks[[#This Row],[Planned Start]],NETWORKDAYS.INTL(Tasks[[#This Row],[Planned Start]],Tasks[[#This Row],[Start]],WorkWeek,Holidays)-1,1-NETWORKDAYS.INTL(Tasks[[#This Row],[Start]],Tasks[[#This Row],[Planned Start]],WorkWeek,Holidays)))</f>
        <v/>
      </c>
      <c r="AT39" s="61">
        <f>IF(Tasks[[#This Row],[Task Name]]="","",IF(Tasks[[#This Row],[_IsSummary]],MIN(INDEX(Tasks[_LeafLateStart],Tasks[[#This Row],[_Row]]+1):INDEX(Tasks[_LeafLateStart],Tasks[[#This Row],[_Row]]+Tasks[[#This Row],[_Descendants]])),Tasks[[#This Row],[_LeafLateStart]]))</f>
        <v/>
      </c>
      <c r="AU39" s="61">
        <f>IF(Tasks[[#This Row],[Task Name]]="","",IF(Tasks[[#This Row],[_IsSummary]],MAX(INDEX(Tasks[_LeafLateFinish],Tasks[[#This Row],[_Row]]+1):INDEX(Tasks[_LeafLateFinish],Tasks[[#This Row],[_Row]]+Tasks[[#This Row],[_Descendants]])),Tasks[[#This Row],[_LeafLateFinish]]))</f>
        <v/>
      </c>
      <c r="AV39" s="21">
        <f>IF(Tasks[[#This Row],[Task Name]]="","",IF(Tasks[[#This Row],[_IsSummary]],MIN(INDEX(Tasks[_LeafTotalSlack],Tasks[[#This Row],[_Row]]+1):INDEX(Tasks[_LeafTotalSlack],Tasks[[#This Row],[_Row]]+Tasks[[#This Row],[_Descendants]])),Tasks[[#This Row],[_LeafTotalSlack]]))</f>
        <v/>
      </c>
      <c r="AW3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3" t="n"/>
      <c r="BA3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f>IF(Tasks[[#This Row],[Task Name]]="","",IF(Tasks[[#This Row],[_Level]]&lt;=OutlineShowLevel,"Yes","No"))</f>
        <v/>
      </c>
      <c r="BE39" s="84">
        <f>IF(Tasks[[#This Row],[Task Name]]="","",IF(Tasks[[#This Row],[_IsSummary]],SUM(INDEX(Tasks[_LeafTotalWork],Tasks[[#This Row],[_Row]]+1):INDEX(Tasks[_LeafTotalWork],Tasks[[#This Row],[_Row]]+Tasks[[#This Row],[_Descendants]])),Tasks[[#This Row],[_LeafTotalWork]]))</f>
        <v/>
      </c>
      <c r="BF39" s="23" t="n"/>
      <c r="BG3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f>""</f>
        <v/>
      </c>
      <c r="BI39" s="85" t="n"/>
      <c r="BJ39" s="22" t="n"/>
      <c r="BK39" s="21">
        <f>IF(OR(Tasks[[#This Row],[Task Name]]="",Tasks[[#This Row],[Baseline Duration]]=""),"",Tasks[[#This Row],[_SpanDays]]-N(Tasks[[#This Row],[Baseline Duration]]))</f>
        <v/>
      </c>
      <c r="BL39" s="84">
        <f>IF(OR(Tasks[[#This Row],[Task Name]]="",Tasks[[#This Row],[Baseline Work]]=""),"",Tasks[[#This Row],[Work]]-N(Tasks[[#This Row],[Baseline Work]]))</f>
        <v/>
      </c>
      <c r="BM39" s="61">
        <f>IF(Tasks[[#This Row],[Task Name]]="","",IF(OR(TakeBaseline="Yes",N(Tasks[[#This Row],[Baseline Start]])=0),Tasks[[#This Row],[Start]],Tasks[[#This Row],[Baseline Start]]))</f>
        <v/>
      </c>
      <c r="BN39" s="61">
        <f>IF(Tasks[[#This Row],[Task Name]]="","",IF(OR(TakeBaseline="Yes",N(Tasks[[#This Row],[Baseline Finish]])=0),Tasks[[#This Row],[Finish]],Tasks[[#This Row],[Baseline Finish]]))</f>
        <v/>
      </c>
      <c r="BO39" s="21">
        <f>IF(Tasks[[#This Row],[Task Name]]="","",IF(OR(TakeBaseline="Yes",N(Tasks[[#This Row],[Baseline Duration]])=0),Tasks[[#This Row],[_SpanDays]],Tasks[[#This Row],[Baseline Duration]]))</f>
        <v/>
      </c>
      <c r="BP39" s="84">
        <f>IF(Tasks[[#This Row],[Task Name]]="","",IF(OR(TakeBaseline="Yes",N(Tasks[[#This Row],[Baseline Work]])=0),Tasks[[#This Row],[Work]],Tasks[[#This Row],[Baseline Work]]))</f>
        <v/>
      </c>
      <c r="BQ39" s="7" t="n"/>
      <c r="BR39" s="7" t="n"/>
      <c r="BS39" s="22" t="n"/>
      <c r="BT39" s="86" t="n"/>
      <c r="BU39" s="23" t="n"/>
      <c r="BV39" s="23" t="n"/>
      <c r="BW39" s="23" t="n"/>
      <c r="BX39" s="87">
        <f>IF(AND(Tasks[[#This Row],[_IsLeaf]]=1,ISNUMBER(Tasks[[#This Row],[Optimistic]]),ISNUMBER(Tasks[[#This Row],[Pessimistic]])),ROUND((Tasks[[#This Row],[Optimistic]]+4*N(Tasks[[#This Row],[_Days]])+Tasks[[#This Row],[Pessimistic]])/6,1),"")</f>
        <v/>
      </c>
      <c r="BY39" s="85" t="n"/>
      <c r="BZ39" s="85" t="n"/>
      <c r="CA39" s="22" t="n"/>
      <c r="CB39" s="42">
        <f>IF(Tasks[[#This Row],[Task Name]]="","",MAX(1,N(Tasks[[#This Row],[Level]])))</f>
        <v/>
      </c>
      <c r="CC39" s="42">
        <f>ROW()-ROW(Tasks[[#Headers],[ID]])</f>
        <v/>
      </c>
      <c r="CD39" s="42">
        <f>IF(OR(Tasks[[#This Row],[Task Name]]="",Tasks[[#This Row],[_Level]]&lt;=1),0,IFERROR(LOOKUP(2,1/(Tasks[[#Headers],[_Level]]:Tasks[[#This Row],[_Level]]=Tasks[[#This Row],[_Level]]-1),ROW(Tasks[[#Headers],[_Level]]:Tasks[[#This Row],[_Level]])),0))</f>
        <v/>
      </c>
      <c r="CE39" s="42">
        <f>IFERROR(N(INDEX(Tasks[_Level],Tasks[[#This Row],[_Row]]+1)),0)</f>
        <v/>
      </c>
      <c r="CF39" s="42">
        <f>AND(Tasks[[#This Row],[Task Name]]&lt;&gt;"",Tasks[[#This Row],[_NextLevel]]&gt;Tasks[[#This Row],[_Level]])</f>
        <v/>
      </c>
      <c r="CG39" s="42">
        <f>IF(Tasks[[#This Row],[_IsSummary]],COUNTIF(Tasks[WBS],Tasks[[#This Row],[WBS]]&amp;".*"),0)</f>
        <v/>
      </c>
      <c r="CH39" s="42">
        <f>IF(AND(Tasks[[#This Row],[Task Name]]&lt;&gt;"",NOT(Tasks[[#This Row],[_IsSummary]])),1,0)</f>
        <v/>
      </c>
      <c r="CI39" s="42">
        <f>IF(N(Tasks[[#This Row],[_Pred1UID]])=0,0,IFERROR(MATCH(Tasks[[#This Row],[_Pred1UID]],Tasks[UID],0),-1))</f>
        <v/>
      </c>
      <c r="CJ39" s="42">
        <f>IF(N(Tasks[[#This Row],[_Pred2UID]])=0,0,IFERROR(MATCH(Tasks[[#This Row],[_Pred2UID]],Tasks[UID],0),-1))</f>
        <v/>
      </c>
      <c r="CK39" s="42">
        <f>IF(N(Tasks[[#This Row],[_Pred3UID]])=0,0,IFERROR(MATCH(Tasks[[#This Row],[_Pred3UID]],Tasks[UID],0),-1))</f>
        <v/>
      </c>
      <c r="CL39" s="42">
        <f>IF(N(Tasks[[#This Row],[_Pred4UID]])=0,0,IFERROR(MATCH(Tasks[[#This Row],[_Pred4UID]],Tasks[UID],0),-1))</f>
        <v/>
      </c>
      <c r="CM3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9" s="88">
        <f>IF(N(Tasks[[#This Row],[Constraint Date]])=0,0,IF(AND(OR(Tasks[[#This Row],[_ConstraintCode]]=3,Tasks[[#This Row],[_ConstraintCode]]=6,Tasks[[#This Row],[_ConstraintCode]]=7),N(Tasks[[#This Row],[_Days]])&gt;1),WORKDAY.INTL(N(Tasks[[#This Row],[Constraint Date]]),-(N(Tasks[[#This Row],[_Days]])-1),WorkWeek,Holidays),N(Tasks[[#This Row],[Constraint Date]])))</f>
        <v/>
      </c>
      <c r="CO39" s="88">
        <f>IF(OR(Tasks[[#This Row],[_ConstraintCode]]=2,Tasks[[#This Row],[_ConstraintCode]]=3,Tasks[[#This Row],[_ConstraintCode]]=4,Tasks[[#This Row],[_ConstraintCode]]=6),Tasks[[#This Row],[_ConstraintStart]],0)</f>
        <v/>
      </c>
      <c r="CP39" s="88">
        <f>IF(OR(Tasks[[#This Row],[_ConstraintCode]]=2,Tasks[[#This Row],[_ConstraintCode]]=3,Tasks[[#This Row],[_ConstraintCode]]=5,Tasks[[#This Row],[_ConstraintCode]]=7),Tasks[[#This Row],[_ConstraintStart]],2958465)</f>
        <v/>
      </c>
      <c r="CQ3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9" s="88">
        <f>IF(NOT(Tasks[[#This Row],[_IsLeaf]]=1),"",IF(N(Tasks[[#This Row],[_Days]])&lt;=0,Tasks[[#This Row],[_LeafCalcStart]],WORKDAY.INTL(Tasks[[#This Row],[_LeafCalcStart]],Tasks[[#This Row],[_Days]]-1,WorkWeek,Holidays)))</f>
        <v/>
      </c>
      <c r="CS3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9" s="42">
        <f>IF(Tasks[[#This Row],[_Predecessors]]="","",TRIM(MID(SUBSTITUTE(SUBSTITUTE(SUBSTITUTE(UPPER(Tasks[[#This Row],[_Predecessors]]),";",",")," ",""),",",REPT(" ",99)),1,99)))</f>
        <v/>
      </c>
      <c r="CV39" s="42">
        <f>IF(Tasks[[#This Row],[_Pred1Text]]="","",IFERROR(VALUE(LEFT(Tasks[[#This Row],[_Pred1Text]],MIN(FIND("F",Tasks[[#This Row],[_Pred1Text]]&amp;"F"),FIND("S",Tasks[[#This Row],[_Pred1Text]]&amp;"S"),FIND("+",Tasks[[#This Row],[_Pred1Text]]&amp;"+"),FIND("-",Tasks[[#This Row],[_Pred1Text]]&amp;"-"))-1)),""))</f>
        <v/>
      </c>
      <c r="CW3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9" s="42">
        <f>IF(Tasks[[#This Row],[_Pred1Text]]="","",TRIM(MID(SUBSTITUTE(SUBSTITUTE(SUBSTITUTE(UPPER(Tasks[[#This Row],[_Predecessors]]),";",",")," ",""),",",REPT(" ",99)),100,99)))</f>
        <v/>
      </c>
      <c r="CZ39" s="42">
        <f>IF(Tasks[[#This Row],[_Pred2Text]]="","",IFERROR(VALUE(LEFT(Tasks[[#This Row],[_Pred2Text]],MIN(FIND("F",Tasks[[#This Row],[_Pred2Text]]&amp;"F"),FIND("S",Tasks[[#This Row],[_Pred2Text]]&amp;"S"),FIND("+",Tasks[[#This Row],[_Pred2Text]]&amp;"+"),FIND("-",Tasks[[#This Row],[_Pred2Text]]&amp;"-"))-1)),""))</f>
        <v/>
      </c>
      <c r="DA3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9" s="42">
        <f>IF(Tasks[[#This Row],[_Pred2Text]]="","",TRIM(MID(SUBSTITUTE(SUBSTITUTE(SUBSTITUTE(UPPER(Tasks[[#This Row],[_Predecessors]]),";",",")," ",""),",",REPT(" ",99)),199,99)))</f>
        <v/>
      </c>
      <c r="DD39" s="42">
        <f>IF(Tasks[[#This Row],[_Pred3Text]]="","",IFERROR(VALUE(LEFT(Tasks[[#This Row],[_Pred3Text]],MIN(FIND("F",Tasks[[#This Row],[_Pred3Text]]&amp;"F"),FIND("S",Tasks[[#This Row],[_Pred3Text]]&amp;"S"),FIND("+",Tasks[[#This Row],[_Pred3Text]]&amp;"+"),FIND("-",Tasks[[#This Row],[_Pred3Text]]&amp;"-"))-1)),""))</f>
        <v/>
      </c>
      <c r="DE3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9" s="42">
        <f>IF(Tasks[[#This Row],[_Pred3Text]]="","",TRIM(MID(SUBSTITUTE(SUBSTITUTE(SUBSTITUTE(UPPER(Tasks[[#This Row],[_Predecessors]]),";",",")," ",""),",",REPT(" ",99)),298,99)))</f>
        <v/>
      </c>
      <c r="DH39" s="42">
        <f>IF(Tasks[[#This Row],[_Pred4Text]]="","",IFERROR(VALUE(LEFT(Tasks[[#This Row],[_Pred4Text]],MIN(FIND("F",Tasks[[#This Row],[_Pred4Text]]&amp;"F"),FIND("S",Tasks[[#This Row],[_Pred4Text]]&amp;"S"),FIND("+",Tasks[[#This Row],[_Pred4Text]]&amp;"+"),FIND("-",Tasks[[#This Row],[_Pred4Text]]&amp;"-"))-1)),""))</f>
        <v/>
      </c>
      <c r="DI3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9" s="42">
        <f>IF(OR(Tasks[[#This Row],[Task Name]]="",Tasks[[#This Row],[_Resources]]=""),"",TRIM(MID(SUBSTITUTE(Tasks[[#This Row],[_Resources]],",",REPT(" ",99)),1,99)))</f>
        <v/>
      </c>
      <c r="DL39" s="42">
        <f>IF(Tasks[[#This Row],[_Res1Text]]="","",TRIM(MID(SUBSTITUTE(Tasks[[#This Row],[_Resources]],",",REPT(" ",99)),100,99)))</f>
        <v/>
      </c>
      <c r="DM39" s="42">
        <f>IF(Tasks[[#This Row],[_Res2Text]]="","",TRIM(MID(SUBSTITUTE(Tasks[[#This Row],[_Resources]],",",REPT(" ",99)),199,99)))</f>
        <v/>
      </c>
      <c r="DN39" s="42">
        <f>IF(Tasks[[#This Row],[_Res3Text]]="","",TRIM(MID(SUBSTITUTE(Tasks[[#This Row],[_Resources]],",",REPT(" ",99)),298,99)))</f>
        <v/>
      </c>
      <c r="DO39" s="42">
        <f>IF(Tasks[[#This Row],[_Res1Text]]="",0,IFERROR(MATCH(TRIM(LEFT(Tasks[[#This Row],[_Res1Text]],FIND("[",Tasks[[#This Row],[_Res1Text]]&amp;"[")-1)),res_Name,0),IFERROR(MATCH(TRIM(LEFT(Tasks[[#This Row],[_Res1Text]],FIND("[",Tasks[[#This Row],[_Res1Text]]&amp;"[")-1)),res_Initials,0),0)))</f>
        <v/>
      </c>
      <c r="DP39" s="42">
        <f>IF(Tasks[[#This Row],[_Res2Text]]="",0,IFERROR(MATCH(TRIM(LEFT(Tasks[[#This Row],[_Res2Text]],FIND("[",Tasks[[#This Row],[_Res2Text]]&amp;"[")-1)),res_Name,0),IFERROR(MATCH(TRIM(LEFT(Tasks[[#This Row],[_Res2Text]],FIND("[",Tasks[[#This Row],[_Res2Text]]&amp;"[")-1)),res_Initials,0),0)))</f>
        <v/>
      </c>
      <c r="DQ39" s="42">
        <f>IF(Tasks[[#This Row],[_Res3Text]]="",0,IFERROR(MATCH(TRIM(LEFT(Tasks[[#This Row],[_Res3Text]],FIND("[",Tasks[[#This Row],[_Res3Text]]&amp;"[")-1)),res_Name,0),IFERROR(MATCH(TRIM(LEFT(Tasks[[#This Row],[_Res3Text]],FIND("[",Tasks[[#This Row],[_Res3Text]]&amp;"[")-1)),res_Initials,0),0)))</f>
        <v/>
      </c>
      <c r="DR39" s="42">
        <f>IF(Tasks[[#This Row],[_Res4Text]]="",0,IFERROR(MATCH(TRIM(LEFT(Tasks[[#This Row],[_Res4Text]],FIND("[",Tasks[[#This Row],[_Res4Text]]&amp;"[")-1)),res_Name,0),IFERROR(MATCH(TRIM(LEFT(Tasks[[#This Row],[_Res4Text]],FIND("[",Tasks[[#This Row],[_Res4Text]]&amp;"[")-1)),res_Initials,0),0)))</f>
        <v/>
      </c>
      <c r="DS39" s="42">
        <f>IF(Tasks[[#This Row],[_Res1Text]]="","",IF(Tasks[[#This Row],[_Res1Row]]&gt;0,INDEX(res_Name,Tasks[[#This Row],[_Res1Row]]),TRIM(LEFT(Tasks[[#This Row],[_Res1Text]],FIND("[",Tasks[[#This Row],[_Res1Text]]&amp;"[")-1))))</f>
        <v/>
      </c>
      <c r="DT3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9" s="42">
        <f>IF(NOT(Tasks[[#This Row],[_IsLeaf]]=1),0,(Tasks[[#This Row],[_Resource1]]&lt;&gt;"")+(Tasks[[#This Row],[_Res2]]&lt;&gt;"")+(Tasks[[#This Row],[_Res3]]&lt;&gt;"")+(Tasks[[#This Row],[_Res4]]&lt;&gt;""))</f>
        <v/>
      </c>
      <c r="DV39" s="42">
        <f>IF(Tasks[[#This Row],[_Res2Text]]="","",IF(Tasks[[#This Row],[_Res2Row]]&gt;0,INDEX(res_Name,Tasks[[#This Row],[_Res2Row]]),TRIM(LEFT(Tasks[[#This Row],[_Res2Text]],FIND("[",Tasks[[#This Row],[_Res2Text]]&amp;"[")-1))))</f>
        <v/>
      </c>
      <c r="DW3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9" s="42">
        <f>IF(OR(NOT(Tasks[[#This Row],[_IsLeaf]]=1),Tasks[[#This Row],[_Res2Row]]=0),0,N(Tasks[[#This Row],[_Days]])*HoursPerDay*IF(Tasks[[#This Row],[_Res2Units]]="",DefaultUnits,Tasks[[#This Row],[_Res2Units]]))</f>
        <v/>
      </c>
      <c r="DY39" s="42">
        <f>IF(AND(AND(Tasks[[#This Row],[_IsLeaf]]=1,Tasks[[#This Row],[_LeafTotalWork]]&gt;0),Tasks[[#This Row],[_Res2Work]]&gt;0),Tasks[[#This Row],[_Res2Work]]/(Tasks[[#This Row],[_FinishWorkday]]-Tasks[[#This Row],[_StartWorkday]]+1),0)</f>
        <v/>
      </c>
      <c r="DZ39" s="42">
        <f>Tasks[[#This Row],[_Res2WorkPerWD]]*MAX(0,Tasks[[#This Row],[_StartWorkday]]-1)</f>
        <v/>
      </c>
      <c r="EA39" s="42">
        <f>Tasks[[#This Row],[_Res2Work]]*Tasks[[#This Row],[_LeafProgress]]</f>
        <v/>
      </c>
      <c r="EB39" s="42">
        <f>IF(Tasks[[#This Row],[_Res3Text]]="","",IF(Tasks[[#This Row],[_Res3Row]]&gt;0,INDEX(res_Name,Tasks[[#This Row],[_Res3Row]]),TRIM(LEFT(Tasks[[#This Row],[_Res3Text]],FIND("[",Tasks[[#This Row],[_Res3Text]]&amp;"[")-1))))</f>
        <v/>
      </c>
      <c r="EC3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9" s="42">
        <f>IF(OR(NOT(Tasks[[#This Row],[_IsLeaf]]=1),Tasks[[#This Row],[_Res3Row]]=0),0,N(Tasks[[#This Row],[_Days]])*HoursPerDay*IF(Tasks[[#This Row],[_Res3Units]]="",DefaultUnits,Tasks[[#This Row],[_Res3Units]]))</f>
        <v/>
      </c>
      <c r="EE39" s="42">
        <f>IF(AND(AND(Tasks[[#This Row],[_IsLeaf]]=1,Tasks[[#This Row],[_LeafTotalWork]]&gt;0),Tasks[[#This Row],[_Res3Work]]&gt;0),Tasks[[#This Row],[_Res3Work]]/(Tasks[[#This Row],[_FinishWorkday]]-Tasks[[#This Row],[_StartWorkday]]+1),0)</f>
        <v/>
      </c>
      <c r="EF39" s="42">
        <f>Tasks[[#This Row],[_Res3WorkPerWD]]*MAX(0,Tasks[[#This Row],[_StartWorkday]]-1)</f>
        <v/>
      </c>
      <c r="EG39" s="42">
        <f>Tasks[[#This Row],[_Res3Work]]*Tasks[[#This Row],[_LeafProgress]]</f>
        <v/>
      </c>
      <c r="EH39" s="42">
        <f>IF(Tasks[[#This Row],[_Res4Text]]="","",IF(Tasks[[#This Row],[_Res4Row]]&gt;0,INDEX(res_Name,Tasks[[#This Row],[_Res4Row]]),TRIM(LEFT(Tasks[[#This Row],[_Res4Text]],FIND("[",Tasks[[#This Row],[_Res4Text]]&amp;"[")-1))))</f>
        <v/>
      </c>
      <c r="EI3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9" s="42">
        <f>IF(OR(NOT(Tasks[[#This Row],[_IsLeaf]]=1),Tasks[[#This Row],[_Res4Row]]=0),0,N(Tasks[[#This Row],[_Days]])*HoursPerDay*IF(Tasks[[#This Row],[_Res4Units]]="",DefaultUnits,Tasks[[#This Row],[_Res4Units]]))</f>
        <v/>
      </c>
      <c r="EK39" s="42">
        <f>IF(AND(AND(Tasks[[#This Row],[_IsLeaf]]=1,Tasks[[#This Row],[_LeafTotalWork]]&gt;0),Tasks[[#This Row],[_Res4Work]]&gt;0),Tasks[[#This Row],[_Res4Work]]/(Tasks[[#This Row],[_FinishWorkday]]-Tasks[[#This Row],[_StartWorkday]]+1),0)</f>
        <v/>
      </c>
      <c r="EL39" s="42">
        <f>Tasks[[#This Row],[_Res4WorkPerWD]]*MAX(0,Tasks[[#This Row],[_StartWorkday]]-1)</f>
        <v/>
      </c>
      <c r="EM39" s="42">
        <f>Tasks[[#This Row],[_Res4Work]]*Tasks[[#This Row],[_LeafProgress]]</f>
        <v/>
      </c>
      <c r="EN39" s="42">
        <f>IF(ISNUMBER(Tasks[[#This Row],[% Complete]]),Tasks[[#This Row],[% Complete]],IF(Tasks[[#This Row],[Stage]]="",0,IFERROR(INDEX(stg_Pct,MATCH(Tasks[[#This Row],[Stage]],stg_Name,0)),0)))</f>
        <v/>
      </c>
      <c r="EO39" s="42">
        <f>IF(NOT(Tasks[[#This Row],[_IsLeaf]]=1),0,IF(N(Tasks[[#This Row],[Actual Finish]])&gt;0,1,MIN(1,Tasks[[#This Row],[_Pct]])))</f>
        <v/>
      </c>
      <c r="EP39" s="42">
        <f>IF(OR(NOT(Tasks[[#This Row],[_IsLeaf]]=1),Tasks[[#This Row],[_Res1Row]]=0),0,N(Tasks[[#This Row],[_Days]])*HoursPerDay*IF(Tasks[[#This Row],[_Units1]]="",DefaultUnits,Tasks[[#This Row],[_Units1]]))</f>
        <v/>
      </c>
      <c r="EQ39" s="42">
        <f>Tasks[[#This Row],[_LeafWork]]+Tasks[[#This Row],[_Res2Work]]+Tasks[[#This Row],[_Res3Work]]+Tasks[[#This Row],[_Res4Work]]</f>
        <v/>
      </c>
      <c r="ER3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9" s="42">
        <f>IF(NOT(Tasks[[#This Row],[_IsLeaf]]=1),0,MAX(_xlfn.MAXIFS(Tasks[_Row],Tasks[_Pred1UID],Tasks[[#This Row],[UID]]),_xlfn.MAXIFS(Tasks[_Row],Tasks[_Pred2UID],Tasks[[#This Row],[UID]]),_xlfn.MAXIFS(Tasks[_Row],Tasks[_Pred3UID],Tasks[[#This Row],[UID]]),_xlfn.MAXIFS(Tasks[_Row],Tasks[_Pred4UID],Tasks[[#This Row],[UID]])))</f>
        <v/>
      </c>
      <c r="FA3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9" s="88">
        <f>IF(NOT(Tasks[[#This Row],[_IsLeaf]]=1),"",IF(N(Tasks[[#This Row],[_Days]])&lt;=0,Tasks[[#This Row],[_LeafLateFinish]],WORKDAY.INTL(Tasks[[#This Row],[_LeafLateFinish]],-(Tasks[[#This Row],[_Days]]-1),WorkWeek,Holidays)))</f>
        <v/>
      </c>
      <c r="FD3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9" s="42">
        <f>AND(Tasks[[#This Row],[_IsLeaf]]=1,Tasks[[#This Row],[_LeafProgress]]&lt;1,N(Tasks[[#This Row],[_LeafTotalSlack]])&lt;=CriticalSlackDays)</f>
        <v/>
      </c>
      <c r="FF39" s="42">
        <f>IF(AND(Tasks[[#This Row],[_IsLeaf]]=1,Tasks[[#This Row],[_ConstraintCode]]=1,Tasks[[#This Row],[Mode]]&lt;&gt;"Manual",N(Tasks[[#This Row],[Actual Start]])=0),MAX(0,N(Tasks[[#This Row],[Free Slack]])),0)</f>
        <v/>
      </c>
      <c r="FG39" s="88">
        <f>IF(NOT(Tasks[[#This Row],[_IsLeaf]]=1),"",IF(Tasks[[#This Row],[_AlapShift]]=0,Tasks[[#This Row],[_LeafCalcStart]],WORKDAY.INTL(Tasks[[#This Row],[_LeafCalcStart]],Tasks[[#This Row],[_AlapShift]],WorkWeek,Holidays)))</f>
        <v/>
      </c>
      <c r="FH39" s="88">
        <f>IF(NOT(Tasks[[#This Row],[_IsLeaf]]=1),"",IF(Tasks[[#This Row],[_AlapShift]]=0,Tasks[[#This Row],[_LeafCalcFinish]],WORKDAY.INTL(Tasks[[#This Row],[_LeafCalcFinish]],Tasks[[#This Row],[_AlapShift]],WorkWeek,Holidays)))</f>
        <v/>
      </c>
      <c r="FI39" s="88">
        <f>IF(NOT(Tasks[[#This Row],[_IsLeaf]]=1),"",IF(Tasks[[#This Row],[_AlapShift]]=0,Tasks[[#This Row],[_LeafFcstStart]],WORKDAY.INTL(Tasks[[#This Row],[_LeafFcstStart]],Tasks[[#This Row],[_AlapShift]],WorkWeek,Holidays)))</f>
        <v/>
      </c>
      <c r="FJ39" s="88">
        <f>IF(NOT(Tasks[[#This Row],[_IsLeaf]]=1),"",IF(Tasks[[#This Row],[_AlapShift]]=0,Tasks[[#This Row],[_LeafFcstFinish]],WORKDAY.INTL(Tasks[[#This Row],[_LeafFcstFinish]],Tasks[[#This Row],[_AlapShift]],WorkWeek,Holidays)))</f>
        <v/>
      </c>
      <c r="FK39" s="88">
        <f>IF(Tasks[[#This Row],[Task Name]]="","",IF(Tasks[[#This Row],[_IsSummary]],MIN(INDEX(Tasks[_ShownCalcStart],Tasks[[#This Row],[_Row]]+1):INDEX(Tasks[_ShownCalcStart],Tasks[[#This Row],[_Row]]+Tasks[[#This Row],[_Descendants]])),Tasks[[#This Row],[_ShownCalcStart]]))</f>
        <v/>
      </c>
      <c r="FL39" s="88">
        <f>IF(Tasks[[#This Row],[Task Name]]="","",IF(Tasks[[#This Row],[_IsSummary]],MAX(INDEX(Tasks[_ShownCalcFinish],Tasks[[#This Row],[_Row]]+1):INDEX(Tasks[_ShownCalcFinish],Tasks[[#This Row],[_Row]]+Tasks[[#This Row],[_Descendants]])),Tasks[[#This Row],[_ShownCalcFinish]]))</f>
        <v/>
      </c>
      <c r="FM3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9" s="42">
        <f>IF(AND(Tasks[[#This Row],[_IsLeaf]]=1,Tasks[[#This Row],[_LeafTotalWork]]&gt;0),NETWORKDAYS.INTL(ProjectStart,Tasks[[#This Row],[_ShownFcstStart]],WorkWeek,Holidays),0)</f>
        <v/>
      </c>
      <c r="FZ39" s="42">
        <f>IF(AND(Tasks[[#This Row],[_IsLeaf]]=1,Tasks[[#This Row],[_LeafTotalWork]]&gt;0),MAX(Tasks[[#This Row],[_StartWorkday]],NETWORKDAYS.INTL(ProjectStart,Tasks[[#This Row],[_ShownFcstFinish]],WorkWeek,Holidays)),0)</f>
        <v/>
      </c>
      <c r="GA39" s="42">
        <f>IF(AND(Tasks[[#This Row],[_IsLeaf]]=1,Tasks[[#This Row],[_LeafTotalWork]]&gt;0),Tasks[[#This Row],[_LeafWork]]/(Tasks[[#This Row],[_FinishWorkday]]-Tasks[[#This Row],[_StartWorkday]]+1),0)</f>
        <v/>
      </c>
      <c r="GB39" s="42">
        <f>Tasks[[#This Row],[_WorkPerWorkday]]*(Tasks[[#This Row],[_StartWorkday]]-1)</f>
        <v/>
      </c>
      <c r="GC39" s="42">
        <f>IF(Tasks[[#This Row],[_IsLeaf]]=1,MAX(N(Tasks[[#This Row],[_Days]]),0.1),0)</f>
        <v/>
      </c>
      <c r="GD39" s="42">
        <f>Tasks[[#This Row],[_WeightDur]]*Tasks[[#This Row],[_LeafProgress]]</f>
        <v/>
      </c>
      <c r="GE39" s="42">
        <f>Tasks[[#This Row],[_WeightDur]]*Tasks[[#This Row],[_PlannedPct]]</f>
        <v/>
      </c>
      <c r="GF3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9" s="42">
        <f>IF(AND(Tasks[[#This Row],[_IsLeaf]]=1,N(Tasks[[#This Row],[_Days]])=0,Tasks[[#This Row],[_LeafProgress]]&lt;1),Tasks[[#This Row],[_ShownFcstFinish]]+Tasks[[#This Row],[_Row]]/100000,"")</f>
        <v/>
      </c>
      <c r="GH3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9" s="42">
        <f>IF(Tasks[[#This Row],[Task Name]]="","",LEFT(Tasks[[#This Row],[WBS]],FIND(".",Tasks[[#This Row],[WBS]]&amp;".")-1))</f>
        <v/>
      </c>
      <c r="GJ39" s="42">
        <f>IF(AND(Tasks[[#This Row],[Task Name]]&lt;&gt;"",Tasks[[#This Row],[_Level]]=1),Tasks[[#This Row],[_Row]],"")</f>
        <v/>
      </c>
      <c r="GK39" s="42">
        <f>IF(AND(Tasks[[#This Row],[_IsLeaf]]=1,N(Tasks[[#This Row],[_Days]])=0),Tasks[[#This Row],[Planned Finish]]+Tasks[[#This Row],[_Row]]/100000,"")</f>
        <v/>
      </c>
      <c r="GL39" s="42">
        <f>IF(AND(Tasks[[#This Row],[_IsLeaf]]=1,Tasks[[#This Row],[_LeafProgress]]&lt;1,OR(N(Tasks[[#This Row],[Finish Var]])&gt;0,Tasks[[#This Row],[Status]]="Late Start")),MAX(0,Tasks[[#This Row],[Finish Var]])+1-Tasks[[#This Row],[_Row]]/1000000,"")</f>
        <v/>
      </c>
      <c r="GM39" s="42">
        <f>IF(AND(Tasks[[#This Row],[_IsLeaf]]=1,N(Tasks[[#This Row],[Actual Start]])=0,Tasks[[#This Row],[_ShownFcstStart]]&gt;=StatusDate,Tasks[[#This Row],[_ShownFcstStart]]&lt;=LookaheadEnd),Tasks[[#This Row],[_ShownFcstStart]]+Tasks[[#This Row],[_Row]]/100000,"")</f>
        <v/>
      </c>
      <c r="GN39" s="42">
        <f>IF(AND(Tasks[[#This Row],[_IsLeaf]]=1,Tasks[[#This Row],[_LeafProgress]]&lt;1,Tasks[[#This Row],[_ShownFcstFinish]]&gt;=StatusDate,Tasks[[#This Row],[_ShownFcstFinish]]&lt;=LookaheadEnd),Tasks[[#This Row],[_ShownFcstFinish]]+Tasks[[#This Row],[_Row]]/100000,"")</f>
        <v/>
      </c>
      <c r="GO39" s="42">
        <f>IF(Tasks[[#This Row],[_LeafCritical]],Tasks[[#This Row],[_ShownFcstStart]]+Tasks[[#This Row],[_Row]]/100000,"")</f>
        <v/>
      </c>
      <c r="GP39" s="42">
        <f>Tasks[[#This Row],[_LeafWork]]*Tasks[[#This Row],[_LeafProgress]]</f>
        <v/>
      </c>
      <c r="GQ39" s="88">
        <f>IF(AND(Tasks[[#This Row],[_IsLeaf]]=1,Tasks[[#This Row],[_LeafProgress]]&gt;=1),IF(N(Tasks[[#This Row],[Actual Finish]])&gt;0,Tasks[[#This Row],[Actual Finish]],Tasks[[#This Row],[_ShownFcstFinish]]),"")</f>
        <v/>
      </c>
      <c r="GR39" s="42">
        <f>IF(Tasks[[#This Row],[_IsLeaf]]=1,N(Tasks[[#This Row],[Story Points]]),0)</f>
        <v/>
      </c>
      <c r="GS39" s="42">
        <f>""</f>
        <v/>
      </c>
      <c r="GT39" s="42">
        <f>IF(Tasks[[#This Row],[Task Name]]="",FALSE(),AND(Tasks[[#This Row],[_IsLeaf]]=1,N(Tasks[[#This Row],[_Days]])=0))</f>
        <v/>
      </c>
      <c r="GU39" s="88">
        <f>IF(Tasks[[#This Row],[Task Name]]="",0,IF(AND(Tasks[[#This Row],[_IsLeaf]]=1,NOT(Tasks[[#This Row],[_IsMilestone]]),N(Tasks[[#This Row],[Progress]])&gt;0),Tasks[[#This Row],[Start]],0))</f>
        <v/>
      </c>
      <c r="GV39" s="88">
        <f>IF(Tasks[[#This Row],[_DoneFrom]]=0,0,IF(Tasks[[#This Row],[Progress]]&gt;=1,Tasks[[#This Row],[Finish]],MAX(Tasks[[#This Row],[_DoneFrom]],Tasks[[#This Row],[Start]]+ROUND((Tasks[[#This Row],[Finish]]-Tasks[[#This Row],[Start]]+1)*Tasks[[#This Row],[Progress]],0)-1)))</f>
        <v/>
      </c>
      <c r="GW39" s="88">
        <f>IF(Tasks[[#This Row],[Task Name]]="",0,IF(OR(NOT(Tasks[[#This Row],[_IsLeaf]]=1),Tasks[[#This Row],[_IsMilestone]],N(Tasks[[#This Row],[Progress]])&gt;=1),0,IF(Tasks[[#This Row],[_DoneTo]]&gt;0,Tasks[[#This Row],[_DoneTo]]+1,Tasks[[#This Row],[Start]])))</f>
        <v/>
      </c>
      <c r="GX39" s="88">
        <f>IF(Tasks[[#This Row],[_RemFrom]]=0,0,Tasks[[#This Row],[Finish]])</f>
        <v/>
      </c>
      <c r="GY39" s="42">
        <f>IF(Tasks[[#This Row],[Task Name]]="",FALSE(),OR(NOT(BaselineSet),N(Tasks[[#This Row],[Baseline Start]])&gt;0))</f>
        <v/>
      </c>
      <c r="GZ39" s="42">
        <f>IF(AND(Sandbox="Yes",L_PARSE_DURATION(Tasks[[#This Row],[Sandbox Duration]])&lt;&gt;""),L_PARSE_DURATION(Tasks[[#This Row],[Sandbox Duration]]),L_PARSE_DURATION(Tasks[[#This Row],[Duration]]))</f>
        <v/>
      </c>
      <c r="HA3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3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9" s="42">
        <f>IF(Tasks[[#This Row],[_IsLeaf]]=1,Tasks[[#This Row],[_Row]],"")</f>
        <v/>
      </c>
      <c r="HD39" s="42">
        <f>IFERROR(INDEX(Tasks[UID],SMALL(Tasks[_PickKey],Tasks[[#This Row],[_Row]]))&amp;" "&amp;INDEX(Tasks[Task Name],SMALL(Tasks[_PickKey],Tasks[[#This Row],[_Row]])),"")</f>
        <v/>
      </c>
      <c r="HE39" s="42">
        <f>IF(Tasks[[#This Row],[Task Name]]="","",IF(Tasks[[#This Row],[_IsSummary]],NETWORKDAYS.INTL(Tasks[[#This Row],[Start]],Tasks[[#This Row],[Finish]],WorkWeek,Holidays),N(Tasks[[#This Row],[_Days]])))</f>
        <v/>
      </c>
      <c r="HF39" s="42">
        <f>IF(Tasks[[#This Row],[Expected]]="",0,((Tasks[[#This Row],[Pessimistic]]-Tasks[[#This Row],[Optimistic]])/6)^2)</f>
        <v/>
      </c>
      <c r="HG39" s="42">
        <f>IF(Tasks[[#This Row],[Expected]]="",0,Tasks[[#This Row],[Expected]]-N(Tasks[[#This Row],[_Days]]))</f>
        <v/>
      </c>
    </row>
    <row r="40">
      <c r="A40" s="21">
        <f>IF(Tasks[[#This Row],[Task Name]]="","",COUNTA(Tasks[[#Headers],[Task Name]]:Tasks[[#This Row],[Task Name]])-1)</f>
        <v/>
      </c>
      <c r="B40" s="22" t="n">
        <v>48</v>
      </c>
      <c r="C40" s="22" t="n"/>
      <c r="D40" s="23" t="n"/>
      <c r="E40" s="22" t="n"/>
      <c r="F40" s="23" t="n"/>
      <c r="G40" s="22" t="n"/>
      <c r="H40" s="22" t="n"/>
      <c r="I40" s="23" t="n"/>
      <c r="J40" s="22" t="n"/>
      <c r="K40" s="22" t="n"/>
      <c r="L40" s="23" t="n"/>
      <c r="M40" s="22" t="n"/>
      <c r="N40" s="22" t="n"/>
      <c r="O40" s="23" t="n"/>
      <c r="P40" s="22" t="n"/>
      <c r="Q40" s="22" t="n"/>
      <c r="R40" s="23" t="n"/>
      <c r="S40" s="23" t="n"/>
      <c r="T40" s="82" t="n"/>
      <c r="U40" s="23" t="n"/>
      <c r="V40" s="82" t="n"/>
      <c r="W40" s="23" t="n"/>
      <c r="X40" s="82" t="n"/>
      <c r="Y40" s="23" t="n"/>
      <c r="Z40" s="82" t="n"/>
      <c r="AA40" s="23" t="n"/>
      <c r="AB40" s="23" t="n"/>
      <c r="AC40" s="7" t="n"/>
      <c r="AD40" s="7" t="n"/>
      <c r="AE40" s="61">
        <f>IF(Tasks[[#This Row],[Task Name]]="","",IF(Tasks[[#This Row],[_IsSummary]],MIN(INDEX(Tasks[_ShownFcstStart],Tasks[[#This Row],[_Row]]+1):INDEX(Tasks[_ShownFcstStart],Tasks[[#This Row],[_Row]]+Tasks[[#This Row],[_Descendants]])),Tasks[[#This Row],[_ShownFcstStart]]))</f>
        <v/>
      </c>
      <c r="AF40" s="61">
        <f>IF(Tasks[[#This Row],[Task Name]]="","",IF(Tasks[[#This Row],[_IsSummary]],MAX(INDEX(Tasks[_ShownFcstFinish],Tasks[[#This Row],[_Row]]+1):INDEX(Tasks[_ShownFcstFinish],Tasks[[#This Row],[_Row]]+Tasks[[#This Row],[_Descendants]])),Tasks[[#This Row],[_ShownFcstFinish]]))</f>
        <v/>
      </c>
      <c r="AG40" s="21">
        <f>""</f>
        <v/>
      </c>
      <c r="AH40" s="23" t="n"/>
      <c r="AI4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0" s="7" t="n"/>
      <c r="AK40" s="22" t="n"/>
      <c r="AL40" s="23" t="n"/>
      <c r="AM40" s="7" t="n"/>
      <c r="AN40" s="21">
        <f>IF(Tasks[[#This Row],[Task Name]]="","",IF(Tasks[[#This Row],[Finish]]&gt;=Tasks[[#This Row],[Planned Finish]],NETWORKDAYS.INTL(Tasks[[#This Row],[Planned Finish]],Tasks[[#This Row],[Finish]],WorkWeek,Holidays)-1,1-NETWORKDAYS.INTL(Tasks[[#This Row],[Finish]],Tasks[[#This Row],[Planned Finish]],WorkWeek,Holidays)))</f>
        <v/>
      </c>
      <c r="AO40" s="21">
        <f>IF(Tasks[[#This Row],[Task Name]]="","",IF(Tasks[[#This Row],[Progress]]&gt;=1,"Complete",IF(OR(N(Tasks[[#This Row],[Actual Start]])&gt;0,Tasks[[#This Row],[Progress]]&gt;0),IF(Tasks[[#This Row],[Finish Var]]&gt;0,"Behind","In Progress"),IF(Tasks[[#This Row],[Planned Start]]&lt;StatusDate,"Late Start","Not Started"))))</f>
        <v/>
      </c>
      <c r="AP40" s="21">
        <f>IF(Tasks[[#This Row],[Task Name]]="","",IF(IF(Tasks[[#This Row],[_IsSummary]],COUNTIF(INDEX(Tasks[_LeafCritical],Tasks[[#This Row],[_Row]]+1):INDEX(Tasks[_LeafCritical],Tasks[[#This Row],[_Row]]+Tasks[[#This Row],[_Descendants]]),TRUE())&gt;0,Tasks[[#This Row],[_LeafCritical]]),"Yes",""))</f>
        <v/>
      </c>
      <c r="AQ40" s="61">
        <f>IF(Tasks[[#This Row],[Task Name]]="","",IF(N(Tasks[[#This Row],[Baseline Start]])&gt;0,Tasks[[#This Row],[Baseline Start]],Tasks[[#This Row],[_CalcStart]]))</f>
        <v/>
      </c>
      <c r="AR40" s="61">
        <f>IF(Tasks[[#This Row],[Task Name]]="","",IF(N(Tasks[[#This Row],[Baseline Finish]])&gt;0,Tasks[[#This Row],[Baseline Finish]],Tasks[[#This Row],[_CalcFinish]]))</f>
        <v/>
      </c>
      <c r="AS40" s="21">
        <f>IF(Tasks[[#This Row],[Task Name]]="","",IF(Tasks[[#This Row],[Start]]&gt;=Tasks[[#This Row],[Planned Start]],NETWORKDAYS.INTL(Tasks[[#This Row],[Planned Start]],Tasks[[#This Row],[Start]],WorkWeek,Holidays)-1,1-NETWORKDAYS.INTL(Tasks[[#This Row],[Start]],Tasks[[#This Row],[Planned Start]],WorkWeek,Holidays)))</f>
        <v/>
      </c>
      <c r="AT40" s="61">
        <f>IF(Tasks[[#This Row],[Task Name]]="","",IF(Tasks[[#This Row],[_IsSummary]],MIN(INDEX(Tasks[_LeafLateStart],Tasks[[#This Row],[_Row]]+1):INDEX(Tasks[_LeafLateStart],Tasks[[#This Row],[_Row]]+Tasks[[#This Row],[_Descendants]])),Tasks[[#This Row],[_LeafLateStart]]))</f>
        <v/>
      </c>
      <c r="AU40" s="61">
        <f>IF(Tasks[[#This Row],[Task Name]]="","",IF(Tasks[[#This Row],[_IsSummary]],MAX(INDEX(Tasks[_LeafLateFinish],Tasks[[#This Row],[_Row]]+1):INDEX(Tasks[_LeafLateFinish],Tasks[[#This Row],[_Row]]+Tasks[[#This Row],[_Descendants]])),Tasks[[#This Row],[_LeafLateFinish]]))</f>
        <v/>
      </c>
      <c r="AV40" s="21">
        <f>IF(Tasks[[#This Row],[Task Name]]="","",IF(Tasks[[#This Row],[_IsSummary]],MIN(INDEX(Tasks[_LeafTotalSlack],Tasks[[#This Row],[_Row]]+1):INDEX(Tasks[_LeafTotalSlack],Tasks[[#This Row],[_Row]]+Tasks[[#This Row],[_Descendants]])),Tasks[[#This Row],[_LeafTotalSlack]]))</f>
        <v/>
      </c>
      <c r="AW4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3" t="n"/>
      <c r="BA4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f>IF(Tasks[[#This Row],[Task Name]]="","",IF(Tasks[[#This Row],[_Level]]&lt;=OutlineShowLevel,"Yes","No"))</f>
        <v/>
      </c>
      <c r="BE40" s="84">
        <f>IF(Tasks[[#This Row],[Task Name]]="","",IF(Tasks[[#This Row],[_IsSummary]],SUM(INDEX(Tasks[_LeafTotalWork],Tasks[[#This Row],[_Row]]+1):INDEX(Tasks[_LeafTotalWork],Tasks[[#This Row],[_Row]]+Tasks[[#This Row],[_Descendants]])),Tasks[[#This Row],[_LeafTotalWork]]))</f>
        <v/>
      </c>
      <c r="BF40" s="23" t="n"/>
      <c r="BG4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f>""</f>
        <v/>
      </c>
      <c r="BI40" s="85" t="n"/>
      <c r="BJ40" s="22" t="n"/>
      <c r="BK40" s="21">
        <f>IF(OR(Tasks[[#This Row],[Task Name]]="",Tasks[[#This Row],[Baseline Duration]]=""),"",Tasks[[#This Row],[_SpanDays]]-N(Tasks[[#This Row],[Baseline Duration]]))</f>
        <v/>
      </c>
      <c r="BL40" s="84">
        <f>IF(OR(Tasks[[#This Row],[Task Name]]="",Tasks[[#This Row],[Baseline Work]]=""),"",Tasks[[#This Row],[Work]]-N(Tasks[[#This Row],[Baseline Work]]))</f>
        <v/>
      </c>
      <c r="BM40" s="61">
        <f>IF(Tasks[[#This Row],[Task Name]]="","",IF(OR(TakeBaseline="Yes",N(Tasks[[#This Row],[Baseline Start]])=0),Tasks[[#This Row],[Start]],Tasks[[#This Row],[Baseline Start]]))</f>
        <v/>
      </c>
      <c r="BN40" s="61">
        <f>IF(Tasks[[#This Row],[Task Name]]="","",IF(OR(TakeBaseline="Yes",N(Tasks[[#This Row],[Baseline Finish]])=0),Tasks[[#This Row],[Finish]],Tasks[[#This Row],[Baseline Finish]]))</f>
        <v/>
      </c>
      <c r="BO40" s="21">
        <f>IF(Tasks[[#This Row],[Task Name]]="","",IF(OR(TakeBaseline="Yes",N(Tasks[[#This Row],[Baseline Duration]])=0),Tasks[[#This Row],[_SpanDays]],Tasks[[#This Row],[Baseline Duration]]))</f>
        <v/>
      </c>
      <c r="BP40" s="84">
        <f>IF(Tasks[[#This Row],[Task Name]]="","",IF(OR(TakeBaseline="Yes",N(Tasks[[#This Row],[Baseline Work]])=0),Tasks[[#This Row],[Work]],Tasks[[#This Row],[Baseline Work]]))</f>
        <v/>
      </c>
      <c r="BQ40" s="7" t="n"/>
      <c r="BR40" s="7" t="n"/>
      <c r="BS40" s="22" t="n"/>
      <c r="BT40" s="86" t="n"/>
      <c r="BU40" s="23" t="n"/>
      <c r="BV40" s="23" t="n"/>
      <c r="BW40" s="23" t="n"/>
      <c r="BX40" s="87">
        <f>IF(AND(Tasks[[#This Row],[_IsLeaf]]=1,ISNUMBER(Tasks[[#This Row],[Optimistic]]),ISNUMBER(Tasks[[#This Row],[Pessimistic]])),ROUND((Tasks[[#This Row],[Optimistic]]+4*N(Tasks[[#This Row],[_Days]])+Tasks[[#This Row],[Pessimistic]])/6,1),"")</f>
        <v/>
      </c>
      <c r="BY40" s="85" t="n"/>
      <c r="BZ40" s="85" t="n"/>
      <c r="CA40" s="22" t="n"/>
      <c r="CB40" s="42">
        <f>IF(Tasks[[#This Row],[Task Name]]="","",MAX(1,N(Tasks[[#This Row],[Level]])))</f>
        <v/>
      </c>
      <c r="CC40" s="42">
        <f>ROW()-ROW(Tasks[[#Headers],[ID]])</f>
        <v/>
      </c>
      <c r="CD40" s="42">
        <f>IF(OR(Tasks[[#This Row],[Task Name]]="",Tasks[[#This Row],[_Level]]&lt;=1),0,IFERROR(LOOKUP(2,1/(Tasks[[#Headers],[_Level]]:Tasks[[#This Row],[_Level]]=Tasks[[#This Row],[_Level]]-1),ROW(Tasks[[#Headers],[_Level]]:Tasks[[#This Row],[_Level]])),0))</f>
        <v/>
      </c>
      <c r="CE40" s="42">
        <f>IFERROR(N(INDEX(Tasks[_Level],Tasks[[#This Row],[_Row]]+1)),0)</f>
        <v/>
      </c>
      <c r="CF40" s="42">
        <f>AND(Tasks[[#This Row],[Task Name]]&lt;&gt;"",Tasks[[#This Row],[_NextLevel]]&gt;Tasks[[#This Row],[_Level]])</f>
        <v/>
      </c>
      <c r="CG40" s="42">
        <f>IF(Tasks[[#This Row],[_IsSummary]],COUNTIF(Tasks[WBS],Tasks[[#This Row],[WBS]]&amp;".*"),0)</f>
        <v/>
      </c>
      <c r="CH40" s="42">
        <f>IF(AND(Tasks[[#This Row],[Task Name]]&lt;&gt;"",NOT(Tasks[[#This Row],[_IsSummary]])),1,0)</f>
        <v/>
      </c>
      <c r="CI40" s="42">
        <f>IF(N(Tasks[[#This Row],[_Pred1UID]])=0,0,IFERROR(MATCH(Tasks[[#This Row],[_Pred1UID]],Tasks[UID],0),-1))</f>
        <v/>
      </c>
      <c r="CJ40" s="42">
        <f>IF(N(Tasks[[#This Row],[_Pred2UID]])=0,0,IFERROR(MATCH(Tasks[[#This Row],[_Pred2UID]],Tasks[UID],0),-1))</f>
        <v/>
      </c>
      <c r="CK40" s="42">
        <f>IF(N(Tasks[[#This Row],[_Pred3UID]])=0,0,IFERROR(MATCH(Tasks[[#This Row],[_Pred3UID]],Tasks[UID],0),-1))</f>
        <v/>
      </c>
      <c r="CL40" s="42">
        <f>IF(N(Tasks[[#This Row],[_Pred4UID]])=0,0,IFERROR(MATCH(Tasks[[#This Row],[_Pred4UID]],Tasks[UID],0),-1))</f>
        <v/>
      </c>
      <c r="CM4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0" s="88">
        <f>IF(N(Tasks[[#This Row],[Constraint Date]])=0,0,IF(AND(OR(Tasks[[#This Row],[_ConstraintCode]]=3,Tasks[[#This Row],[_ConstraintCode]]=6,Tasks[[#This Row],[_ConstraintCode]]=7),N(Tasks[[#This Row],[_Days]])&gt;1),WORKDAY.INTL(N(Tasks[[#This Row],[Constraint Date]]),-(N(Tasks[[#This Row],[_Days]])-1),WorkWeek,Holidays),N(Tasks[[#This Row],[Constraint Date]])))</f>
        <v/>
      </c>
      <c r="CO40" s="88">
        <f>IF(OR(Tasks[[#This Row],[_ConstraintCode]]=2,Tasks[[#This Row],[_ConstraintCode]]=3,Tasks[[#This Row],[_ConstraintCode]]=4,Tasks[[#This Row],[_ConstraintCode]]=6),Tasks[[#This Row],[_ConstraintStart]],0)</f>
        <v/>
      </c>
      <c r="CP40" s="88">
        <f>IF(OR(Tasks[[#This Row],[_ConstraintCode]]=2,Tasks[[#This Row],[_ConstraintCode]]=3,Tasks[[#This Row],[_ConstraintCode]]=5,Tasks[[#This Row],[_ConstraintCode]]=7),Tasks[[#This Row],[_ConstraintStart]],2958465)</f>
        <v/>
      </c>
      <c r="CQ4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0" s="88">
        <f>IF(NOT(Tasks[[#This Row],[_IsLeaf]]=1),"",IF(N(Tasks[[#This Row],[_Days]])&lt;=0,Tasks[[#This Row],[_LeafCalcStart]],WORKDAY.INTL(Tasks[[#This Row],[_LeafCalcStart]],Tasks[[#This Row],[_Days]]-1,WorkWeek,Holidays)))</f>
        <v/>
      </c>
      <c r="CS4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0" s="42">
        <f>IF(Tasks[[#This Row],[_Predecessors]]="","",TRIM(MID(SUBSTITUTE(SUBSTITUTE(SUBSTITUTE(UPPER(Tasks[[#This Row],[_Predecessors]]),";",",")," ",""),",",REPT(" ",99)),1,99)))</f>
        <v/>
      </c>
      <c r="CV40" s="42">
        <f>IF(Tasks[[#This Row],[_Pred1Text]]="","",IFERROR(VALUE(LEFT(Tasks[[#This Row],[_Pred1Text]],MIN(FIND("F",Tasks[[#This Row],[_Pred1Text]]&amp;"F"),FIND("S",Tasks[[#This Row],[_Pred1Text]]&amp;"S"),FIND("+",Tasks[[#This Row],[_Pred1Text]]&amp;"+"),FIND("-",Tasks[[#This Row],[_Pred1Text]]&amp;"-"))-1)),""))</f>
        <v/>
      </c>
      <c r="CW4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0" s="42">
        <f>IF(Tasks[[#This Row],[_Pred1Text]]="","",TRIM(MID(SUBSTITUTE(SUBSTITUTE(SUBSTITUTE(UPPER(Tasks[[#This Row],[_Predecessors]]),";",",")," ",""),",",REPT(" ",99)),100,99)))</f>
        <v/>
      </c>
      <c r="CZ40" s="42">
        <f>IF(Tasks[[#This Row],[_Pred2Text]]="","",IFERROR(VALUE(LEFT(Tasks[[#This Row],[_Pred2Text]],MIN(FIND("F",Tasks[[#This Row],[_Pred2Text]]&amp;"F"),FIND("S",Tasks[[#This Row],[_Pred2Text]]&amp;"S"),FIND("+",Tasks[[#This Row],[_Pred2Text]]&amp;"+"),FIND("-",Tasks[[#This Row],[_Pred2Text]]&amp;"-"))-1)),""))</f>
        <v/>
      </c>
      <c r="DA4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0" s="42">
        <f>IF(Tasks[[#This Row],[_Pred2Text]]="","",TRIM(MID(SUBSTITUTE(SUBSTITUTE(SUBSTITUTE(UPPER(Tasks[[#This Row],[_Predecessors]]),";",",")," ",""),",",REPT(" ",99)),199,99)))</f>
        <v/>
      </c>
      <c r="DD40" s="42">
        <f>IF(Tasks[[#This Row],[_Pred3Text]]="","",IFERROR(VALUE(LEFT(Tasks[[#This Row],[_Pred3Text]],MIN(FIND("F",Tasks[[#This Row],[_Pred3Text]]&amp;"F"),FIND("S",Tasks[[#This Row],[_Pred3Text]]&amp;"S"),FIND("+",Tasks[[#This Row],[_Pred3Text]]&amp;"+"),FIND("-",Tasks[[#This Row],[_Pred3Text]]&amp;"-"))-1)),""))</f>
        <v/>
      </c>
      <c r="DE4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0" s="42">
        <f>IF(Tasks[[#This Row],[_Pred3Text]]="","",TRIM(MID(SUBSTITUTE(SUBSTITUTE(SUBSTITUTE(UPPER(Tasks[[#This Row],[_Predecessors]]),";",",")," ",""),",",REPT(" ",99)),298,99)))</f>
        <v/>
      </c>
      <c r="DH40" s="42">
        <f>IF(Tasks[[#This Row],[_Pred4Text]]="","",IFERROR(VALUE(LEFT(Tasks[[#This Row],[_Pred4Text]],MIN(FIND("F",Tasks[[#This Row],[_Pred4Text]]&amp;"F"),FIND("S",Tasks[[#This Row],[_Pred4Text]]&amp;"S"),FIND("+",Tasks[[#This Row],[_Pred4Text]]&amp;"+"),FIND("-",Tasks[[#This Row],[_Pred4Text]]&amp;"-"))-1)),""))</f>
        <v/>
      </c>
      <c r="DI4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0" s="42">
        <f>IF(OR(Tasks[[#This Row],[Task Name]]="",Tasks[[#This Row],[_Resources]]=""),"",TRIM(MID(SUBSTITUTE(Tasks[[#This Row],[_Resources]],",",REPT(" ",99)),1,99)))</f>
        <v/>
      </c>
      <c r="DL40" s="42">
        <f>IF(Tasks[[#This Row],[_Res1Text]]="","",TRIM(MID(SUBSTITUTE(Tasks[[#This Row],[_Resources]],",",REPT(" ",99)),100,99)))</f>
        <v/>
      </c>
      <c r="DM40" s="42">
        <f>IF(Tasks[[#This Row],[_Res2Text]]="","",TRIM(MID(SUBSTITUTE(Tasks[[#This Row],[_Resources]],",",REPT(" ",99)),199,99)))</f>
        <v/>
      </c>
      <c r="DN40" s="42">
        <f>IF(Tasks[[#This Row],[_Res3Text]]="","",TRIM(MID(SUBSTITUTE(Tasks[[#This Row],[_Resources]],",",REPT(" ",99)),298,99)))</f>
        <v/>
      </c>
      <c r="DO40" s="42">
        <f>IF(Tasks[[#This Row],[_Res1Text]]="",0,IFERROR(MATCH(TRIM(LEFT(Tasks[[#This Row],[_Res1Text]],FIND("[",Tasks[[#This Row],[_Res1Text]]&amp;"[")-1)),res_Name,0),IFERROR(MATCH(TRIM(LEFT(Tasks[[#This Row],[_Res1Text]],FIND("[",Tasks[[#This Row],[_Res1Text]]&amp;"[")-1)),res_Initials,0),0)))</f>
        <v/>
      </c>
      <c r="DP40" s="42">
        <f>IF(Tasks[[#This Row],[_Res2Text]]="",0,IFERROR(MATCH(TRIM(LEFT(Tasks[[#This Row],[_Res2Text]],FIND("[",Tasks[[#This Row],[_Res2Text]]&amp;"[")-1)),res_Name,0),IFERROR(MATCH(TRIM(LEFT(Tasks[[#This Row],[_Res2Text]],FIND("[",Tasks[[#This Row],[_Res2Text]]&amp;"[")-1)),res_Initials,0),0)))</f>
        <v/>
      </c>
      <c r="DQ40" s="42">
        <f>IF(Tasks[[#This Row],[_Res3Text]]="",0,IFERROR(MATCH(TRIM(LEFT(Tasks[[#This Row],[_Res3Text]],FIND("[",Tasks[[#This Row],[_Res3Text]]&amp;"[")-1)),res_Name,0),IFERROR(MATCH(TRIM(LEFT(Tasks[[#This Row],[_Res3Text]],FIND("[",Tasks[[#This Row],[_Res3Text]]&amp;"[")-1)),res_Initials,0),0)))</f>
        <v/>
      </c>
      <c r="DR40" s="42">
        <f>IF(Tasks[[#This Row],[_Res4Text]]="",0,IFERROR(MATCH(TRIM(LEFT(Tasks[[#This Row],[_Res4Text]],FIND("[",Tasks[[#This Row],[_Res4Text]]&amp;"[")-1)),res_Name,0),IFERROR(MATCH(TRIM(LEFT(Tasks[[#This Row],[_Res4Text]],FIND("[",Tasks[[#This Row],[_Res4Text]]&amp;"[")-1)),res_Initials,0),0)))</f>
        <v/>
      </c>
      <c r="DS40" s="42">
        <f>IF(Tasks[[#This Row],[_Res1Text]]="","",IF(Tasks[[#This Row],[_Res1Row]]&gt;0,INDEX(res_Name,Tasks[[#This Row],[_Res1Row]]),TRIM(LEFT(Tasks[[#This Row],[_Res1Text]],FIND("[",Tasks[[#This Row],[_Res1Text]]&amp;"[")-1))))</f>
        <v/>
      </c>
      <c r="DT4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0" s="42">
        <f>IF(NOT(Tasks[[#This Row],[_IsLeaf]]=1),0,(Tasks[[#This Row],[_Resource1]]&lt;&gt;"")+(Tasks[[#This Row],[_Res2]]&lt;&gt;"")+(Tasks[[#This Row],[_Res3]]&lt;&gt;"")+(Tasks[[#This Row],[_Res4]]&lt;&gt;""))</f>
        <v/>
      </c>
      <c r="DV40" s="42">
        <f>IF(Tasks[[#This Row],[_Res2Text]]="","",IF(Tasks[[#This Row],[_Res2Row]]&gt;0,INDEX(res_Name,Tasks[[#This Row],[_Res2Row]]),TRIM(LEFT(Tasks[[#This Row],[_Res2Text]],FIND("[",Tasks[[#This Row],[_Res2Text]]&amp;"[")-1))))</f>
        <v/>
      </c>
      <c r="DW4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0" s="42">
        <f>IF(OR(NOT(Tasks[[#This Row],[_IsLeaf]]=1),Tasks[[#This Row],[_Res2Row]]=0),0,N(Tasks[[#This Row],[_Days]])*HoursPerDay*IF(Tasks[[#This Row],[_Res2Units]]="",DefaultUnits,Tasks[[#This Row],[_Res2Units]]))</f>
        <v/>
      </c>
      <c r="DY40" s="42">
        <f>IF(AND(AND(Tasks[[#This Row],[_IsLeaf]]=1,Tasks[[#This Row],[_LeafTotalWork]]&gt;0),Tasks[[#This Row],[_Res2Work]]&gt;0),Tasks[[#This Row],[_Res2Work]]/(Tasks[[#This Row],[_FinishWorkday]]-Tasks[[#This Row],[_StartWorkday]]+1),0)</f>
        <v/>
      </c>
      <c r="DZ40" s="42">
        <f>Tasks[[#This Row],[_Res2WorkPerWD]]*MAX(0,Tasks[[#This Row],[_StartWorkday]]-1)</f>
        <v/>
      </c>
      <c r="EA40" s="42">
        <f>Tasks[[#This Row],[_Res2Work]]*Tasks[[#This Row],[_LeafProgress]]</f>
        <v/>
      </c>
      <c r="EB40" s="42">
        <f>IF(Tasks[[#This Row],[_Res3Text]]="","",IF(Tasks[[#This Row],[_Res3Row]]&gt;0,INDEX(res_Name,Tasks[[#This Row],[_Res3Row]]),TRIM(LEFT(Tasks[[#This Row],[_Res3Text]],FIND("[",Tasks[[#This Row],[_Res3Text]]&amp;"[")-1))))</f>
        <v/>
      </c>
      <c r="EC4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0" s="42">
        <f>IF(OR(NOT(Tasks[[#This Row],[_IsLeaf]]=1),Tasks[[#This Row],[_Res3Row]]=0),0,N(Tasks[[#This Row],[_Days]])*HoursPerDay*IF(Tasks[[#This Row],[_Res3Units]]="",DefaultUnits,Tasks[[#This Row],[_Res3Units]]))</f>
        <v/>
      </c>
      <c r="EE40" s="42">
        <f>IF(AND(AND(Tasks[[#This Row],[_IsLeaf]]=1,Tasks[[#This Row],[_LeafTotalWork]]&gt;0),Tasks[[#This Row],[_Res3Work]]&gt;0),Tasks[[#This Row],[_Res3Work]]/(Tasks[[#This Row],[_FinishWorkday]]-Tasks[[#This Row],[_StartWorkday]]+1),0)</f>
        <v/>
      </c>
      <c r="EF40" s="42">
        <f>Tasks[[#This Row],[_Res3WorkPerWD]]*MAX(0,Tasks[[#This Row],[_StartWorkday]]-1)</f>
        <v/>
      </c>
      <c r="EG40" s="42">
        <f>Tasks[[#This Row],[_Res3Work]]*Tasks[[#This Row],[_LeafProgress]]</f>
        <v/>
      </c>
      <c r="EH40" s="42">
        <f>IF(Tasks[[#This Row],[_Res4Text]]="","",IF(Tasks[[#This Row],[_Res4Row]]&gt;0,INDEX(res_Name,Tasks[[#This Row],[_Res4Row]]),TRIM(LEFT(Tasks[[#This Row],[_Res4Text]],FIND("[",Tasks[[#This Row],[_Res4Text]]&amp;"[")-1))))</f>
        <v/>
      </c>
      <c r="EI4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0" s="42">
        <f>IF(OR(NOT(Tasks[[#This Row],[_IsLeaf]]=1),Tasks[[#This Row],[_Res4Row]]=0),0,N(Tasks[[#This Row],[_Days]])*HoursPerDay*IF(Tasks[[#This Row],[_Res4Units]]="",DefaultUnits,Tasks[[#This Row],[_Res4Units]]))</f>
        <v/>
      </c>
      <c r="EK40" s="42">
        <f>IF(AND(AND(Tasks[[#This Row],[_IsLeaf]]=1,Tasks[[#This Row],[_LeafTotalWork]]&gt;0),Tasks[[#This Row],[_Res4Work]]&gt;0),Tasks[[#This Row],[_Res4Work]]/(Tasks[[#This Row],[_FinishWorkday]]-Tasks[[#This Row],[_StartWorkday]]+1),0)</f>
        <v/>
      </c>
      <c r="EL40" s="42">
        <f>Tasks[[#This Row],[_Res4WorkPerWD]]*MAX(0,Tasks[[#This Row],[_StartWorkday]]-1)</f>
        <v/>
      </c>
      <c r="EM40" s="42">
        <f>Tasks[[#This Row],[_Res4Work]]*Tasks[[#This Row],[_LeafProgress]]</f>
        <v/>
      </c>
      <c r="EN40" s="42">
        <f>IF(ISNUMBER(Tasks[[#This Row],[% Complete]]),Tasks[[#This Row],[% Complete]],IF(Tasks[[#This Row],[Stage]]="",0,IFERROR(INDEX(stg_Pct,MATCH(Tasks[[#This Row],[Stage]],stg_Name,0)),0)))</f>
        <v/>
      </c>
      <c r="EO40" s="42">
        <f>IF(NOT(Tasks[[#This Row],[_IsLeaf]]=1),0,IF(N(Tasks[[#This Row],[Actual Finish]])&gt;0,1,MIN(1,Tasks[[#This Row],[_Pct]])))</f>
        <v/>
      </c>
      <c r="EP40" s="42">
        <f>IF(OR(NOT(Tasks[[#This Row],[_IsLeaf]]=1),Tasks[[#This Row],[_Res1Row]]=0),0,N(Tasks[[#This Row],[_Days]])*HoursPerDay*IF(Tasks[[#This Row],[_Units1]]="",DefaultUnits,Tasks[[#This Row],[_Units1]]))</f>
        <v/>
      </c>
      <c r="EQ40" s="42">
        <f>Tasks[[#This Row],[_LeafWork]]+Tasks[[#This Row],[_Res2Work]]+Tasks[[#This Row],[_Res3Work]]+Tasks[[#This Row],[_Res4Work]]</f>
        <v/>
      </c>
      <c r="ER4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0" s="42">
        <f>IF(NOT(Tasks[[#This Row],[_IsLeaf]]=1),0,MAX(_xlfn.MAXIFS(Tasks[_Row],Tasks[_Pred1UID],Tasks[[#This Row],[UID]]),_xlfn.MAXIFS(Tasks[_Row],Tasks[_Pred2UID],Tasks[[#This Row],[UID]]),_xlfn.MAXIFS(Tasks[_Row],Tasks[_Pred3UID],Tasks[[#This Row],[UID]]),_xlfn.MAXIFS(Tasks[_Row],Tasks[_Pred4UID],Tasks[[#This Row],[UID]])))</f>
        <v/>
      </c>
      <c r="FA4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0" s="88">
        <f>IF(NOT(Tasks[[#This Row],[_IsLeaf]]=1),"",IF(N(Tasks[[#This Row],[_Days]])&lt;=0,Tasks[[#This Row],[_LeafLateFinish]],WORKDAY.INTL(Tasks[[#This Row],[_LeafLateFinish]],-(Tasks[[#This Row],[_Days]]-1),WorkWeek,Holidays)))</f>
        <v/>
      </c>
      <c r="FD4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0" s="42">
        <f>AND(Tasks[[#This Row],[_IsLeaf]]=1,Tasks[[#This Row],[_LeafProgress]]&lt;1,N(Tasks[[#This Row],[_LeafTotalSlack]])&lt;=CriticalSlackDays)</f>
        <v/>
      </c>
      <c r="FF40" s="42">
        <f>IF(AND(Tasks[[#This Row],[_IsLeaf]]=1,Tasks[[#This Row],[_ConstraintCode]]=1,Tasks[[#This Row],[Mode]]&lt;&gt;"Manual",N(Tasks[[#This Row],[Actual Start]])=0),MAX(0,N(Tasks[[#This Row],[Free Slack]])),0)</f>
        <v/>
      </c>
      <c r="FG40" s="88">
        <f>IF(NOT(Tasks[[#This Row],[_IsLeaf]]=1),"",IF(Tasks[[#This Row],[_AlapShift]]=0,Tasks[[#This Row],[_LeafCalcStart]],WORKDAY.INTL(Tasks[[#This Row],[_LeafCalcStart]],Tasks[[#This Row],[_AlapShift]],WorkWeek,Holidays)))</f>
        <v/>
      </c>
      <c r="FH40" s="88">
        <f>IF(NOT(Tasks[[#This Row],[_IsLeaf]]=1),"",IF(Tasks[[#This Row],[_AlapShift]]=0,Tasks[[#This Row],[_LeafCalcFinish]],WORKDAY.INTL(Tasks[[#This Row],[_LeafCalcFinish]],Tasks[[#This Row],[_AlapShift]],WorkWeek,Holidays)))</f>
        <v/>
      </c>
      <c r="FI40" s="88">
        <f>IF(NOT(Tasks[[#This Row],[_IsLeaf]]=1),"",IF(Tasks[[#This Row],[_AlapShift]]=0,Tasks[[#This Row],[_LeafFcstStart]],WORKDAY.INTL(Tasks[[#This Row],[_LeafFcstStart]],Tasks[[#This Row],[_AlapShift]],WorkWeek,Holidays)))</f>
        <v/>
      </c>
      <c r="FJ40" s="88">
        <f>IF(NOT(Tasks[[#This Row],[_IsLeaf]]=1),"",IF(Tasks[[#This Row],[_AlapShift]]=0,Tasks[[#This Row],[_LeafFcstFinish]],WORKDAY.INTL(Tasks[[#This Row],[_LeafFcstFinish]],Tasks[[#This Row],[_AlapShift]],WorkWeek,Holidays)))</f>
        <v/>
      </c>
      <c r="FK40" s="88">
        <f>IF(Tasks[[#This Row],[Task Name]]="","",IF(Tasks[[#This Row],[_IsSummary]],MIN(INDEX(Tasks[_ShownCalcStart],Tasks[[#This Row],[_Row]]+1):INDEX(Tasks[_ShownCalcStart],Tasks[[#This Row],[_Row]]+Tasks[[#This Row],[_Descendants]])),Tasks[[#This Row],[_ShownCalcStart]]))</f>
        <v/>
      </c>
      <c r="FL40" s="88">
        <f>IF(Tasks[[#This Row],[Task Name]]="","",IF(Tasks[[#This Row],[_IsSummary]],MAX(INDEX(Tasks[_ShownCalcFinish],Tasks[[#This Row],[_Row]]+1):INDEX(Tasks[_ShownCalcFinish],Tasks[[#This Row],[_Row]]+Tasks[[#This Row],[_Descendants]])),Tasks[[#This Row],[_ShownCalcFinish]]))</f>
        <v/>
      </c>
      <c r="FM4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0" s="42">
        <f>IF(AND(Tasks[[#This Row],[_IsLeaf]]=1,Tasks[[#This Row],[_LeafTotalWork]]&gt;0),NETWORKDAYS.INTL(ProjectStart,Tasks[[#This Row],[_ShownFcstStart]],WorkWeek,Holidays),0)</f>
        <v/>
      </c>
      <c r="FZ40" s="42">
        <f>IF(AND(Tasks[[#This Row],[_IsLeaf]]=1,Tasks[[#This Row],[_LeafTotalWork]]&gt;0),MAX(Tasks[[#This Row],[_StartWorkday]],NETWORKDAYS.INTL(ProjectStart,Tasks[[#This Row],[_ShownFcstFinish]],WorkWeek,Holidays)),0)</f>
        <v/>
      </c>
      <c r="GA40" s="42">
        <f>IF(AND(Tasks[[#This Row],[_IsLeaf]]=1,Tasks[[#This Row],[_LeafTotalWork]]&gt;0),Tasks[[#This Row],[_LeafWork]]/(Tasks[[#This Row],[_FinishWorkday]]-Tasks[[#This Row],[_StartWorkday]]+1),0)</f>
        <v/>
      </c>
      <c r="GB40" s="42">
        <f>Tasks[[#This Row],[_WorkPerWorkday]]*(Tasks[[#This Row],[_StartWorkday]]-1)</f>
        <v/>
      </c>
      <c r="GC40" s="42">
        <f>IF(Tasks[[#This Row],[_IsLeaf]]=1,MAX(N(Tasks[[#This Row],[_Days]]),0.1),0)</f>
        <v/>
      </c>
      <c r="GD40" s="42">
        <f>Tasks[[#This Row],[_WeightDur]]*Tasks[[#This Row],[_LeafProgress]]</f>
        <v/>
      </c>
      <c r="GE40" s="42">
        <f>Tasks[[#This Row],[_WeightDur]]*Tasks[[#This Row],[_PlannedPct]]</f>
        <v/>
      </c>
      <c r="GF4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0" s="42">
        <f>IF(AND(Tasks[[#This Row],[_IsLeaf]]=1,N(Tasks[[#This Row],[_Days]])=0,Tasks[[#This Row],[_LeafProgress]]&lt;1),Tasks[[#This Row],[_ShownFcstFinish]]+Tasks[[#This Row],[_Row]]/100000,"")</f>
        <v/>
      </c>
      <c r="GH4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0" s="42">
        <f>IF(Tasks[[#This Row],[Task Name]]="","",LEFT(Tasks[[#This Row],[WBS]],FIND(".",Tasks[[#This Row],[WBS]]&amp;".")-1))</f>
        <v/>
      </c>
      <c r="GJ40" s="42">
        <f>IF(AND(Tasks[[#This Row],[Task Name]]&lt;&gt;"",Tasks[[#This Row],[_Level]]=1),Tasks[[#This Row],[_Row]],"")</f>
        <v/>
      </c>
      <c r="GK40" s="42">
        <f>IF(AND(Tasks[[#This Row],[_IsLeaf]]=1,N(Tasks[[#This Row],[_Days]])=0),Tasks[[#This Row],[Planned Finish]]+Tasks[[#This Row],[_Row]]/100000,"")</f>
        <v/>
      </c>
      <c r="GL40" s="42">
        <f>IF(AND(Tasks[[#This Row],[_IsLeaf]]=1,Tasks[[#This Row],[_LeafProgress]]&lt;1,OR(N(Tasks[[#This Row],[Finish Var]])&gt;0,Tasks[[#This Row],[Status]]="Late Start")),MAX(0,Tasks[[#This Row],[Finish Var]])+1-Tasks[[#This Row],[_Row]]/1000000,"")</f>
        <v/>
      </c>
      <c r="GM40" s="42">
        <f>IF(AND(Tasks[[#This Row],[_IsLeaf]]=1,N(Tasks[[#This Row],[Actual Start]])=0,Tasks[[#This Row],[_ShownFcstStart]]&gt;=StatusDate,Tasks[[#This Row],[_ShownFcstStart]]&lt;=LookaheadEnd),Tasks[[#This Row],[_ShownFcstStart]]+Tasks[[#This Row],[_Row]]/100000,"")</f>
        <v/>
      </c>
      <c r="GN40" s="42">
        <f>IF(AND(Tasks[[#This Row],[_IsLeaf]]=1,Tasks[[#This Row],[_LeafProgress]]&lt;1,Tasks[[#This Row],[_ShownFcstFinish]]&gt;=StatusDate,Tasks[[#This Row],[_ShownFcstFinish]]&lt;=LookaheadEnd),Tasks[[#This Row],[_ShownFcstFinish]]+Tasks[[#This Row],[_Row]]/100000,"")</f>
        <v/>
      </c>
      <c r="GO40" s="42">
        <f>IF(Tasks[[#This Row],[_LeafCritical]],Tasks[[#This Row],[_ShownFcstStart]]+Tasks[[#This Row],[_Row]]/100000,"")</f>
        <v/>
      </c>
      <c r="GP40" s="42">
        <f>Tasks[[#This Row],[_LeafWork]]*Tasks[[#This Row],[_LeafProgress]]</f>
        <v/>
      </c>
      <c r="GQ40" s="88">
        <f>IF(AND(Tasks[[#This Row],[_IsLeaf]]=1,Tasks[[#This Row],[_LeafProgress]]&gt;=1),IF(N(Tasks[[#This Row],[Actual Finish]])&gt;0,Tasks[[#This Row],[Actual Finish]],Tasks[[#This Row],[_ShownFcstFinish]]),"")</f>
        <v/>
      </c>
      <c r="GR40" s="42">
        <f>IF(Tasks[[#This Row],[_IsLeaf]]=1,N(Tasks[[#This Row],[Story Points]]),0)</f>
        <v/>
      </c>
      <c r="GS40" s="42">
        <f>""</f>
        <v/>
      </c>
      <c r="GT40" s="42">
        <f>IF(Tasks[[#This Row],[Task Name]]="",FALSE(),AND(Tasks[[#This Row],[_IsLeaf]]=1,N(Tasks[[#This Row],[_Days]])=0))</f>
        <v/>
      </c>
      <c r="GU40" s="88">
        <f>IF(Tasks[[#This Row],[Task Name]]="",0,IF(AND(Tasks[[#This Row],[_IsLeaf]]=1,NOT(Tasks[[#This Row],[_IsMilestone]]),N(Tasks[[#This Row],[Progress]])&gt;0),Tasks[[#This Row],[Start]],0))</f>
        <v/>
      </c>
      <c r="GV40" s="88">
        <f>IF(Tasks[[#This Row],[_DoneFrom]]=0,0,IF(Tasks[[#This Row],[Progress]]&gt;=1,Tasks[[#This Row],[Finish]],MAX(Tasks[[#This Row],[_DoneFrom]],Tasks[[#This Row],[Start]]+ROUND((Tasks[[#This Row],[Finish]]-Tasks[[#This Row],[Start]]+1)*Tasks[[#This Row],[Progress]],0)-1)))</f>
        <v/>
      </c>
      <c r="GW40" s="88">
        <f>IF(Tasks[[#This Row],[Task Name]]="",0,IF(OR(NOT(Tasks[[#This Row],[_IsLeaf]]=1),Tasks[[#This Row],[_IsMilestone]],N(Tasks[[#This Row],[Progress]])&gt;=1),0,IF(Tasks[[#This Row],[_DoneTo]]&gt;0,Tasks[[#This Row],[_DoneTo]]+1,Tasks[[#This Row],[Start]])))</f>
        <v/>
      </c>
      <c r="GX40" s="88">
        <f>IF(Tasks[[#This Row],[_RemFrom]]=0,0,Tasks[[#This Row],[Finish]])</f>
        <v/>
      </c>
      <c r="GY40" s="42">
        <f>IF(Tasks[[#This Row],[Task Name]]="",FALSE(),OR(NOT(BaselineSet),N(Tasks[[#This Row],[Baseline Start]])&gt;0))</f>
        <v/>
      </c>
      <c r="GZ40" s="42">
        <f>IF(AND(Sandbox="Yes",L_PARSE_DURATION(Tasks[[#This Row],[Sandbox Duration]])&lt;&gt;""),L_PARSE_DURATION(Tasks[[#This Row],[Sandbox Duration]]),L_PARSE_DURATION(Tasks[[#This Row],[Duration]]))</f>
        <v/>
      </c>
      <c r="HA4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0" s="42">
        <f>IF(Tasks[[#This Row],[_IsLeaf]]=1,Tasks[[#This Row],[_Row]],"")</f>
        <v/>
      </c>
      <c r="HD40" s="42">
        <f>IFERROR(INDEX(Tasks[UID],SMALL(Tasks[_PickKey],Tasks[[#This Row],[_Row]]))&amp;" "&amp;INDEX(Tasks[Task Name],SMALL(Tasks[_PickKey],Tasks[[#This Row],[_Row]])),"")</f>
        <v/>
      </c>
      <c r="HE40" s="42">
        <f>IF(Tasks[[#This Row],[Task Name]]="","",IF(Tasks[[#This Row],[_IsSummary]],NETWORKDAYS.INTL(Tasks[[#This Row],[Start]],Tasks[[#This Row],[Finish]],WorkWeek,Holidays),N(Tasks[[#This Row],[_Days]])))</f>
        <v/>
      </c>
      <c r="HF40" s="42">
        <f>IF(Tasks[[#This Row],[Expected]]="",0,((Tasks[[#This Row],[Pessimistic]]-Tasks[[#This Row],[Optimistic]])/6)^2)</f>
        <v/>
      </c>
      <c r="HG40" s="42">
        <f>IF(Tasks[[#This Row],[Expected]]="",0,Tasks[[#This Row],[Expected]]-N(Tasks[[#This Row],[_Days]]))</f>
        <v/>
      </c>
    </row>
    <row r="41">
      <c r="A41" s="21">
        <f>IF(Tasks[[#This Row],[Task Name]]="","",COUNTA(Tasks[[#Headers],[Task Name]]:Tasks[[#This Row],[Task Name]])-1)</f>
        <v/>
      </c>
      <c r="B41" s="22" t="n">
        <v>49</v>
      </c>
      <c r="C41" s="22" t="n"/>
      <c r="D41" s="23" t="n"/>
      <c r="E41" s="22" t="n"/>
      <c r="F41" s="23" t="n"/>
      <c r="G41" s="22" t="n"/>
      <c r="H41" s="22" t="n"/>
      <c r="I41" s="23" t="n"/>
      <c r="J41" s="22" t="n"/>
      <c r="K41" s="22" t="n"/>
      <c r="L41" s="23" t="n"/>
      <c r="M41" s="22" t="n"/>
      <c r="N41" s="22" t="n"/>
      <c r="O41" s="23" t="n"/>
      <c r="P41" s="22" t="n"/>
      <c r="Q41" s="22" t="n"/>
      <c r="R41" s="23" t="n"/>
      <c r="S41" s="23" t="n"/>
      <c r="T41" s="82" t="n"/>
      <c r="U41" s="23" t="n"/>
      <c r="V41" s="82" t="n"/>
      <c r="W41" s="23" t="n"/>
      <c r="X41" s="82" t="n"/>
      <c r="Y41" s="23" t="n"/>
      <c r="Z41" s="82" t="n"/>
      <c r="AA41" s="23" t="n"/>
      <c r="AB41" s="23" t="n"/>
      <c r="AC41" s="7" t="n"/>
      <c r="AD41" s="7" t="n"/>
      <c r="AE41" s="61">
        <f>IF(Tasks[[#This Row],[Task Name]]="","",IF(Tasks[[#This Row],[_IsSummary]],MIN(INDEX(Tasks[_ShownFcstStart],Tasks[[#This Row],[_Row]]+1):INDEX(Tasks[_ShownFcstStart],Tasks[[#This Row],[_Row]]+Tasks[[#This Row],[_Descendants]])),Tasks[[#This Row],[_ShownFcstStart]]))</f>
        <v/>
      </c>
      <c r="AF41" s="61">
        <f>IF(Tasks[[#This Row],[Task Name]]="","",IF(Tasks[[#This Row],[_IsSummary]],MAX(INDEX(Tasks[_ShownFcstFinish],Tasks[[#This Row],[_Row]]+1):INDEX(Tasks[_ShownFcstFinish],Tasks[[#This Row],[_Row]]+Tasks[[#This Row],[_Descendants]])),Tasks[[#This Row],[_ShownFcstFinish]]))</f>
        <v/>
      </c>
      <c r="AG41" s="21">
        <f>""</f>
        <v/>
      </c>
      <c r="AH41" s="23" t="n"/>
      <c r="AI4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1" s="7" t="n"/>
      <c r="AK41" s="22" t="n"/>
      <c r="AL41" s="23" t="n"/>
      <c r="AM41" s="7" t="n"/>
      <c r="AN41" s="21">
        <f>IF(Tasks[[#This Row],[Task Name]]="","",IF(Tasks[[#This Row],[Finish]]&gt;=Tasks[[#This Row],[Planned Finish]],NETWORKDAYS.INTL(Tasks[[#This Row],[Planned Finish]],Tasks[[#This Row],[Finish]],WorkWeek,Holidays)-1,1-NETWORKDAYS.INTL(Tasks[[#This Row],[Finish]],Tasks[[#This Row],[Planned Finish]],WorkWeek,Holidays)))</f>
        <v/>
      </c>
      <c r="AO41" s="21">
        <f>IF(Tasks[[#This Row],[Task Name]]="","",IF(Tasks[[#This Row],[Progress]]&gt;=1,"Complete",IF(OR(N(Tasks[[#This Row],[Actual Start]])&gt;0,Tasks[[#This Row],[Progress]]&gt;0),IF(Tasks[[#This Row],[Finish Var]]&gt;0,"Behind","In Progress"),IF(Tasks[[#This Row],[Planned Start]]&lt;StatusDate,"Late Start","Not Started"))))</f>
        <v/>
      </c>
      <c r="AP41" s="21">
        <f>IF(Tasks[[#This Row],[Task Name]]="","",IF(IF(Tasks[[#This Row],[_IsSummary]],COUNTIF(INDEX(Tasks[_LeafCritical],Tasks[[#This Row],[_Row]]+1):INDEX(Tasks[_LeafCritical],Tasks[[#This Row],[_Row]]+Tasks[[#This Row],[_Descendants]]),TRUE())&gt;0,Tasks[[#This Row],[_LeafCritical]]),"Yes",""))</f>
        <v/>
      </c>
      <c r="AQ41" s="61">
        <f>IF(Tasks[[#This Row],[Task Name]]="","",IF(N(Tasks[[#This Row],[Baseline Start]])&gt;0,Tasks[[#This Row],[Baseline Start]],Tasks[[#This Row],[_CalcStart]]))</f>
        <v/>
      </c>
      <c r="AR41" s="61">
        <f>IF(Tasks[[#This Row],[Task Name]]="","",IF(N(Tasks[[#This Row],[Baseline Finish]])&gt;0,Tasks[[#This Row],[Baseline Finish]],Tasks[[#This Row],[_CalcFinish]]))</f>
        <v/>
      </c>
      <c r="AS41" s="21">
        <f>IF(Tasks[[#This Row],[Task Name]]="","",IF(Tasks[[#This Row],[Start]]&gt;=Tasks[[#This Row],[Planned Start]],NETWORKDAYS.INTL(Tasks[[#This Row],[Planned Start]],Tasks[[#This Row],[Start]],WorkWeek,Holidays)-1,1-NETWORKDAYS.INTL(Tasks[[#This Row],[Start]],Tasks[[#This Row],[Planned Start]],WorkWeek,Holidays)))</f>
        <v/>
      </c>
      <c r="AT41" s="61">
        <f>IF(Tasks[[#This Row],[Task Name]]="","",IF(Tasks[[#This Row],[_IsSummary]],MIN(INDEX(Tasks[_LeafLateStart],Tasks[[#This Row],[_Row]]+1):INDEX(Tasks[_LeafLateStart],Tasks[[#This Row],[_Row]]+Tasks[[#This Row],[_Descendants]])),Tasks[[#This Row],[_LeafLateStart]]))</f>
        <v/>
      </c>
      <c r="AU41" s="61">
        <f>IF(Tasks[[#This Row],[Task Name]]="","",IF(Tasks[[#This Row],[_IsSummary]],MAX(INDEX(Tasks[_LeafLateFinish],Tasks[[#This Row],[_Row]]+1):INDEX(Tasks[_LeafLateFinish],Tasks[[#This Row],[_Row]]+Tasks[[#This Row],[_Descendants]])),Tasks[[#This Row],[_LeafLateFinish]]))</f>
        <v/>
      </c>
      <c r="AV41" s="21">
        <f>IF(Tasks[[#This Row],[Task Name]]="","",IF(Tasks[[#This Row],[_IsSummary]],MIN(INDEX(Tasks[_LeafTotalSlack],Tasks[[#This Row],[_Row]]+1):INDEX(Tasks[_LeafTotalSlack],Tasks[[#This Row],[_Row]]+Tasks[[#This Row],[_Descendants]])),Tasks[[#This Row],[_LeafTotalSlack]]))</f>
        <v/>
      </c>
      <c r="AW4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3" t="n"/>
      <c r="BA4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f>IF(Tasks[[#This Row],[Task Name]]="","",IF(Tasks[[#This Row],[_Level]]&lt;=OutlineShowLevel,"Yes","No"))</f>
        <v/>
      </c>
      <c r="BE41" s="84">
        <f>IF(Tasks[[#This Row],[Task Name]]="","",IF(Tasks[[#This Row],[_IsSummary]],SUM(INDEX(Tasks[_LeafTotalWork],Tasks[[#This Row],[_Row]]+1):INDEX(Tasks[_LeafTotalWork],Tasks[[#This Row],[_Row]]+Tasks[[#This Row],[_Descendants]])),Tasks[[#This Row],[_LeafTotalWork]]))</f>
        <v/>
      </c>
      <c r="BF41" s="23" t="n"/>
      <c r="BG4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f>""</f>
        <v/>
      </c>
      <c r="BI41" s="85" t="n"/>
      <c r="BJ41" s="22" t="n"/>
      <c r="BK41" s="21">
        <f>IF(OR(Tasks[[#This Row],[Task Name]]="",Tasks[[#This Row],[Baseline Duration]]=""),"",Tasks[[#This Row],[_SpanDays]]-N(Tasks[[#This Row],[Baseline Duration]]))</f>
        <v/>
      </c>
      <c r="BL41" s="84">
        <f>IF(OR(Tasks[[#This Row],[Task Name]]="",Tasks[[#This Row],[Baseline Work]]=""),"",Tasks[[#This Row],[Work]]-N(Tasks[[#This Row],[Baseline Work]]))</f>
        <v/>
      </c>
      <c r="BM41" s="61">
        <f>IF(Tasks[[#This Row],[Task Name]]="","",IF(OR(TakeBaseline="Yes",N(Tasks[[#This Row],[Baseline Start]])=0),Tasks[[#This Row],[Start]],Tasks[[#This Row],[Baseline Start]]))</f>
        <v/>
      </c>
      <c r="BN41" s="61">
        <f>IF(Tasks[[#This Row],[Task Name]]="","",IF(OR(TakeBaseline="Yes",N(Tasks[[#This Row],[Baseline Finish]])=0),Tasks[[#This Row],[Finish]],Tasks[[#This Row],[Baseline Finish]]))</f>
        <v/>
      </c>
      <c r="BO41" s="21">
        <f>IF(Tasks[[#This Row],[Task Name]]="","",IF(OR(TakeBaseline="Yes",N(Tasks[[#This Row],[Baseline Duration]])=0),Tasks[[#This Row],[_SpanDays]],Tasks[[#This Row],[Baseline Duration]]))</f>
        <v/>
      </c>
      <c r="BP41" s="84">
        <f>IF(Tasks[[#This Row],[Task Name]]="","",IF(OR(TakeBaseline="Yes",N(Tasks[[#This Row],[Baseline Work]])=0),Tasks[[#This Row],[Work]],Tasks[[#This Row],[Baseline Work]]))</f>
        <v/>
      </c>
      <c r="BQ41" s="7" t="n"/>
      <c r="BR41" s="7" t="n"/>
      <c r="BS41" s="22" t="n"/>
      <c r="BT41" s="86" t="n"/>
      <c r="BU41" s="23" t="n"/>
      <c r="BV41" s="23" t="n"/>
      <c r="BW41" s="23" t="n"/>
      <c r="BX41" s="87">
        <f>IF(AND(Tasks[[#This Row],[_IsLeaf]]=1,ISNUMBER(Tasks[[#This Row],[Optimistic]]),ISNUMBER(Tasks[[#This Row],[Pessimistic]])),ROUND((Tasks[[#This Row],[Optimistic]]+4*N(Tasks[[#This Row],[_Days]])+Tasks[[#This Row],[Pessimistic]])/6,1),"")</f>
        <v/>
      </c>
      <c r="BY41" s="85" t="n"/>
      <c r="BZ41" s="85" t="n"/>
      <c r="CA41" s="22" t="n"/>
      <c r="CB41" s="42">
        <f>IF(Tasks[[#This Row],[Task Name]]="","",MAX(1,N(Tasks[[#This Row],[Level]])))</f>
        <v/>
      </c>
      <c r="CC41" s="42">
        <f>ROW()-ROW(Tasks[[#Headers],[ID]])</f>
        <v/>
      </c>
      <c r="CD41" s="42">
        <f>IF(OR(Tasks[[#This Row],[Task Name]]="",Tasks[[#This Row],[_Level]]&lt;=1),0,IFERROR(LOOKUP(2,1/(Tasks[[#Headers],[_Level]]:Tasks[[#This Row],[_Level]]=Tasks[[#This Row],[_Level]]-1),ROW(Tasks[[#Headers],[_Level]]:Tasks[[#This Row],[_Level]])),0))</f>
        <v/>
      </c>
      <c r="CE41" s="42">
        <f>IFERROR(N(INDEX(Tasks[_Level],Tasks[[#This Row],[_Row]]+1)),0)</f>
        <v/>
      </c>
      <c r="CF41" s="42">
        <f>AND(Tasks[[#This Row],[Task Name]]&lt;&gt;"",Tasks[[#This Row],[_NextLevel]]&gt;Tasks[[#This Row],[_Level]])</f>
        <v/>
      </c>
      <c r="CG41" s="42">
        <f>IF(Tasks[[#This Row],[_IsSummary]],COUNTIF(Tasks[WBS],Tasks[[#This Row],[WBS]]&amp;".*"),0)</f>
        <v/>
      </c>
      <c r="CH41" s="42">
        <f>IF(AND(Tasks[[#This Row],[Task Name]]&lt;&gt;"",NOT(Tasks[[#This Row],[_IsSummary]])),1,0)</f>
        <v/>
      </c>
      <c r="CI41" s="42">
        <f>IF(N(Tasks[[#This Row],[_Pred1UID]])=0,0,IFERROR(MATCH(Tasks[[#This Row],[_Pred1UID]],Tasks[UID],0),-1))</f>
        <v/>
      </c>
      <c r="CJ41" s="42">
        <f>IF(N(Tasks[[#This Row],[_Pred2UID]])=0,0,IFERROR(MATCH(Tasks[[#This Row],[_Pred2UID]],Tasks[UID],0),-1))</f>
        <v/>
      </c>
      <c r="CK41" s="42">
        <f>IF(N(Tasks[[#This Row],[_Pred3UID]])=0,0,IFERROR(MATCH(Tasks[[#This Row],[_Pred3UID]],Tasks[UID],0),-1))</f>
        <v/>
      </c>
      <c r="CL41" s="42">
        <f>IF(N(Tasks[[#This Row],[_Pred4UID]])=0,0,IFERROR(MATCH(Tasks[[#This Row],[_Pred4UID]],Tasks[UID],0),-1))</f>
        <v/>
      </c>
      <c r="CM4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1" s="88">
        <f>IF(N(Tasks[[#This Row],[Constraint Date]])=0,0,IF(AND(OR(Tasks[[#This Row],[_ConstraintCode]]=3,Tasks[[#This Row],[_ConstraintCode]]=6,Tasks[[#This Row],[_ConstraintCode]]=7),N(Tasks[[#This Row],[_Days]])&gt;1),WORKDAY.INTL(N(Tasks[[#This Row],[Constraint Date]]),-(N(Tasks[[#This Row],[_Days]])-1),WorkWeek,Holidays),N(Tasks[[#This Row],[Constraint Date]])))</f>
        <v/>
      </c>
      <c r="CO41" s="88">
        <f>IF(OR(Tasks[[#This Row],[_ConstraintCode]]=2,Tasks[[#This Row],[_ConstraintCode]]=3,Tasks[[#This Row],[_ConstraintCode]]=4,Tasks[[#This Row],[_ConstraintCode]]=6),Tasks[[#This Row],[_ConstraintStart]],0)</f>
        <v/>
      </c>
      <c r="CP41" s="88">
        <f>IF(OR(Tasks[[#This Row],[_ConstraintCode]]=2,Tasks[[#This Row],[_ConstraintCode]]=3,Tasks[[#This Row],[_ConstraintCode]]=5,Tasks[[#This Row],[_ConstraintCode]]=7),Tasks[[#This Row],[_ConstraintStart]],2958465)</f>
        <v/>
      </c>
      <c r="CQ4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1" s="88">
        <f>IF(NOT(Tasks[[#This Row],[_IsLeaf]]=1),"",IF(N(Tasks[[#This Row],[_Days]])&lt;=0,Tasks[[#This Row],[_LeafCalcStart]],WORKDAY.INTL(Tasks[[#This Row],[_LeafCalcStart]],Tasks[[#This Row],[_Days]]-1,WorkWeek,Holidays)))</f>
        <v/>
      </c>
      <c r="CS4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1" s="42">
        <f>IF(Tasks[[#This Row],[_Predecessors]]="","",TRIM(MID(SUBSTITUTE(SUBSTITUTE(SUBSTITUTE(UPPER(Tasks[[#This Row],[_Predecessors]]),";",",")," ",""),",",REPT(" ",99)),1,99)))</f>
        <v/>
      </c>
      <c r="CV41" s="42">
        <f>IF(Tasks[[#This Row],[_Pred1Text]]="","",IFERROR(VALUE(LEFT(Tasks[[#This Row],[_Pred1Text]],MIN(FIND("F",Tasks[[#This Row],[_Pred1Text]]&amp;"F"),FIND("S",Tasks[[#This Row],[_Pred1Text]]&amp;"S"),FIND("+",Tasks[[#This Row],[_Pred1Text]]&amp;"+"),FIND("-",Tasks[[#This Row],[_Pred1Text]]&amp;"-"))-1)),""))</f>
        <v/>
      </c>
      <c r="CW4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1" s="42">
        <f>IF(Tasks[[#This Row],[_Pred1Text]]="","",TRIM(MID(SUBSTITUTE(SUBSTITUTE(SUBSTITUTE(UPPER(Tasks[[#This Row],[_Predecessors]]),";",",")," ",""),",",REPT(" ",99)),100,99)))</f>
        <v/>
      </c>
      <c r="CZ41" s="42">
        <f>IF(Tasks[[#This Row],[_Pred2Text]]="","",IFERROR(VALUE(LEFT(Tasks[[#This Row],[_Pred2Text]],MIN(FIND("F",Tasks[[#This Row],[_Pred2Text]]&amp;"F"),FIND("S",Tasks[[#This Row],[_Pred2Text]]&amp;"S"),FIND("+",Tasks[[#This Row],[_Pred2Text]]&amp;"+"),FIND("-",Tasks[[#This Row],[_Pred2Text]]&amp;"-"))-1)),""))</f>
        <v/>
      </c>
      <c r="DA4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1" s="42">
        <f>IF(Tasks[[#This Row],[_Pred2Text]]="","",TRIM(MID(SUBSTITUTE(SUBSTITUTE(SUBSTITUTE(UPPER(Tasks[[#This Row],[_Predecessors]]),";",",")," ",""),",",REPT(" ",99)),199,99)))</f>
        <v/>
      </c>
      <c r="DD41" s="42">
        <f>IF(Tasks[[#This Row],[_Pred3Text]]="","",IFERROR(VALUE(LEFT(Tasks[[#This Row],[_Pred3Text]],MIN(FIND("F",Tasks[[#This Row],[_Pred3Text]]&amp;"F"),FIND("S",Tasks[[#This Row],[_Pred3Text]]&amp;"S"),FIND("+",Tasks[[#This Row],[_Pred3Text]]&amp;"+"),FIND("-",Tasks[[#This Row],[_Pred3Text]]&amp;"-"))-1)),""))</f>
        <v/>
      </c>
      <c r="DE4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1" s="42">
        <f>IF(Tasks[[#This Row],[_Pred3Text]]="","",TRIM(MID(SUBSTITUTE(SUBSTITUTE(SUBSTITUTE(UPPER(Tasks[[#This Row],[_Predecessors]]),";",",")," ",""),",",REPT(" ",99)),298,99)))</f>
        <v/>
      </c>
      <c r="DH41" s="42">
        <f>IF(Tasks[[#This Row],[_Pred4Text]]="","",IFERROR(VALUE(LEFT(Tasks[[#This Row],[_Pred4Text]],MIN(FIND("F",Tasks[[#This Row],[_Pred4Text]]&amp;"F"),FIND("S",Tasks[[#This Row],[_Pred4Text]]&amp;"S"),FIND("+",Tasks[[#This Row],[_Pred4Text]]&amp;"+"),FIND("-",Tasks[[#This Row],[_Pred4Text]]&amp;"-"))-1)),""))</f>
        <v/>
      </c>
      <c r="DI4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1" s="42">
        <f>IF(OR(Tasks[[#This Row],[Task Name]]="",Tasks[[#This Row],[_Resources]]=""),"",TRIM(MID(SUBSTITUTE(Tasks[[#This Row],[_Resources]],",",REPT(" ",99)),1,99)))</f>
        <v/>
      </c>
      <c r="DL41" s="42">
        <f>IF(Tasks[[#This Row],[_Res1Text]]="","",TRIM(MID(SUBSTITUTE(Tasks[[#This Row],[_Resources]],",",REPT(" ",99)),100,99)))</f>
        <v/>
      </c>
      <c r="DM41" s="42">
        <f>IF(Tasks[[#This Row],[_Res2Text]]="","",TRIM(MID(SUBSTITUTE(Tasks[[#This Row],[_Resources]],",",REPT(" ",99)),199,99)))</f>
        <v/>
      </c>
      <c r="DN41" s="42">
        <f>IF(Tasks[[#This Row],[_Res3Text]]="","",TRIM(MID(SUBSTITUTE(Tasks[[#This Row],[_Resources]],",",REPT(" ",99)),298,99)))</f>
        <v/>
      </c>
      <c r="DO41" s="42">
        <f>IF(Tasks[[#This Row],[_Res1Text]]="",0,IFERROR(MATCH(TRIM(LEFT(Tasks[[#This Row],[_Res1Text]],FIND("[",Tasks[[#This Row],[_Res1Text]]&amp;"[")-1)),res_Name,0),IFERROR(MATCH(TRIM(LEFT(Tasks[[#This Row],[_Res1Text]],FIND("[",Tasks[[#This Row],[_Res1Text]]&amp;"[")-1)),res_Initials,0),0)))</f>
        <v/>
      </c>
      <c r="DP41" s="42">
        <f>IF(Tasks[[#This Row],[_Res2Text]]="",0,IFERROR(MATCH(TRIM(LEFT(Tasks[[#This Row],[_Res2Text]],FIND("[",Tasks[[#This Row],[_Res2Text]]&amp;"[")-1)),res_Name,0),IFERROR(MATCH(TRIM(LEFT(Tasks[[#This Row],[_Res2Text]],FIND("[",Tasks[[#This Row],[_Res2Text]]&amp;"[")-1)),res_Initials,0),0)))</f>
        <v/>
      </c>
      <c r="DQ41" s="42">
        <f>IF(Tasks[[#This Row],[_Res3Text]]="",0,IFERROR(MATCH(TRIM(LEFT(Tasks[[#This Row],[_Res3Text]],FIND("[",Tasks[[#This Row],[_Res3Text]]&amp;"[")-1)),res_Name,0),IFERROR(MATCH(TRIM(LEFT(Tasks[[#This Row],[_Res3Text]],FIND("[",Tasks[[#This Row],[_Res3Text]]&amp;"[")-1)),res_Initials,0),0)))</f>
        <v/>
      </c>
      <c r="DR41" s="42">
        <f>IF(Tasks[[#This Row],[_Res4Text]]="",0,IFERROR(MATCH(TRIM(LEFT(Tasks[[#This Row],[_Res4Text]],FIND("[",Tasks[[#This Row],[_Res4Text]]&amp;"[")-1)),res_Name,0),IFERROR(MATCH(TRIM(LEFT(Tasks[[#This Row],[_Res4Text]],FIND("[",Tasks[[#This Row],[_Res4Text]]&amp;"[")-1)),res_Initials,0),0)))</f>
        <v/>
      </c>
      <c r="DS41" s="42">
        <f>IF(Tasks[[#This Row],[_Res1Text]]="","",IF(Tasks[[#This Row],[_Res1Row]]&gt;0,INDEX(res_Name,Tasks[[#This Row],[_Res1Row]]),TRIM(LEFT(Tasks[[#This Row],[_Res1Text]],FIND("[",Tasks[[#This Row],[_Res1Text]]&amp;"[")-1))))</f>
        <v/>
      </c>
      <c r="DT4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1" s="42">
        <f>IF(NOT(Tasks[[#This Row],[_IsLeaf]]=1),0,(Tasks[[#This Row],[_Resource1]]&lt;&gt;"")+(Tasks[[#This Row],[_Res2]]&lt;&gt;"")+(Tasks[[#This Row],[_Res3]]&lt;&gt;"")+(Tasks[[#This Row],[_Res4]]&lt;&gt;""))</f>
        <v/>
      </c>
      <c r="DV41" s="42">
        <f>IF(Tasks[[#This Row],[_Res2Text]]="","",IF(Tasks[[#This Row],[_Res2Row]]&gt;0,INDEX(res_Name,Tasks[[#This Row],[_Res2Row]]),TRIM(LEFT(Tasks[[#This Row],[_Res2Text]],FIND("[",Tasks[[#This Row],[_Res2Text]]&amp;"[")-1))))</f>
        <v/>
      </c>
      <c r="DW4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1" s="42">
        <f>IF(OR(NOT(Tasks[[#This Row],[_IsLeaf]]=1),Tasks[[#This Row],[_Res2Row]]=0),0,N(Tasks[[#This Row],[_Days]])*HoursPerDay*IF(Tasks[[#This Row],[_Res2Units]]="",DefaultUnits,Tasks[[#This Row],[_Res2Units]]))</f>
        <v/>
      </c>
      <c r="DY41" s="42">
        <f>IF(AND(AND(Tasks[[#This Row],[_IsLeaf]]=1,Tasks[[#This Row],[_LeafTotalWork]]&gt;0),Tasks[[#This Row],[_Res2Work]]&gt;0),Tasks[[#This Row],[_Res2Work]]/(Tasks[[#This Row],[_FinishWorkday]]-Tasks[[#This Row],[_StartWorkday]]+1),0)</f>
        <v/>
      </c>
      <c r="DZ41" s="42">
        <f>Tasks[[#This Row],[_Res2WorkPerWD]]*MAX(0,Tasks[[#This Row],[_StartWorkday]]-1)</f>
        <v/>
      </c>
      <c r="EA41" s="42">
        <f>Tasks[[#This Row],[_Res2Work]]*Tasks[[#This Row],[_LeafProgress]]</f>
        <v/>
      </c>
      <c r="EB41" s="42">
        <f>IF(Tasks[[#This Row],[_Res3Text]]="","",IF(Tasks[[#This Row],[_Res3Row]]&gt;0,INDEX(res_Name,Tasks[[#This Row],[_Res3Row]]),TRIM(LEFT(Tasks[[#This Row],[_Res3Text]],FIND("[",Tasks[[#This Row],[_Res3Text]]&amp;"[")-1))))</f>
        <v/>
      </c>
      <c r="EC4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1" s="42">
        <f>IF(OR(NOT(Tasks[[#This Row],[_IsLeaf]]=1),Tasks[[#This Row],[_Res3Row]]=0),0,N(Tasks[[#This Row],[_Days]])*HoursPerDay*IF(Tasks[[#This Row],[_Res3Units]]="",DefaultUnits,Tasks[[#This Row],[_Res3Units]]))</f>
        <v/>
      </c>
      <c r="EE41" s="42">
        <f>IF(AND(AND(Tasks[[#This Row],[_IsLeaf]]=1,Tasks[[#This Row],[_LeafTotalWork]]&gt;0),Tasks[[#This Row],[_Res3Work]]&gt;0),Tasks[[#This Row],[_Res3Work]]/(Tasks[[#This Row],[_FinishWorkday]]-Tasks[[#This Row],[_StartWorkday]]+1),0)</f>
        <v/>
      </c>
      <c r="EF41" s="42">
        <f>Tasks[[#This Row],[_Res3WorkPerWD]]*MAX(0,Tasks[[#This Row],[_StartWorkday]]-1)</f>
        <v/>
      </c>
      <c r="EG41" s="42">
        <f>Tasks[[#This Row],[_Res3Work]]*Tasks[[#This Row],[_LeafProgress]]</f>
        <v/>
      </c>
      <c r="EH41" s="42">
        <f>IF(Tasks[[#This Row],[_Res4Text]]="","",IF(Tasks[[#This Row],[_Res4Row]]&gt;0,INDEX(res_Name,Tasks[[#This Row],[_Res4Row]]),TRIM(LEFT(Tasks[[#This Row],[_Res4Text]],FIND("[",Tasks[[#This Row],[_Res4Text]]&amp;"[")-1))))</f>
        <v/>
      </c>
      <c r="EI4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1" s="42">
        <f>IF(OR(NOT(Tasks[[#This Row],[_IsLeaf]]=1),Tasks[[#This Row],[_Res4Row]]=0),0,N(Tasks[[#This Row],[_Days]])*HoursPerDay*IF(Tasks[[#This Row],[_Res4Units]]="",DefaultUnits,Tasks[[#This Row],[_Res4Units]]))</f>
        <v/>
      </c>
      <c r="EK41" s="42">
        <f>IF(AND(AND(Tasks[[#This Row],[_IsLeaf]]=1,Tasks[[#This Row],[_LeafTotalWork]]&gt;0),Tasks[[#This Row],[_Res4Work]]&gt;0),Tasks[[#This Row],[_Res4Work]]/(Tasks[[#This Row],[_FinishWorkday]]-Tasks[[#This Row],[_StartWorkday]]+1),0)</f>
        <v/>
      </c>
      <c r="EL41" s="42">
        <f>Tasks[[#This Row],[_Res4WorkPerWD]]*MAX(0,Tasks[[#This Row],[_StartWorkday]]-1)</f>
        <v/>
      </c>
      <c r="EM41" s="42">
        <f>Tasks[[#This Row],[_Res4Work]]*Tasks[[#This Row],[_LeafProgress]]</f>
        <v/>
      </c>
      <c r="EN41" s="42">
        <f>IF(ISNUMBER(Tasks[[#This Row],[% Complete]]),Tasks[[#This Row],[% Complete]],IF(Tasks[[#This Row],[Stage]]="",0,IFERROR(INDEX(stg_Pct,MATCH(Tasks[[#This Row],[Stage]],stg_Name,0)),0)))</f>
        <v/>
      </c>
      <c r="EO41" s="42">
        <f>IF(NOT(Tasks[[#This Row],[_IsLeaf]]=1),0,IF(N(Tasks[[#This Row],[Actual Finish]])&gt;0,1,MIN(1,Tasks[[#This Row],[_Pct]])))</f>
        <v/>
      </c>
      <c r="EP41" s="42">
        <f>IF(OR(NOT(Tasks[[#This Row],[_IsLeaf]]=1),Tasks[[#This Row],[_Res1Row]]=0),0,N(Tasks[[#This Row],[_Days]])*HoursPerDay*IF(Tasks[[#This Row],[_Units1]]="",DefaultUnits,Tasks[[#This Row],[_Units1]]))</f>
        <v/>
      </c>
      <c r="EQ41" s="42">
        <f>Tasks[[#This Row],[_LeafWork]]+Tasks[[#This Row],[_Res2Work]]+Tasks[[#This Row],[_Res3Work]]+Tasks[[#This Row],[_Res4Work]]</f>
        <v/>
      </c>
      <c r="ER4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1" s="42">
        <f>IF(NOT(Tasks[[#This Row],[_IsLeaf]]=1),0,MAX(_xlfn.MAXIFS(Tasks[_Row],Tasks[_Pred1UID],Tasks[[#This Row],[UID]]),_xlfn.MAXIFS(Tasks[_Row],Tasks[_Pred2UID],Tasks[[#This Row],[UID]]),_xlfn.MAXIFS(Tasks[_Row],Tasks[_Pred3UID],Tasks[[#This Row],[UID]]),_xlfn.MAXIFS(Tasks[_Row],Tasks[_Pred4UID],Tasks[[#This Row],[UID]])))</f>
        <v/>
      </c>
      <c r="FA4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1" s="88">
        <f>IF(NOT(Tasks[[#This Row],[_IsLeaf]]=1),"",IF(N(Tasks[[#This Row],[_Days]])&lt;=0,Tasks[[#This Row],[_LeafLateFinish]],WORKDAY.INTL(Tasks[[#This Row],[_LeafLateFinish]],-(Tasks[[#This Row],[_Days]]-1),WorkWeek,Holidays)))</f>
        <v/>
      </c>
      <c r="FD4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1" s="42">
        <f>AND(Tasks[[#This Row],[_IsLeaf]]=1,Tasks[[#This Row],[_LeafProgress]]&lt;1,N(Tasks[[#This Row],[_LeafTotalSlack]])&lt;=CriticalSlackDays)</f>
        <v/>
      </c>
      <c r="FF41" s="42">
        <f>IF(AND(Tasks[[#This Row],[_IsLeaf]]=1,Tasks[[#This Row],[_ConstraintCode]]=1,Tasks[[#This Row],[Mode]]&lt;&gt;"Manual",N(Tasks[[#This Row],[Actual Start]])=0),MAX(0,N(Tasks[[#This Row],[Free Slack]])),0)</f>
        <v/>
      </c>
      <c r="FG41" s="88">
        <f>IF(NOT(Tasks[[#This Row],[_IsLeaf]]=1),"",IF(Tasks[[#This Row],[_AlapShift]]=0,Tasks[[#This Row],[_LeafCalcStart]],WORKDAY.INTL(Tasks[[#This Row],[_LeafCalcStart]],Tasks[[#This Row],[_AlapShift]],WorkWeek,Holidays)))</f>
        <v/>
      </c>
      <c r="FH41" s="88">
        <f>IF(NOT(Tasks[[#This Row],[_IsLeaf]]=1),"",IF(Tasks[[#This Row],[_AlapShift]]=0,Tasks[[#This Row],[_LeafCalcFinish]],WORKDAY.INTL(Tasks[[#This Row],[_LeafCalcFinish]],Tasks[[#This Row],[_AlapShift]],WorkWeek,Holidays)))</f>
        <v/>
      </c>
      <c r="FI41" s="88">
        <f>IF(NOT(Tasks[[#This Row],[_IsLeaf]]=1),"",IF(Tasks[[#This Row],[_AlapShift]]=0,Tasks[[#This Row],[_LeafFcstStart]],WORKDAY.INTL(Tasks[[#This Row],[_LeafFcstStart]],Tasks[[#This Row],[_AlapShift]],WorkWeek,Holidays)))</f>
        <v/>
      </c>
      <c r="FJ41" s="88">
        <f>IF(NOT(Tasks[[#This Row],[_IsLeaf]]=1),"",IF(Tasks[[#This Row],[_AlapShift]]=0,Tasks[[#This Row],[_LeafFcstFinish]],WORKDAY.INTL(Tasks[[#This Row],[_LeafFcstFinish]],Tasks[[#This Row],[_AlapShift]],WorkWeek,Holidays)))</f>
        <v/>
      </c>
      <c r="FK41" s="88">
        <f>IF(Tasks[[#This Row],[Task Name]]="","",IF(Tasks[[#This Row],[_IsSummary]],MIN(INDEX(Tasks[_ShownCalcStart],Tasks[[#This Row],[_Row]]+1):INDEX(Tasks[_ShownCalcStart],Tasks[[#This Row],[_Row]]+Tasks[[#This Row],[_Descendants]])),Tasks[[#This Row],[_ShownCalcStart]]))</f>
        <v/>
      </c>
      <c r="FL41" s="88">
        <f>IF(Tasks[[#This Row],[Task Name]]="","",IF(Tasks[[#This Row],[_IsSummary]],MAX(INDEX(Tasks[_ShownCalcFinish],Tasks[[#This Row],[_Row]]+1):INDEX(Tasks[_ShownCalcFinish],Tasks[[#This Row],[_Row]]+Tasks[[#This Row],[_Descendants]])),Tasks[[#This Row],[_ShownCalcFinish]]))</f>
        <v/>
      </c>
      <c r="FM4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1" s="42">
        <f>IF(AND(Tasks[[#This Row],[_IsLeaf]]=1,Tasks[[#This Row],[_LeafTotalWork]]&gt;0),NETWORKDAYS.INTL(ProjectStart,Tasks[[#This Row],[_ShownFcstStart]],WorkWeek,Holidays),0)</f>
        <v/>
      </c>
      <c r="FZ41" s="42">
        <f>IF(AND(Tasks[[#This Row],[_IsLeaf]]=1,Tasks[[#This Row],[_LeafTotalWork]]&gt;0),MAX(Tasks[[#This Row],[_StartWorkday]],NETWORKDAYS.INTL(ProjectStart,Tasks[[#This Row],[_ShownFcstFinish]],WorkWeek,Holidays)),0)</f>
        <v/>
      </c>
      <c r="GA41" s="42">
        <f>IF(AND(Tasks[[#This Row],[_IsLeaf]]=1,Tasks[[#This Row],[_LeafTotalWork]]&gt;0),Tasks[[#This Row],[_LeafWork]]/(Tasks[[#This Row],[_FinishWorkday]]-Tasks[[#This Row],[_StartWorkday]]+1),0)</f>
        <v/>
      </c>
      <c r="GB41" s="42">
        <f>Tasks[[#This Row],[_WorkPerWorkday]]*(Tasks[[#This Row],[_StartWorkday]]-1)</f>
        <v/>
      </c>
      <c r="GC41" s="42">
        <f>IF(Tasks[[#This Row],[_IsLeaf]]=1,MAX(N(Tasks[[#This Row],[_Days]]),0.1),0)</f>
        <v/>
      </c>
      <c r="GD41" s="42">
        <f>Tasks[[#This Row],[_WeightDur]]*Tasks[[#This Row],[_LeafProgress]]</f>
        <v/>
      </c>
      <c r="GE41" s="42">
        <f>Tasks[[#This Row],[_WeightDur]]*Tasks[[#This Row],[_PlannedPct]]</f>
        <v/>
      </c>
      <c r="GF4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1" s="42">
        <f>IF(AND(Tasks[[#This Row],[_IsLeaf]]=1,N(Tasks[[#This Row],[_Days]])=0,Tasks[[#This Row],[_LeafProgress]]&lt;1),Tasks[[#This Row],[_ShownFcstFinish]]+Tasks[[#This Row],[_Row]]/100000,"")</f>
        <v/>
      </c>
      <c r="GH4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1" s="42">
        <f>IF(Tasks[[#This Row],[Task Name]]="","",LEFT(Tasks[[#This Row],[WBS]],FIND(".",Tasks[[#This Row],[WBS]]&amp;".")-1))</f>
        <v/>
      </c>
      <c r="GJ41" s="42">
        <f>IF(AND(Tasks[[#This Row],[Task Name]]&lt;&gt;"",Tasks[[#This Row],[_Level]]=1),Tasks[[#This Row],[_Row]],"")</f>
        <v/>
      </c>
      <c r="GK41" s="42">
        <f>IF(AND(Tasks[[#This Row],[_IsLeaf]]=1,N(Tasks[[#This Row],[_Days]])=0),Tasks[[#This Row],[Planned Finish]]+Tasks[[#This Row],[_Row]]/100000,"")</f>
        <v/>
      </c>
      <c r="GL41" s="42">
        <f>IF(AND(Tasks[[#This Row],[_IsLeaf]]=1,Tasks[[#This Row],[_LeafProgress]]&lt;1,OR(N(Tasks[[#This Row],[Finish Var]])&gt;0,Tasks[[#This Row],[Status]]="Late Start")),MAX(0,Tasks[[#This Row],[Finish Var]])+1-Tasks[[#This Row],[_Row]]/1000000,"")</f>
        <v/>
      </c>
      <c r="GM41" s="42">
        <f>IF(AND(Tasks[[#This Row],[_IsLeaf]]=1,N(Tasks[[#This Row],[Actual Start]])=0,Tasks[[#This Row],[_ShownFcstStart]]&gt;=StatusDate,Tasks[[#This Row],[_ShownFcstStart]]&lt;=LookaheadEnd),Tasks[[#This Row],[_ShownFcstStart]]+Tasks[[#This Row],[_Row]]/100000,"")</f>
        <v/>
      </c>
      <c r="GN41" s="42">
        <f>IF(AND(Tasks[[#This Row],[_IsLeaf]]=1,Tasks[[#This Row],[_LeafProgress]]&lt;1,Tasks[[#This Row],[_ShownFcstFinish]]&gt;=StatusDate,Tasks[[#This Row],[_ShownFcstFinish]]&lt;=LookaheadEnd),Tasks[[#This Row],[_ShownFcstFinish]]+Tasks[[#This Row],[_Row]]/100000,"")</f>
        <v/>
      </c>
      <c r="GO41" s="42">
        <f>IF(Tasks[[#This Row],[_LeafCritical]],Tasks[[#This Row],[_ShownFcstStart]]+Tasks[[#This Row],[_Row]]/100000,"")</f>
        <v/>
      </c>
      <c r="GP41" s="42">
        <f>Tasks[[#This Row],[_LeafWork]]*Tasks[[#This Row],[_LeafProgress]]</f>
        <v/>
      </c>
      <c r="GQ41" s="88">
        <f>IF(AND(Tasks[[#This Row],[_IsLeaf]]=1,Tasks[[#This Row],[_LeafProgress]]&gt;=1),IF(N(Tasks[[#This Row],[Actual Finish]])&gt;0,Tasks[[#This Row],[Actual Finish]],Tasks[[#This Row],[_ShownFcstFinish]]),"")</f>
        <v/>
      </c>
      <c r="GR41" s="42">
        <f>IF(Tasks[[#This Row],[_IsLeaf]]=1,N(Tasks[[#This Row],[Story Points]]),0)</f>
        <v/>
      </c>
      <c r="GS41" s="42">
        <f>""</f>
        <v/>
      </c>
      <c r="GT41" s="42">
        <f>IF(Tasks[[#This Row],[Task Name]]="",FALSE(),AND(Tasks[[#This Row],[_IsLeaf]]=1,N(Tasks[[#This Row],[_Days]])=0))</f>
        <v/>
      </c>
      <c r="GU41" s="88">
        <f>IF(Tasks[[#This Row],[Task Name]]="",0,IF(AND(Tasks[[#This Row],[_IsLeaf]]=1,NOT(Tasks[[#This Row],[_IsMilestone]]),N(Tasks[[#This Row],[Progress]])&gt;0),Tasks[[#This Row],[Start]],0))</f>
        <v/>
      </c>
      <c r="GV41" s="88">
        <f>IF(Tasks[[#This Row],[_DoneFrom]]=0,0,IF(Tasks[[#This Row],[Progress]]&gt;=1,Tasks[[#This Row],[Finish]],MAX(Tasks[[#This Row],[_DoneFrom]],Tasks[[#This Row],[Start]]+ROUND((Tasks[[#This Row],[Finish]]-Tasks[[#This Row],[Start]]+1)*Tasks[[#This Row],[Progress]],0)-1)))</f>
        <v/>
      </c>
      <c r="GW41" s="88">
        <f>IF(Tasks[[#This Row],[Task Name]]="",0,IF(OR(NOT(Tasks[[#This Row],[_IsLeaf]]=1),Tasks[[#This Row],[_IsMilestone]],N(Tasks[[#This Row],[Progress]])&gt;=1),0,IF(Tasks[[#This Row],[_DoneTo]]&gt;0,Tasks[[#This Row],[_DoneTo]]+1,Tasks[[#This Row],[Start]])))</f>
        <v/>
      </c>
      <c r="GX41" s="88">
        <f>IF(Tasks[[#This Row],[_RemFrom]]=0,0,Tasks[[#This Row],[Finish]])</f>
        <v/>
      </c>
      <c r="GY41" s="42">
        <f>IF(Tasks[[#This Row],[Task Name]]="",FALSE(),OR(NOT(BaselineSet),N(Tasks[[#This Row],[Baseline Start]])&gt;0))</f>
        <v/>
      </c>
      <c r="GZ41" s="42">
        <f>IF(AND(Sandbox="Yes",L_PARSE_DURATION(Tasks[[#This Row],[Sandbox Duration]])&lt;&gt;""),L_PARSE_DURATION(Tasks[[#This Row],[Sandbox Duration]]),L_PARSE_DURATION(Tasks[[#This Row],[Duration]]))</f>
        <v/>
      </c>
      <c r="HA4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1" s="42">
        <f>IF(Tasks[[#This Row],[_IsLeaf]]=1,Tasks[[#This Row],[_Row]],"")</f>
        <v/>
      </c>
      <c r="HD41" s="42">
        <f>IFERROR(INDEX(Tasks[UID],SMALL(Tasks[_PickKey],Tasks[[#This Row],[_Row]]))&amp;" "&amp;INDEX(Tasks[Task Name],SMALL(Tasks[_PickKey],Tasks[[#This Row],[_Row]])),"")</f>
        <v/>
      </c>
      <c r="HE41" s="42">
        <f>IF(Tasks[[#This Row],[Task Name]]="","",IF(Tasks[[#This Row],[_IsSummary]],NETWORKDAYS.INTL(Tasks[[#This Row],[Start]],Tasks[[#This Row],[Finish]],WorkWeek,Holidays),N(Tasks[[#This Row],[_Days]])))</f>
        <v/>
      </c>
      <c r="HF41" s="42">
        <f>IF(Tasks[[#This Row],[Expected]]="",0,((Tasks[[#This Row],[Pessimistic]]-Tasks[[#This Row],[Optimistic]])/6)^2)</f>
        <v/>
      </c>
      <c r="HG41" s="42">
        <f>IF(Tasks[[#This Row],[Expected]]="",0,Tasks[[#This Row],[Expected]]-N(Tasks[[#This Row],[_Days]]))</f>
        <v/>
      </c>
    </row>
    <row r="42">
      <c r="A42" s="21">
        <f>IF(Tasks[[#This Row],[Task Name]]="","",COUNTA(Tasks[[#Headers],[Task Name]]:Tasks[[#This Row],[Task Name]])-1)</f>
        <v/>
      </c>
      <c r="B42" s="22" t="n">
        <v>50</v>
      </c>
      <c r="C42" s="22" t="n"/>
      <c r="D42" s="23" t="n"/>
      <c r="E42" s="22" t="n"/>
      <c r="F42" s="23" t="n"/>
      <c r="G42" s="22" t="n"/>
      <c r="H42" s="22" t="n"/>
      <c r="I42" s="23" t="n"/>
      <c r="J42" s="22" t="n"/>
      <c r="K42" s="22" t="n"/>
      <c r="L42" s="23" t="n"/>
      <c r="M42" s="22" t="n"/>
      <c r="N42" s="22" t="n"/>
      <c r="O42" s="23" t="n"/>
      <c r="P42" s="22" t="n"/>
      <c r="Q42" s="22" t="n"/>
      <c r="R42" s="23" t="n"/>
      <c r="S42" s="23" t="n"/>
      <c r="T42" s="82" t="n"/>
      <c r="U42" s="23" t="n"/>
      <c r="V42" s="82" t="n"/>
      <c r="W42" s="23" t="n"/>
      <c r="X42" s="82" t="n"/>
      <c r="Y42" s="23" t="n"/>
      <c r="Z42" s="82" t="n"/>
      <c r="AA42" s="23" t="n"/>
      <c r="AB42" s="23" t="n"/>
      <c r="AC42" s="7" t="n"/>
      <c r="AD42" s="7" t="n"/>
      <c r="AE42" s="61">
        <f>IF(Tasks[[#This Row],[Task Name]]="","",IF(Tasks[[#This Row],[_IsSummary]],MIN(INDEX(Tasks[_ShownFcstStart],Tasks[[#This Row],[_Row]]+1):INDEX(Tasks[_ShownFcstStart],Tasks[[#This Row],[_Row]]+Tasks[[#This Row],[_Descendants]])),Tasks[[#This Row],[_ShownFcstStart]]))</f>
        <v/>
      </c>
      <c r="AF42" s="61">
        <f>IF(Tasks[[#This Row],[Task Name]]="","",IF(Tasks[[#This Row],[_IsSummary]],MAX(INDEX(Tasks[_ShownFcstFinish],Tasks[[#This Row],[_Row]]+1):INDEX(Tasks[_ShownFcstFinish],Tasks[[#This Row],[_Row]]+Tasks[[#This Row],[_Descendants]])),Tasks[[#This Row],[_ShownFcstFinish]]))</f>
        <v/>
      </c>
      <c r="AG42" s="21">
        <f>""</f>
        <v/>
      </c>
      <c r="AH42" s="23" t="n"/>
      <c r="AI4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2" s="7" t="n"/>
      <c r="AK42" s="22" t="n"/>
      <c r="AL42" s="23" t="n"/>
      <c r="AM42" s="7" t="n"/>
      <c r="AN42" s="21">
        <f>IF(Tasks[[#This Row],[Task Name]]="","",IF(Tasks[[#This Row],[Finish]]&gt;=Tasks[[#This Row],[Planned Finish]],NETWORKDAYS.INTL(Tasks[[#This Row],[Planned Finish]],Tasks[[#This Row],[Finish]],WorkWeek,Holidays)-1,1-NETWORKDAYS.INTL(Tasks[[#This Row],[Finish]],Tasks[[#This Row],[Planned Finish]],WorkWeek,Holidays)))</f>
        <v/>
      </c>
      <c r="AO42" s="21">
        <f>IF(Tasks[[#This Row],[Task Name]]="","",IF(Tasks[[#This Row],[Progress]]&gt;=1,"Complete",IF(OR(N(Tasks[[#This Row],[Actual Start]])&gt;0,Tasks[[#This Row],[Progress]]&gt;0),IF(Tasks[[#This Row],[Finish Var]]&gt;0,"Behind","In Progress"),IF(Tasks[[#This Row],[Planned Start]]&lt;StatusDate,"Late Start","Not Started"))))</f>
        <v/>
      </c>
      <c r="AP42" s="21">
        <f>IF(Tasks[[#This Row],[Task Name]]="","",IF(IF(Tasks[[#This Row],[_IsSummary]],COUNTIF(INDEX(Tasks[_LeafCritical],Tasks[[#This Row],[_Row]]+1):INDEX(Tasks[_LeafCritical],Tasks[[#This Row],[_Row]]+Tasks[[#This Row],[_Descendants]]),TRUE())&gt;0,Tasks[[#This Row],[_LeafCritical]]),"Yes",""))</f>
        <v/>
      </c>
      <c r="AQ42" s="61">
        <f>IF(Tasks[[#This Row],[Task Name]]="","",IF(N(Tasks[[#This Row],[Baseline Start]])&gt;0,Tasks[[#This Row],[Baseline Start]],Tasks[[#This Row],[_CalcStart]]))</f>
        <v/>
      </c>
      <c r="AR42" s="61">
        <f>IF(Tasks[[#This Row],[Task Name]]="","",IF(N(Tasks[[#This Row],[Baseline Finish]])&gt;0,Tasks[[#This Row],[Baseline Finish]],Tasks[[#This Row],[_CalcFinish]]))</f>
        <v/>
      </c>
      <c r="AS42" s="21">
        <f>IF(Tasks[[#This Row],[Task Name]]="","",IF(Tasks[[#This Row],[Start]]&gt;=Tasks[[#This Row],[Planned Start]],NETWORKDAYS.INTL(Tasks[[#This Row],[Planned Start]],Tasks[[#This Row],[Start]],WorkWeek,Holidays)-1,1-NETWORKDAYS.INTL(Tasks[[#This Row],[Start]],Tasks[[#This Row],[Planned Start]],WorkWeek,Holidays)))</f>
        <v/>
      </c>
      <c r="AT42" s="61">
        <f>IF(Tasks[[#This Row],[Task Name]]="","",IF(Tasks[[#This Row],[_IsSummary]],MIN(INDEX(Tasks[_LeafLateStart],Tasks[[#This Row],[_Row]]+1):INDEX(Tasks[_LeafLateStart],Tasks[[#This Row],[_Row]]+Tasks[[#This Row],[_Descendants]])),Tasks[[#This Row],[_LeafLateStart]]))</f>
        <v/>
      </c>
      <c r="AU42" s="61">
        <f>IF(Tasks[[#This Row],[Task Name]]="","",IF(Tasks[[#This Row],[_IsSummary]],MAX(INDEX(Tasks[_LeafLateFinish],Tasks[[#This Row],[_Row]]+1):INDEX(Tasks[_LeafLateFinish],Tasks[[#This Row],[_Row]]+Tasks[[#This Row],[_Descendants]])),Tasks[[#This Row],[_LeafLateFinish]]))</f>
        <v/>
      </c>
      <c r="AV42" s="21">
        <f>IF(Tasks[[#This Row],[Task Name]]="","",IF(Tasks[[#This Row],[_IsSummary]],MIN(INDEX(Tasks[_LeafTotalSlack],Tasks[[#This Row],[_Row]]+1):INDEX(Tasks[_LeafTotalSlack],Tasks[[#This Row],[_Row]]+Tasks[[#This Row],[_Descendants]])),Tasks[[#This Row],[_LeafTotalSlack]]))</f>
        <v/>
      </c>
      <c r="AW4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3" t="n"/>
      <c r="BA4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f>IF(Tasks[[#This Row],[Task Name]]="","",IF(Tasks[[#This Row],[_Level]]&lt;=OutlineShowLevel,"Yes","No"))</f>
        <v/>
      </c>
      <c r="BE42" s="84">
        <f>IF(Tasks[[#This Row],[Task Name]]="","",IF(Tasks[[#This Row],[_IsSummary]],SUM(INDEX(Tasks[_LeafTotalWork],Tasks[[#This Row],[_Row]]+1):INDEX(Tasks[_LeafTotalWork],Tasks[[#This Row],[_Row]]+Tasks[[#This Row],[_Descendants]])),Tasks[[#This Row],[_LeafTotalWork]]))</f>
        <v/>
      </c>
      <c r="BF42" s="23" t="n"/>
      <c r="BG4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f>""</f>
        <v/>
      </c>
      <c r="BI42" s="85" t="n"/>
      <c r="BJ42" s="22" t="n"/>
      <c r="BK42" s="21">
        <f>IF(OR(Tasks[[#This Row],[Task Name]]="",Tasks[[#This Row],[Baseline Duration]]=""),"",Tasks[[#This Row],[_SpanDays]]-N(Tasks[[#This Row],[Baseline Duration]]))</f>
        <v/>
      </c>
      <c r="BL42" s="84">
        <f>IF(OR(Tasks[[#This Row],[Task Name]]="",Tasks[[#This Row],[Baseline Work]]=""),"",Tasks[[#This Row],[Work]]-N(Tasks[[#This Row],[Baseline Work]]))</f>
        <v/>
      </c>
      <c r="BM42" s="61">
        <f>IF(Tasks[[#This Row],[Task Name]]="","",IF(OR(TakeBaseline="Yes",N(Tasks[[#This Row],[Baseline Start]])=0),Tasks[[#This Row],[Start]],Tasks[[#This Row],[Baseline Start]]))</f>
        <v/>
      </c>
      <c r="BN42" s="61">
        <f>IF(Tasks[[#This Row],[Task Name]]="","",IF(OR(TakeBaseline="Yes",N(Tasks[[#This Row],[Baseline Finish]])=0),Tasks[[#This Row],[Finish]],Tasks[[#This Row],[Baseline Finish]]))</f>
        <v/>
      </c>
      <c r="BO42" s="21">
        <f>IF(Tasks[[#This Row],[Task Name]]="","",IF(OR(TakeBaseline="Yes",N(Tasks[[#This Row],[Baseline Duration]])=0),Tasks[[#This Row],[_SpanDays]],Tasks[[#This Row],[Baseline Duration]]))</f>
        <v/>
      </c>
      <c r="BP42" s="84">
        <f>IF(Tasks[[#This Row],[Task Name]]="","",IF(OR(TakeBaseline="Yes",N(Tasks[[#This Row],[Baseline Work]])=0),Tasks[[#This Row],[Work]],Tasks[[#This Row],[Baseline Work]]))</f>
        <v/>
      </c>
      <c r="BQ42" s="7" t="n"/>
      <c r="BR42" s="7" t="n"/>
      <c r="BS42" s="22" t="n"/>
      <c r="BT42" s="86" t="n"/>
      <c r="BU42" s="23" t="n"/>
      <c r="BV42" s="23" t="n"/>
      <c r="BW42" s="23" t="n"/>
      <c r="BX42" s="87">
        <f>IF(AND(Tasks[[#This Row],[_IsLeaf]]=1,ISNUMBER(Tasks[[#This Row],[Optimistic]]),ISNUMBER(Tasks[[#This Row],[Pessimistic]])),ROUND((Tasks[[#This Row],[Optimistic]]+4*N(Tasks[[#This Row],[_Days]])+Tasks[[#This Row],[Pessimistic]])/6,1),"")</f>
        <v/>
      </c>
      <c r="BY42" s="85" t="n"/>
      <c r="BZ42" s="85" t="n"/>
      <c r="CA42" s="22" t="n"/>
      <c r="CB42" s="42">
        <f>IF(Tasks[[#This Row],[Task Name]]="","",MAX(1,N(Tasks[[#This Row],[Level]])))</f>
        <v/>
      </c>
      <c r="CC42" s="42">
        <f>ROW()-ROW(Tasks[[#Headers],[ID]])</f>
        <v/>
      </c>
      <c r="CD42" s="42">
        <f>IF(OR(Tasks[[#This Row],[Task Name]]="",Tasks[[#This Row],[_Level]]&lt;=1),0,IFERROR(LOOKUP(2,1/(Tasks[[#Headers],[_Level]]:Tasks[[#This Row],[_Level]]=Tasks[[#This Row],[_Level]]-1),ROW(Tasks[[#Headers],[_Level]]:Tasks[[#This Row],[_Level]])),0))</f>
        <v/>
      </c>
      <c r="CE42" s="42">
        <f>IFERROR(N(INDEX(Tasks[_Level],Tasks[[#This Row],[_Row]]+1)),0)</f>
        <v/>
      </c>
      <c r="CF42" s="42">
        <f>AND(Tasks[[#This Row],[Task Name]]&lt;&gt;"",Tasks[[#This Row],[_NextLevel]]&gt;Tasks[[#This Row],[_Level]])</f>
        <v/>
      </c>
      <c r="CG42" s="42">
        <f>IF(Tasks[[#This Row],[_IsSummary]],COUNTIF(Tasks[WBS],Tasks[[#This Row],[WBS]]&amp;".*"),0)</f>
        <v/>
      </c>
      <c r="CH42" s="42">
        <f>IF(AND(Tasks[[#This Row],[Task Name]]&lt;&gt;"",NOT(Tasks[[#This Row],[_IsSummary]])),1,0)</f>
        <v/>
      </c>
      <c r="CI42" s="42">
        <f>IF(N(Tasks[[#This Row],[_Pred1UID]])=0,0,IFERROR(MATCH(Tasks[[#This Row],[_Pred1UID]],Tasks[UID],0),-1))</f>
        <v/>
      </c>
      <c r="CJ42" s="42">
        <f>IF(N(Tasks[[#This Row],[_Pred2UID]])=0,0,IFERROR(MATCH(Tasks[[#This Row],[_Pred2UID]],Tasks[UID],0),-1))</f>
        <v/>
      </c>
      <c r="CK42" s="42">
        <f>IF(N(Tasks[[#This Row],[_Pred3UID]])=0,0,IFERROR(MATCH(Tasks[[#This Row],[_Pred3UID]],Tasks[UID],0),-1))</f>
        <v/>
      </c>
      <c r="CL42" s="42">
        <f>IF(N(Tasks[[#This Row],[_Pred4UID]])=0,0,IFERROR(MATCH(Tasks[[#This Row],[_Pred4UID]],Tasks[UID],0),-1))</f>
        <v/>
      </c>
      <c r="CM4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2" s="88">
        <f>IF(N(Tasks[[#This Row],[Constraint Date]])=0,0,IF(AND(OR(Tasks[[#This Row],[_ConstraintCode]]=3,Tasks[[#This Row],[_ConstraintCode]]=6,Tasks[[#This Row],[_ConstraintCode]]=7),N(Tasks[[#This Row],[_Days]])&gt;1),WORKDAY.INTL(N(Tasks[[#This Row],[Constraint Date]]),-(N(Tasks[[#This Row],[_Days]])-1),WorkWeek,Holidays),N(Tasks[[#This Row],[Constraint Date]])))</f>
        <v/>
      </c>
      <c r="CO42" s="88">
        <f>IF(OR(Tasks[[#This Row],[_ConstraintCode]]=2,Tasks[[#This Row],[_ConstraintCode]]=3,Tasks[[#This Row],[_ConstraintCode]]=4,Tasks[[#This Row],[_ConstraintCode]]=6),Tasks[[#This Row],[_ConstraintStart]],0)</f>
        <v/>
      </c>
      <c r="CP42" s="88">
        <f>IF(OR(Tasks[[#This Row],[_ConstraintCode]]=2,Tasks[[#This Row],[_ConstraintCode]]=3,Tasks[[#This Row],[_ConstraintCode]]=5,Tasks[[#This Row],[_ConstraintCode]]=7),Tasks[[#This Row],[_ConstraintStart]],2958465)</f>
        <v/>
      </c>
      <c r="CQ4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2" s="88">
        <f>IF(NOT(Tasks[[#This Row],[_IsLeaf]]=1),"",IF(N(Tasks[[#This Row],[_Days]])&lt;=0,Tasks[[#This Row],[_LeafCalcStart]],WORKDAY.INTL(Tasks[[#This Row],[_LeafCalcStart]],Tasks[[#This Row],[_Days]]-1,WorkWeek,Holidays)))</f>
        <v/>
      </c>
      <c r="CS4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2" s="42">
        <f>IF(Tasks[[#This Row],[_Predecessors]]="","",TRIM(MID(SUBSTITUTE(SUBSTITUTE(SUBSTITUTE(UPPER(Tasks[[#This Row],[_Predecessors]]),";",",")," ",""),",",REPT(" ",99)),1,99)))</f>
        <v/>
      </c>
      <c r="CV42" s="42">
        <f>IF(Tasks[[#This Row],[_Pred1Text]]="","",IFERROR(VALUE(LEFT(Tasks[[#This Row],[_Pred1Text]],MIN(FIND("F",Tasks[[#This Row],[_Pred1Text]]&amp;"F"),FIND("S",Tasks[[#This Row],[_Pred1Text]]&amp;"S"),FIND("+",Tasks[[#This Row],[_Pred1Text]]&amp;"+"),FIND("-",Tasks[[#This Row],[_Pred1Text]]&amp;"-"))-1)),""))</f>
        <v/>
      </c>
      <c r="CW4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2" s="42">
        <f>IF(Tasks[[#This Row],[_Pred1Text]]="","",TRIM(MID(SUBSTITUTE(SUBSTITUTE(SUBSTITUTE(UPPER(Tasks[[#This Row],[_Predecessors]]),";",",")," ",""),",",REPT(" ",99)),100,99)))</f>
        <v/>
      </c>
      <c r="CZ42" s="42">
        <f>IF(Tasks[[#This Row],[_Pred2Text]]="","",IFERROR(VALUE(LEFT(Tasks[[#This Row],[_Pred2Text]],MIN(FIND("F",Tasks[[#This Row],[_Pred2Text]]&amp;"F"),FIND("S",Tasks[[#This Row],[_Pred2Text]]&amp;"S"),FIND("+",Tasks[[#This Row],[_Pred2Text]]&amp;"+"),FIND("-",Tasks[[#This Row],[_Pred2Text]]&amp;"-"))-1)),""))</f>
        <v/>
      </c>
      <c r="DA4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2" s="42">
        <f>IF(Tasks[[#This Row],[_Pred2Text]]="","",TRIM(MID(SUBSTITUTE(SUBSTITUTE(SUBSTITUTE(UPPER(Tasks[[#This Row],[_Predecessors]]),";",",")," ",""),",",REPT(" ",99)),199,99)))</f>
        <v/>
      </c>
      <c r="DD42" s="42">
        <f>IF(Tasks[[#This Row],[_Pred3Text]]="","",IFERROR(VALUE(LEFT(Tasks[[#This Row],[_Pred3Text]],MIN(FIND("F",Tasks[[#This Row],[_Pred3Text]]&amp;"F"),FIND("S",Tasks[[#This Row],[_Pred3Text]]&amp;"S"),FIND("+",Tasks[[#This Row],[_Pred3Text]]&amp;"+"),FIND("-",Tasks[[#This Row],[_Pred3Text]]&amp;"-"))-1)),""))</f>
        <v/>
      </c>
      <c r="DE4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2" s="42">
        <f>IF(Tasks[[#This Row],[_Pred3Text]]="","",TRIM(MID(SUBSTITUTE(SUBSTITUTE(SUBSTITUTE(UPPER(Tasks[[#This Row],[_Predecessors]]),";",",")," ",""),",",REPT(" ",99)),298,99)))</f>
        <v/>
      </c>
      <c r="DH42" s="42">
        <f>IF(Tasks[[#This Row],[_Pred4Text]]="","",IFERROR(VALUE(LEFT(Tasks[[#This Row],[_Pred4Text]],MIN(FIND("F",Tasks[[#This Row],[_Pred4Text]]&amp;"F"),FIND("S",Tasks[[#This Row],[_Pred4Text]]&amp;"S"),FIND("+",Tasks[[#This Row],[_Pred4Text]]&amp;"+"),FIND("-",Tasks[[#This Row],[_Pred4Text]]&amp;"-"))-1)),""))</f>
        <v/>
      </c>
      <c r="DI4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2" s="42">
        <f>IF(OR(Tasks[[#This Row],[Task Name]]="",Tasks[[#This Row],[_Resources]]=""),"",TRIM(MID(SUBSTITUTE(Tasks[[#This Row],[_Resources]],",",REPT(" ",99)),1,99)))</f>
        <v/>
      </c>
      <c r="DL42" s="42">
        <f>IF(Tasks[[#This Row],[_Res1Text]]="","",TRIM(MID(SUBSTITUTE(Tasks[[#This Row],[_Resources]],",",REPT(" ",99)),100,99)))</f>
        <v/>
      </c>
      <c r="DM42" s="42">
        <f>IF(Tasks[[#This Row],[_Res2Text]]="","",TRIM(MID(SUBSTITUTE(Tasks[[#This Row],[_Resources]],",",REPT(" ",99)),199,99)))</f>
        <v/>
      </c>
      <c r="DN42" s="42">
        <f>IF(Tasks[[#This Row],[_Res3Text]]="","",TRIM(MID(SUBSTITUTE(Tasks[[#This Row],[_Resources]],",",REPT(" ",99)),298,99)))</f>
        <v/>
      </c>
      <c r="DO42" s="42">
        <f>IF(Tasks[[#This Row],[_Res1Text]]="",0,IFERROR(MATCH(TRIM(LEFT(Tasks[[#This Row],[_Res1Text]],FIND("[",Tasks[[#This Row],[_Res1Text]]&amp;"[")-1)),res_Name,0),IFERROR(MATCH(TRIM(LEFT(Tasks[[#This Row],[_Res1Text]],FIND("[",Tasks[[#This Row],[_Res1Text]]&amp;"[")-1)),res_Initials,0),0)))</f>
        <v/>
      </c>
      <c r="DP42" s="42">
        <f>IF(Tasks[[#This Row],[_Res2Text]]="",0,IFERROR(MATCH(TRIM(LEFT(Tasks[[#This Row],[_Res2Text]],FIND("[",Tasks[[#This Row],[_Res2Text]]&amp;"[")-1)),res_Name,0),IFERROR(MATCH(TRIM(LEFT(Tasks[[#This Row],[_Res2Text]],FIND("[",Tasks[[#This Row],[_Res2Text]]&amp;"[")-1)),res_Initials,0),0)))</f>
        <v/>
      </c>
      <c r="DQ42" s="42">
        <f>IF(Tasks[[#This Row],[_Res3Text]]="",0,IFERROR(MATCH(TRIM(LEFT(Tasks[[#This Row],[_Res3Text]],FIND("[",Tasks[[#This Row],[_Res3Text]]&amp;"[")-1)),res_Name,0),IFERROR(MATCH(TRIM(LEFT(Tasks[[#This Row],[_Res3Text]],FIND("[",Tasks[[#This Row],[_Res3Text]]&amp;"[")-1)),res_Initials,0),0)))</f>
        <v/>
      </c>
      <c r="DR42" s="42">
        <f>IF(Tasks[[#This Row],[_Res4Text]]="",0,IFERROR(MATCH(TRIM(LEFT(Tasks[[#This Row],[_Res4Text]],FIND("[",Tasks[[#This Row],[_Res4Text]]&amp;"[")-1)),res_Name,0),IFERROR(MATCH(TRIM(LEFT(Tasks[[#This Row],[_Res4Text]],FIND("[",Tasks[[#This Row],[_Res4Text]]&amp;"[")-1)),res_Initials,0),0)))</f>
        <v/>
      </c>
      <c r="DS42" s="42">
        <f>IF(Tasks[[#This Row],[_Res1Text]]="","",IF(Tasks[[#This Row],[_Res1Row]]&gt;0,INDEX(res_Name,Tasks[[#This Row],[_Res1Row]]),TRIM(LEFT(Tasks[[#This Row],[_Res1Text]],FIND("[",Tasks[[#This Row],[_Res1Text]]&amp;"[")-1))))</f>
        <v/>
      </c>
      <c r="DT4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2" s="42">
        <f>IF(NOT(Tasks[[#This Row],[_IsLeaf]]=1),0,(Tasks[[#This Row],[_Resource1]]&lt;&gt;"")+(Tasks[[#This Row],[_Res2]]&lt;&gt;"")+(Tasks[[#This Row],[_Res3]]&lt;&gt;"")+(Tasks[[#This Row],[_Res4]]&lt;&gt;""))</f>
        <v/>
      </c>
      <c r="DV42" s="42">
        <f>IF(Tasks[[#This Row],[_Res2Text]]="","",IF(Tasks[[#This Row],[_Res2Row]]&gt;0,INDEX(res_Name,Tasks[[#This Row],[_Res2Row]]),TRIM(LEFT(Tasks[[#This Row],[_Res2Text]],FIND("[",Tasks[[#This Row],[_Res2Text]]&amp;"[")-1))))</f>
        <v/>
      </c>
      <c r="DW4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2" s="42">
        <f>IF(OR(NOT(Tasks[[#This Row],[_IsLeaf]]=1),Tasks[[#This Row],[_Res2Row]]=0),0,N(Tasks[[#This Row],[_Days]])*HoursPerDay*IF(Tasks[[#This Row],[_Res2Units]]="",DefaultUnits,Tasks[[#This Row],[_Res2Units]]))</f>
        <v/>
      </c>
      <c r="DY42" s="42">
        <f>IF(AND(AND(Tasks[[#This Row],[_IsLeaf]]=1,Tasks[[#This Row],[_LeafTotalWork]]&gt;0),Tasks[[#This Row],[_Res2Work]]&gt;0),Tasks[[#This Row],[_Res2Work]]/(Tasks[[#This Row],[_FinishWorkday]]-Tasks[[#This Row],[_StartWorkday]]+1),0)</f>
        <v/>
      </c>
      <c r="DZ42" s="42">
        <f>Tasks[[#This Row],[_Res2WorkPerWD]]*MAX(0,Tasks[[#This Row],[_StartWorkday]]-1)</f>
        <v/>
      </c>
      <c r="EA42" s="42">
        <f>Tasks[[#This Row],[_Res2Work]]*Tasks[[#This Row],[_LeafProgress]]</f>
        <v/>
      </c>
      <c r="EB42" s="42">
        <f>IF(Tasks[[#This Row],[_Res3Text]]="","",IF(Tasks[[#This Row],[_Res3Row]]&gt;0,INDEX(res_Name,Tasks[[#This Row],[_Res3Row]]),TRIM(LEFT(Tasks[[#This Row],[_Res3Text]],FIND("[",Tasks[[#This Row],[_Res3Text]]&amp;"[")-1))))</f>
        <v/>
      </c>
      <c r="EC4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2" s="42">
        <f>IF(OR(NOT(Tasks[[#This Row],[_IsLeaf]]=1),Tasks[[#This Row],[_Res3Row]]=0),0,N(Tasks[[#This Row],[_Days]])*HoursPerDay*IF(Tasks[[#This Row],[_Res3Units]]="",DefaultUnits,Tasks[[#This Row],[_Res3Units]]))</f>
        <v/>
      </c>
      <c r="EE42" s="42">
        <f>IF(AND(AND(Tasks[[#This Row],[_IsLeaf]]=1,Tasks[[#This Row],[_LeafTotalWork]]&gt;0),Tasks[[#This Row],[_Res3Work]]&gt;0),Tasks[[#This Row],[_Res3Work]]/(Tasks[[#This Row],[_FinishWorkday]]-Tasks[[#This Row],[_StartWorkday]]+1),0)</f>
        <v/>
      </c>
      <c r="EF42" s="42">
        <f>Tasks[[#This Row],[_Res3WorkPerWD]]*MAX(0,Tasks[[#This Row],[_StartWorkday]]-1)</f>
        <v/>
      </c>
      <c r="EG42" s="42">
        <f>Tasks[[#This Row],[_Res3Work]]*Tasks[[#This Row],[_LeafProgress]]</f>
        <v/>
      </c>
      <c r="EH42" s="42">
        <f>IF(Tasks[[#This Row],[_Res4Text]]="","",IF(Tasks[[#This Row],[_Res4Row]]&gt;0,INDEX(res_Name,Tasks[[#This Row],[_Res4Row]]),TRIM(LEFT(Tasks[[#This Row],[_Res4Text]],FIND("[",Tasks[[#This Row],[_Res4Text]]&amp;"[")-1))))</f>
        <v/>
      </c>
      <c r="EI4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2" s="42">
        <f>IF(OR(NOT(Tasks[[#This Row],[_IsLeaf]]=1),Tasks[[#This Row],[_Res4Row]]=0),0,N(Tasks[[#This Row],[_Days]])*HoursPerDay*IF(Tasks[[#This Row],[_Res4Units]]="",DefaultUnits,Tasks[[#This Row],[_Res4Units]]))</f>
        <v/>
      </c>
      <c r="EK42" s="42">
        <f>IF(AND(AND(Tasks[[#This Row],[_IsLeaf]]=1,Tasks[[#This Row],[_LeafTotalWork]]&gt;0),Tasks[[#This Row],[_Res4Work]]&gt;0),Tasks[[#This Row],[_Res4Work]]/(Tasks[[#This Row],[_FinishWorkday]]-Tasks[[#This Row],[_StartWorkday]]+1),0)</f>
        <v/>
      </c>
      <c r="EL42" s="42">
        <f>Tasks[[#This Row],[_Res4WorkPerWD]]*MAX(0,Tasks[[#This Row],[_StartWorkday]]-1)</f>
        <v/>
      </c>
      <c r="EM42" s="42">
        <f>Tasks[[#This Row],[_Res4Work]]*Tasks[[#This Row],[_LeafProgress]]</f>
        <v/>
      </c>
      <c r="EN42" s="42">
        <f>IF(ISNUMBER(Tasks[[#This Row],[% Complete]]),Tasks[[#This Row],[% Complete]],IF(Tasks[[#This Row],[Stage]]="",0,IFERROR(INDEX(stg_Pct,MATCH(Tasks[[#This Row],[Stage]],stg_Name,0)),0)))</f>
        <v/>
      </c>
      <c r="EO42" s="42">
        <f>IF(NOT(Tasks[[#This Row],[_IsLeaf]]=1),0,IF(N(Tasks[[#This Row],[Actual Finish]])&gt;0,1,MIN(1,Tasks[[#This Row],[_Pct]])))</f>
        <v/>
      </c>
      <c r="EP42" s="42">
        <f>IF(OR(NOT(Tasks[[#This Row],[_IsLeaf]]=1),Tasks[[#This Row],[_Res1Row]]=0),0,N(Tasks[[#This Row],[_Days]])*HoursPerDay*IF(Tasks[[#This Row],[_Units1]]="",DefaultUnits,Tasks[[#This Row],[_Units1]]))</f>
        <v/>
      </c>
      <c r="EQ42" s="42">
        <f>Tasks[[#This Row],[_LeafWork]]+Tasks[[#This Row],[_Res2Work]]+Tasks[[#This Row],[_Res3Work]]+Tasks[[#This Row],[_Res4Work]]</f>
        <v/>
      </c>
      <c r="ER4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2" s="42">
        <f>IF(NOT(Tasks[[#This Row],[_IsLeaf]]=1),0,MAX(_xlfn.MAXIFS(Tasks[_Row],Tasks[_Pred1UID],Tasks[[#This Row],[UID]]),_xlfn.MAXIFS(Tasks[_Row],Tasks[_Pred2UID],Tasks[[#This Row],[UID]]),_xlfn.MAXIFS(Tasks[_Row],Tasks[_Pred3UID],Tasks[[#This Row],[UID]]),_xlfn.MAXIFS(Tasks[_Row],Tasks[_Pred4UID],Tasks[[#This Row],[UID]])))</f>
        <v/>
      </c>
      <c r="FA4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2" s="88">
        <f>IF(NOT(Tasks[[#This Row],[_IsLeaf]]=1),"",IF(N(Tasks[[#This Row],[_Days]])&lt;=0,Tasks[[#This Row],[_LeafLateFinish]],WORKDAY.INTL(Tasks[[#This Row],[_LeafLateFinish]],-(Tasks[[#This Row],[_Days]]-1),WorkWeek,Holidays)))</f>
        <v/>
      </c>
      <c r="FD4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2" s="42">
        <f>AND(Tasks[[#This Row],[_IsLeaf]]=1,Tasks[[#This Row],[_LeafProgress]]&lt;1,N(Tasks[[#This Row],[_LeafTotalSlack]])&lt;=CriticalSlackDays)</f>
        <v/>
      </c>
      <c r="FF42" s="42">
        <f>IF(AND(Tasks[[#This Row],[_IsLeaf]]=1,Tasks[[#This Row],[_ConstraintCode]]=1,Tasks[[#This Row],[Mode]]&lt;&gt;"Manual",N(Tasks[[#This Row],[Actual Start]])=0),MAX(0,N(Tasks[[#This Row],[Free Slack]])),0)</f>
        <v/>
      </c>
      <c r="FG42" s="88">
        <f>IF(NOT(Tasks[[#This Row],[_IsLeaf]]=1),"",IF(Tasks[[#This Row],[_AlapShift]]=0,Tasks[[#This Row],[_LeafCalcStart]],WORKDAY.INTL(Tasks[[#This Row],[_LeafCalcStart]],Tasks[[#This Row],[_AlapShift]],WorkWeek,Holidays)))</f>
        <v/>
      </c>
      <c r="FH42" s="88">
        <f>IF(NOT(Tasks[[#This Row],[_IsLeaf]]=1),"",IF(Tasks[[#This Row],[_AlapShift]]=0,Tasks[[#This Row],[_LeafCalcFinish]],WORKDAY.INTL(Tasks[[#This Row],[_LeafCalcFinish]],Tasks[[#This Row],[_AlapShift]],WorkWeek,Holidays)))</f>
        <v/>
      </c>
      <c r="FI42" s="88">
        <f>IF(NOT(Tasks[[#This Row],[_IsLeaf]]=1),"",IF(Tasks[[#This Row],[_AlapShift]]=0,Tasks[[#This Row],[_LeafFcstStart]],WORKDAY.INTL(Tasks[[#This Row],[_LeafFcstStart]],Tasks[[#This Row],[_AlapShift]],WorkWeek,Holidays)))</f>
        <v/>
      </c>
      <c r="FJ42" s="88">
        <f>IF(NOT(Tasks[[#This Row],[_IsLeaf]]=1),"",IF(Tasks[[#This Row],[_AlapShift]]=0,Tasks[[#This Row],[_LeafFcstFinish]],WORKDAY.INTL(Tasks[[#This Row],[_LeafFcstFinish]],Tasks[[#This Row],[_AlapShift]],WorkWeek,Holidays)))</f>
        <v/>
      </c>
      <c r="FK42" s="88">
        <f>IF(Tasks[[#This Row],[Task Name]]="","",IF(Tasks[[#This Row],[_IsSummary]],MIN(INDEX(Tasks[_ShownCalcStart],Tasks[[#This Row],[_Row]]+1):INDEX(Tasks[_ShownCalcStart],Tasks[[#This Row],[_Row]]+Tasks[[#This Row],[_Descendants]])),Tasks[[#This Row],[_ShownCalcStart]]))</f>
        <v/>
      </c>
      <c r="FL42" s="88">
        <f>IF(Tasks[[#This Row],[Task Name]]="","",IF(Tasks[[#This Row],[_IsSummary]],MAX(INDEX(Tasks[_ShownCalcFinish],Tasks[[#This Row],[_Row]]+1):INDEX(Tasks[_ShownCalcFinish],Tasks[[#This Row],[_Row]]+Tasks[[#This Row],[_Descendants]])),Tasks[[#This Row],[_ShownCalcFinish]]))</f>
        <v/>
      </c>
      <c r="FM4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2" s="42">
        <f>IF(AND(Tasks[[#This Row],[_IsLeaf]]=1,Tasks[[#This Row],[_LeafTotalWork]]&gt;0),NETWORKDAYS.INTL(ProjectStart,Tasks[[#This Row],[_ShownFcstStart]],WorkWeek,Holidays),0)</f>
        <v/>
      </c>
      <c r="FZ42" s="42">
        <f>IF(AND(Tasks[[#This Row],[_IsLeaf]]=1,Tasks[[#This Row],[_LeafTotalWork]]&gt;0),MAX(Tasks[[#This Row],[_StartWorkday]],NETWORKDAYS.INTL(ProjectStart,Tasks[[#This Row],[_ShownFcstFinish]],WorkWeek,Holidays)),0)</f>
        <v/>
      </c>
      <c r="GA42" s="42">
        <f>IF(AND(Tasks[[#This Row],[_IsLeaf]]=1,Tasks[[#This Row],[_LeafTotalWork]]&gt;0),Tasks[[#This Row],[_LeafWork]]/(Tasks[[#This Row],[_FinishWorkday]]-Tasks[[#This Row],[_StartWorkday]]+1),0)</f>
        <v/>
      </c>
      <c r="GB42" s="42">
        <f>Tasks[[#This Row],[_WorkPerWorkday]]*(Tasks[[#This Row],[_StartWorkday]]-1)</f>
        <v/>
      </c>
      <c r="GC42" s="42">
        <f>IF(Tasks[[#This Row],[_IsLeaf]]=1,MAX(N(Tasks[[#This Row],[_Days]]),0.1),0)</f>
        <v/>
      </c>
      <c r="GD42" s="42">
        <f>Tasks[[#This Row],[_WeightDur]]*Tasks[[#This Row],[_LeafProgress]]</f>
        <v/>
      </c>
      <c r="GE42" s="42">
        <f>Tasks[[#This Row],[_WeightDur]]*Tasks[[#This Row],[_PlannedPct]]</f>
        <v/>
      </c>
      <c r="GF4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2" s="42">
        <f>IF(AND(Tasks[[#This Row],[_IsLeaf]]=1,N(Tasks[[#This Row],[_Days]])=0,Tasks[[#This Row],[_LeafProgress]]&lt;1),Tasks[[#This Row],[_ShownFcstFinish]]+Tasks[[#This Row],[_Row]]/100000,"")</f>
        <v/>
      </c>
      <c r="GH4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2" s="42">
        <f>IF(Tasks[[#This Row],[Task Name]]="","",LEFT(Tasks[[#This Row],[WBS]],FIND(".",Tasks[[#This Row],[WBS]]&amp;".")-1))</f>
        <v/>
      </c>
      <c r="GJ42" s="42">
        <f>IF(AND(Tasks[[#This Row],[Task Name]]&lt;&gt;"",Tasks[[#This Row],[_Level]]=1),Tasks[[#This Row],[_Row]],"")</f>
        <v/>
      </c>
      <c r="GK42" s="42">
        <f>IF(AND(Tasks[[#This Row],[_IsLeaf]]=1,N(Tasks[[#This Row],[_Days]])=0),Tasks[[#This Row],[Planned Finish]]+Tasks[[#This Row],[_Row]]/100000,"")</f>
        <v/>
      </c>
      <c r="GL42" s="42">
        <f>IF(AND(Tasks[[#This Row],[_IsLeaf]]=1,Tasks[[#This Row],[_LeafProgress]]&lt;1,OR(N(Tasks[[#This Row],[Finish Var]])&gt;0,Tasks[[#This Row],[Status]]="Late Start")),MAX(0,Tasks[[#This Row],[Finish Var]])+1-Tasks[[#This Row],[_Row]]/1000000,"")</f>
        <v/>
      </c>
      <c r="GM42" s="42">
        <f>IF(AND(Tasks[[#This Row],[_IsLeaf]]=1,N(Tasks[[#This Row],[Actual Start]])=0,Tasks[[#This Row],[_ShownFcstStart]]&gt;=StatusDate,Tasks[[#This Row],[_ShownFcstStart]]&lt;=LookaheadEnd),Tasks[[#This Row],[_ShownFcstStart]]+Tasks[[#This Row],[_Row]]/100000,"")</f>
        <v/>
      </c>
      <c r="GN42" s="42">
        <f>IF(AND(Tasks[[#This Row],[_IsLeaf]]=1,Tasks[[#This Row],[_LeafProgress]]&lt;1,Tasks[[#This Row],[_ShownFcstFinish]]&gt;=StatusDate,Tasks[[#This Row],[_ShownFcstFinish]]&lt;=LookaheadEnd),Tasks[[#This Row],[_ShownFcstFinish]]+Tasks[[#This Row],[_Row]]/100000,"")</f>
        <v/>
      </c>
      <c r="GO42" s="42">
        <f>IF(Tasks[[#This Row],[_LeafCritical]],Tasks[[#This Row],[_ShownFcstStart]]+Tasks[[#This Row],[_Row]]/100000,"")</f>
        <v/>
      </c>
      <c r="GP42" s="42">
        <f>Tasks[[#This Row],[_LeafWork]]*Tasks[[#This Row],[_LeafProgress]]</f>
        <v/>
      </c>
      <c r="GQ42" s="88">
        <f>IF(AND(Tasks[[#This Row],[_IsLeaf]]=1,Tasks[[#This Row],[_LeafProgress]]&gt;=1),IF(N(Tasks[[#This Row],[Actual Finish]])&gt;0,Tasks[[#This Row],[Actual Finish]],Tasks[[#This Row],[_ShownFcstFinish]]),"")</f>
        <v/>
      </c>
      <c r="GR42" s="42">
        <f>IF(Tasks[[#This Row],[_IsLeaf]]=1,N(Tasks[[#This Row],[Story Points]]),0)</f>
        <v/>
      </c>
      <c r="GS42" s="42">
        <f>""</f>
        <v/>
      </c>
      <c r="GT42" s="42">
        <f>IF(Tasks[[#This Row],[Task Name]]="",FALSE(),AND(Tasks[[#This Row],[_IsLeaf]]=1,N(Tasks[[#This Row],[_Days]])=0))</f>
        <v/>
      </c>
      <c r="GU42" s="88">
        <f>IF(Tasks[[#This Row],[Task Name]]="",0,IF(AND(Tasks[[#This Row],[_IsLeaf]]=1,NOT(Tasks[[#This Row],[_IsMilestone]]),N(Tasks[[#This Row],[Progress]])&gt;0),Tasks[[#This Row],[Start]],0))</f>
        <v/>
      </c>
      <c r="GV42" s="88">
        <f>IF(Tasks[[#This Row],[_DoneFrom]]=0,0,IF(Tasks[[#This Row],[Progress]]&gt;=1,Tasks[[#This Row],[Finish]],MAX(Tasks[[#This Row],[_DoneFrom]],Tasks[[#This Row],[Start]]+ROUND((Tasks[[#This Row],[Finish]]-Tasks[[#This Row],[Start]]+1)*Tasks[[#This Row],[Progress]],0)-1)))</f>
        <v/>
      </c>
      <c r="GW42" s="88">
        <f>IF(Tasks[[#This Row],[Task Name]]="",0,IF(OR(NOT(Tasks[[#This Row],[_IsLeaf]]=1),Tasks[[#This Row],[_IsMilestone]],N(Tasks[[#This Row],[Progress]])&gt;=1),0,IF(Tasks[[#This Row],[_DoneTo]]&gt;0,Tasks[[#This Row],[_DoneTo]]+1,Tasks[[#This Row],[Start]])))</f>
        <v/>
      </c>
      <c r="GX42" s="88">
        <f>IF(Tasks[[#This Row],[_RemFrom]]=0,0,Tasks[[#This Row],[Finish]])</f>
        <v/>
      </c>
      <c r="GY42" s="42">
        <f>IF(Tasks[[#This Row],[Task Name]]="",FALSE(),OR(NOT(BaselineSet),N(Tasks[[#This Row],[Baseline Start]])&gt;0))</f>
        <v/>
      </c>
      <c r="GZ42" s="42">
        <f>IF(AND(Sandbox="Yes",L_PARSE_DURATION(Tasks[[#This Row],[Sandbox Duration]])&lt;&gt;""),L_PARSE_DURATION(Tasks[[#This Row],[Sandbox Duration]]),L_PARSE_DURATION(Tasks[[#This Row],[Duration]]))</f>
        <v/>
      </c>
      <c r="HA4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2" s="42">
        <f>IF(Tasks[[#This Row],[_IsLeaf]]=1,Tasks[[#This Row],[_Row]],"")</f>
        <v/>
      </c>
      <c r="HD42" s="42">
        <f>IFERROR(INDEX(Tasks[UID],SMALL(Tasks[_PickKey],Tasks[[#This Row],[_Row]]))&amp;" "&amp;INDEX(Tasks[Task Name],SMALL(Tasks[_PickKey],Tasks[[#This Row],[_Row]])),"")</f>
        <v/>
      </c>
      <c r="HE42" s="42">
        <f>IF(Tasks[[#This Row],[Task Name]]="","",IF(Tasks[[#This Row],[_IsSummary]],NETWORKDAYS.INTL(Tasks[[#This Row],[Start]],Tasks[[#This Row],[Finish]],WorkWeek,Holidays),N(Tasks[[#This Row],[_Days]])))</f>
        <v/>
      </c>
      <c r="HF42" s="42">
        <f>IF(Tasks[[#This Row],[Expected]]="",0,((Tasks[[#This Row],[Pessimistic]]-Tasks[[#This Row],[Optimistic]])/6)^2)</f>
        <v/>
      </c>
      <c r="HG42" s="42">
        <f>IF(Tasks[[#This Row],[Expected]]="",0,Tasks[[#This Row],[Expected]]-N(Tasks[[#This Row],[_Days]]))</f>
        <v/>
      </c>
    </row>
    <row r="43">
      <c r="A43" s="21">
        <f>IF(Tasks[[#This Row],[Task Name]]="","",COUNTA(Tasks[[#Headers],[Task Name]]:Tasks[[#This Row],[Task Name]])-1)</f>
        <v/>
      </c>
      <c r="B43" s="22" t="n">
        <v>51</v>
      </c>
      <c r="C43" s="22" t="n"/>
      <c r="D43" s="23" t="n"/>
      <c r="E43" s="22" t="n"/>
      <c r="F43" s="23" t="n"/>
      <c r="G43" s="22" t="n"/>
      <c r="H43" s="22" t="n"/>
      <c r="I43" s="23" t="n"/>
      <c r="J43" s="22" t="n"/>
      <c r="K43" s="22" t="n"/>
      <c r="L43" s="23" t="n"/>
      <c r="M43" s="22" t="n"/>
      <c r="N43" s="22" t="n"/>
      <c r="O43" s="23" t="n"/>
      <c r="P43" s="22" t="n"/>
      <c r="Q43" s="22" t="n"/>
      <c r="R43" s="23" t="n"/>
      <c r="S43" s="23" t="n"/>
      <c r="T43" s="82" t="n"/>
      <c r="U43" s="23" t="n"/>
      <c r="V43" s="82" t="n"/>
      <c r="W43" s="23" t="n"/>
      <c r="X43" s="82" t="n"/>
      <c r="Y43" s="23" t="n"/>
      <c r="Z43" s="82" t="n"/>
      <c r="AA43" s="23" t="n"/>
      <c r="AB43" s="23" t="n"/>
      <c r="AC43" s="7" t="n"/>
      <c r="AD43" s="7" t="n"/>
      <c r="AE43" s="61">
        <f>IF(Tasks[[#This Row],[Task Name]]="","",IF(Tasks[[#This Row],[_IsSummary]],MIN(INDEX(Tasks[_ShownFcstStart],Tasks[[#This Row],[_Row]]+1):INDEX(Tasks[_ShownFcstStart],Tasks[[#This Row],[_Row]]+Tasks[[#This Row],[_Descendants]])),Tasks[[#This Row],[_ShownFcstStart]]))</f>
        <v/>
      </c>
      <c r="AF43" s="61">
        <f>IF(Tasks[[#This Row],[Task Name]]="","",IF(Tasks[[#This Row],[_IsSummary]],MAX(INDEX(Tasks[_ShownFcstFinish],Tasks[[#This Row],[_Row]]+1):INDEX(Tasks[_ShownFcstFinish],Tasks[[#This Row],[_Row]]+Tasks[[#This Row],[_Descendants]])),Tasks[[#This Row],[_ShownFcstFinish]]))</f>
        <v/>
      </c>
      <c r="AG43" s="21">
        <f>""</f>
        <v/>
      </c>
      <c r="AH43" s="23" t="n"/>
      <c r="AI4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3" s="7" t="n"/>
      <c r="AK43" s="22" t="n"/>
      <c r="AL43" s="23" t="n"/>
      <c r="AM43" s="7" t="n"/>
      <c r="AN43" s="21">
        <f>IF(Tasks[[#This Row],[Task Name]]="","",IF(Tasks[[#This Row],[Finish]]&gt;=Tasks[[#This Row],[Planned Finish]],NETWORKDAYS.INTL(Tasks[[#This Row],[Planned Finish]],Tasks[[#This Row],[Finish]],WorkWeek,Holidays)-1,1-NETWORKDAYS.INTL(Tasks[[#This Row],[Finish]],Tasks[[#This Row],[Planned Finish]],WorkWeek,Holidays)))</f>
        <v/>
      </c>
      <c r="AO43" s="21">
        <f>IF(Tasks[[#This Row],[Task Name]]="","",IF(Tasks[[#This Row],[Progress]]&gt;=1,"Complete",IF(OR(N(Tasks[[#This Row],[Actual Start]])&gt;0,Tasks[[#This Row],[Progress]]&gt;0),IF(Tasks[[#This Row],[Finish Var]]&gt;0,"Behind","In Progress"),IF(Tasks[[#This Row],[Planned Start]]&lt;StatusDate,"Late Start","Not Started"))))</f>
        <v/>
      </c>
      <c r="AP43" s="21">
        <f>IF(Tasks[[#This Row],[Task Name]]="","",IF(IF(Tasks[[#This Row],[_IsSummary]],COUNTIF(INDEX(Tasks[_LeafCritical],Tasks[[#This Row],[_Row]]+1):INDEX(Tasks[_LeafCritical],Tasks[[#This Row],[_Row]]+Tasks[[#This Row],[_Descendants]]),TRUE())&gt;0,Tasks[[#This Row],[_LeafCritical]]),"Yes",""))</f>
        <v/>
      </c>
      <c r="AQ43" s="61">
        <f>IF(Tasks[[#This Row],[Task Name]]="","",IF(N(Tasks[[#This Row],[Baseline Start]])&gt;0,Tasks[[#This Row],[Baseline Start]],Tasks[[#This Row],[_CalcStart]]))</f>
        <v/>
      </c>
      <c r="AR43" s="61">
        <f>IF(Tasks[[#This Row],[Task Name]]="","",IF(N(Tasks[[#This Row],[Baseline Finish]])&gt;0,Tasks[[#This Row],[Baseline Finish]],Tasks[[#This Row],[_CalcFinish]]))</f>
        <v/>
      </c>
      <c r="AS43" s="21">
        <f>IF(Tasks[[#This Row],[Task Name]]="","",IF(Tasks[[#This Row],[Start]]&gt;=Tasks[[#This Row],[Planned Start]],NETWORKDAYS.INTL(Tasks[[#This Row],[Planned Start]],Tasks[[#This Row],[Start]],WorkWeek,Holidays)-1,1-NETWORKDAYS.INTL(Tasks[[#This Row],[Start]],Tasks[[#This Row],[Planned Start]],WorkWeek,Holidays)))</f>
        <v/>
      </c>
      <c r="AT43" s="61">
        <f>IF(Tasks[[#This Row],[Task Name]]="","",IF(Tasks[[#This Row],[_IsSummary]],MIN(INDEX(Tasks[_LeafLateStart],Tasks[[#This Row],[_Row]]+1):INDEX(Tasks[_LeafLateStart],Tasks[[#This Row],[_Row]]+Tasks[[#This Row],[_Descendants]])),Tasks[[#This Row],[_LeafLateStart]]))</f>
        <v/>
      </c>
      <c r="AU43" s="61">
        <f>IF(Tasks[[#This Row],[Task Name]]="","",IF(Tasks[[#This Row],[_IsSummary]],MAX(INDEX(Tasks[_LeafLateFinish],Tasks[[#This Row],[_Row]]+1):INDEX(Tasks[_LeafLateFinish],Tasks[[#This Row],[_Row]]+Tasks[[#This Row],[_Descendants]])),Tasks[[#This Row],[_LeafLateFinish]]))</f>
        <v/>
      </c>
      <c r="AV43" s="21">
        <f>IF(Tasks[[#This Row],[Task Name]]="","",IF(Tasks[[#This Row],[_IsSummary]],MIN(INDEX(Tasks[_LeafTotalSlack],Tasks[[#This Row],[_Row]]+1):INDEX(Tasks[_LeafTotalSlack],Tasks[[#This Row],[_Row]]+Tasks[[#This Row],[_Descendants]])),Tasks[[#This Row],[_LeafTotalSlack]]))</f>
        <v/>
      </c>
      <c r="AW4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3" t="n"/>
      <c r="BA4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f>IF(Tasks[[#This Row],[Task Name]]="","",IF(Tasks[[#This Row],[_Level]]&lt;=OutlineShowLevel,"Yes","No"))</f>
        <v/>
      </c>
      <c r="BE43" s="84">
        <f>IF(Tasks[[#This Row],[Task Name]]="","",IF(Tasks[[#This Row],[_IsSummary]],SUM(INDEX(Tasks[_LeafTotalWork],Tasks[[#This Row],[_Row]]+1):INDEX(Tasks[_LeafTotalWork],Tasks[[#This Row],[_Row]]+Tasks[[#This Row],[_Descendants]])),Tasks[[#This Row],[_LeafTotalWork]]))</f>
        <v/>
      </c>
      <c r="BF43" s="23" t="n"/>
      <c r="BG4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f>""</f>
        <v/>
      </c>
      <c r="BI43" s="85" t="n"/>
      <c r="BJ43" s="22" t="n"/>
      <c r="BK43" s="21">
        <f>IF(OR(Tasks[[#This Row],[Task Name]]="",Tasks[[#This Row],[Baseline Duration]]=""),"",Tasks[[#This Row],[_SpanDays]]-N(Tasks[[#This Row],[Baseline Duration]]))</f>
        <v/>
      </c>
      <c r="BL43" s="84">
        <f>IF(OR(Tasks[[#This Row],[Task Name]]="",Tasks[[#This Row],[Baseline Work]]=""),"",Tasks[[#This Row],[Work]]-N(Tasks[[#This Row],[Baseline Work]]))</f>
        <v/>
      </c>
      <c r="BM43" s="61">
        <f>IF(Tasks[[#This Row],[Task Name]]="","",IF(OR(TakeBaseline="Yes",N(Tasks[[#This Row],[Baseline Start]])=0),Tasks[[#This Row],[Start]],Tasks[[#This Row],[Baseline Start]]))</f>
        <v/>
      </c>
      <c r="BN43" s="61">
        <f>IF(Tasks[[#This Row],[Task Name]]="","",IF(OR(TakeBaseline="Yes",N(Tasks[[#This Row],[Baseline Finish]])=0),Tasks[[#This Row],[Finish]],Tasks[[#This Row],[Baseline Finish]]))</f>
        <v/>
      </c>
      <c r="BO43" s="21">
        <f>IF(Tasks[[#This Row],[Task Name]]="","",IF(OR(TakeBaseline="Yes",N(Tasks[[#This Row],[Baseline Duration]])=0),Tasks[[#This Row],[_SpanDays]],Tasks[[#This Row],[Baseline Duration]]))</f>
        <v/>
      </c>
      <c r="BP43" s="84">
        <f>IF(Tasks[[#This Row],[Task Name]]="","",IF(OR(TakeBaseline="Yes",N(Tasks[[#This Row],[Baseline Work]])=0),Tasks[[#This Row],[Work]],Tasks[[#This Row],[Baseline Work]]))</f>
        <v/>
      </c>
      <c r="BQ43" s="7" t="n"/>
      <c r="BR43" s="7" t="n"/>
      <c r="BS43" s="22" t="n"/>
      <c r="BT43" s="86" t="n"/>
      <c r="BU43" s="23" t="n"/>
      <c r="BV43" s="23" t="n"/>
      <c r="BW43" s="23" t="n"/>
      <c r="BX43" s="87">
        <f>IF(AND(Tasks[[#This Row],[_IsLeaf]]=1,ISNUMBER(Tasks[[#This Row],[Optimistic]]),ISNUMBER(Tasks[[#This Row],[Pessimistic]])),ROUND((Tasks[[#This Row],[Optimistic]]+4*N(Tasks[[#This Row],[_Days]])+Tasks[[#This Row],[Pessimistic]])/6,1),"")</f>
        <v/>
      </c>
      <c r="BY43" s="85" t="n"/>
      <c r="BZ43" s="85" t="n"/>
      <c r="CA43" s="22" t="n"/>
      <c r="CB43" s="42">
        <f>IF(Tasks[[#This Row],[Task Name]]="","",MAX(1,N(Tasks[[#This Row],[Level]])))</f>
        <v/>
      </c>
      <c r="CC43" s="42">
        <f>ROW()-ROW(Tasks[[#Headers],[ID]])</f>
        <v/>
      </c>
      <c r="CD43" s="42">
        <f>IF(OR(Tasks[[#This Row],[Task Name]]="",Tasks[[#This Row],[_Level]]&lt;=1),0,IFERROR(LOOKUP(2,1/(Tasks[[#Headers],[_Level]]:Tasks[[#This Row],[_Level]]=Tasks[[#This Row],[_Level]]-1),ROW(Tasks[[#Headers],[_Level]]:Tasks[[#This Row],[_Level]])),0))</f>
        <v/>
      </c>
      <c r="CE43" s="42">
        <f>IFERROR(N(INDEX(Tasks[_Level],Tasks[[#This Row],[_Row]]+1)),0)</f>
        <v/>
      </c>
      <c r="CF43" s="42">
        <f>AND(Tasks[[#This Row],[Task Name]]&lt;&gt;"",Tasks[[#This Row],[_NextLevel]]&gt;Tasks[[#This Row],[_Level]])</f>
        <v/>
      </c>
      <c r="CG43" s="42">
        <f>IF(Tasks[[#This Row],[_IsSummary]],COUNTIF(Tasks[WBS],Tasks[[#This Row],[WBS]]&amp;".*"),0)</f>
        <v/>
      </c>
      <c r="CH43" s="42">
        <f>IF(AND(Tasks[[#This Row],[Task Name]]&lt;&gt;"",NOT(Tasks[[#This Row],[_IsSummary]])),1,0)</f>
        <v/>
      </c>
      <c r="CI43" s="42">
        <f>IF(N(Tasks[[#This Row],[_Pred1UID]])=0,0,IFERROR(MATCH(Tasks[[#This Row],[_Pred1UID]],Tasks[UID],0),-1))</f>
        <v/>
      </c>
      <c r="CJ43" s="42">
        <f>IF(N(Tasks[[#This Row],[_Pred2UID]])=0,0,IFERROR(MATCH(Tasks[[#This Row],[_Pred2UID]],Tasks[UID],0),-1))</f>
        <v/>
      </c>
      <c r="CK43" s="42">
        <f>IF(N(Tasks[[#This Row],[_Pred3UID]])=0,0,IFERROR(MATCH(Tasks[[#This Row],[_Pred3UID]],Tasks[UID],0),-1))</f>
        <v/>
      </c>
      <c r="CL43" s="42">
        <f>IF(N(Tasks[[#This Row],[_Pred4UID]])=0,0,IFERROR(MATCH(Tasks[[#This Row],[_Pred4UID]],Tasks[UID],0),-1))</f>
        <v/>
      </c>
      <c r="CM4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3" s="88">
        <f>IF(N(Tasks[[#This Row],[Constraint Date]])=0,0,IF(AND(OR(Tasks[[#This Row],[_ConstraintCode]]=3,Tasks[[#This Row],[_ConstraintCode]]=6,Tasks[[#This Row],[_ConstraintCode]]=7),N(Tasks[[#This Row],[_Days]])&gt;1),WORKDAY.INTL(N(Tasks[[#This Row],[Constraint Date]]),-(N(Tasks[[#This Row],[_Days]])-1),WorkWeek,Holidays),N(Tasks[[#This Row],[Constraint Date]])))</f>
        <v/>
      </c>
      <c r="CO43" s="88">
        <f>IF(OR(Tasks[[#This Row],[_ConstraintCode]]=2,Tasks[[#This Row],[_ConstraintCode]]=3,Tasks[[#This Row],[_ConstraintCode]]=4,Tasks[[#This Row],[_ConstraintCode]]=6),Tasks[[#This Row],[_ConstraintStart]],0)</f>
        <v/>
      </c>
      <c r="CP43" s="88">
        <f>IF(OR(Tasks[[#This Row],[_ConstraintCode]]=2,Tasks[[#This Row],[_ConstraintCode]]=3,Tasks[[#This Row],[_ConstraintCode]]=5,Tasks[[#This Row],[_ConstraintCode]]=7),Tasks[[#This Row],[_ConstraintStart]],2958465)</f>
        <v/>
      </c>
      <c r="CQ4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3" s="88">
        <f>IF(NOT(Tasks[[#This Row],[_IsLeaf]]=1),"",IF(N(Tasks[[#This Row],[_Days]])&lt;=0,Tasks[[#This Row],[_LeafCalcStart]],WORKDAY.INTL(Tasks[[#This Row],[_LeafCalcStart]],Tasks[[#This Row],[_Days]]-1,WorkWeek,Holidays)))</f>
        <v/>
      </c>
      <c r="CS4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3" s="42">
        <f>IF(Tasks[[#This Row],[_Predecessors]]="","",TRIM(MID(SUBSTITUTE(SUBSTITUTE(SUBSTITUTE(UPPER(Tasks[[#This Row],[_Predecessors]]),";",",")," ",""),",",REPT(" ",99)),1,99)))</f>
        <v/>
      </c>
      <c r="CV43" s="42">
        <f>IF(Tasks[[#This Row],[_Pred1Text]]="","",IFERROR(VALUE(LEFT(Tasks[[#This Row],[_Pred1Text]],MIN(FIND("F",Tasks[[#This Row],[_Pred1Text]]&amp;"F"),FIND("S",Tasks[[#This Row],[_Pred1Text]]&amp;"S"),FIND("+",Tasks[[#This Row],[_Pred1Text]]&amp;"+"),FIND("-",Tasks[[#This Row],[_Pred1Text]]&amp;"-"))-1)),""))</f>
        <v/>
      </c>
      <c r="CW4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3" s="42">
        <f>IF(Tasks[[#This Row],[_Pred1Text]]="","",TRIM(MID(SUBSTITUTE(SUBSTITUTE(SUBSTITUTE(UPPER(Tasks[[#This Row],[_Predecessors]]),";",",")," ",""),",",REPT(" ",99)),100,99)))</f>
        <v/>
      </c>
      <c r="CZ43" s="42">
        <f>IF(Tasks[[#This Row],[_Pred2Text]]="","",IFERROR(VALUE(LEFT(Tasks[[#This Row],[_Pred2Text]],MIN(FIND("F",Tasks[[#This Row],[_Pred2Text]]&amp;"F"),FIND("S",Tasks[[#This Row],[_Pred2Text]]&amp;"S"),FIND("+",Tasks[[#This Row],[_Pred2Text]]&amp;"+"),FIND("-",Tasks[[#This Row],[_Pred2Text]]&amp;"-"))-1)),""))</f>
        <v/>
      </c>
      <c r="DA4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3" s="42">
        <f>IF(Tasks[[#This Row],[_Pred2Text]]="","",TRIM(MID(SUBSTITUTE(SUBSTITUTE(SUBSTITUTE(UPPER(Tasks[[#This Row],[_Predecessors]]),";",",")," ",""),",",REPT(" ",99)),199,99)))</f>
        <v/>
      </c>
      <c r="DD43" s="42">
        <f>IF(Tasks[[#This Row],[_Pred3Text]]="","",IFERROR(VALUE(LEFT(Tasks[[#This Row],[_Pred3Text]],MIN(FIND("F",Tasks[[#This Row],[_Pred3Text]]&amp;"F"),FIND("S",Tasks[[#This Row],[_Pred3Text]]&amp;"S"),FIND("+",Tasks[[#This Row],[_Pred3Text]]&amp;"+"),FIND("-",Tasks[[#This Row],[_Pred3Text]]&amp;"-"))-1)),""))</f>
        <v/>
      </c>
      <c r="DE4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3" s="42">
        <f>IF(Tasks[[#This Row],[_Pred3Text]]="","",TRIM(MID(SUBSTITUTE(SUBSTITUTE(SUBSTITUTE(UPPER(Tasks[[#This Row],[_Predecessors]]),";",",")," ",""),",",REPT(" ",99)),298,99)))</f>
        <v/>
      </c>
      <c r="DH43" s="42">
        <f>IF(Tasks[[#This Row],[_Pred4Text]]="","",IFERROR(VALUE(LEFT(Tasks[[#This Row],[_Pred4Text]],MIN(FIND("F",Tasks[[#This Row],[_Pred4Text]]&amp;"F"),FIND("S",Tasks[[#This Row],[_Pred4Text]]&amp;"S"),FIND("+",Tasks[[#This Row],[_Pred4Text]]&amp;"+"),FIND("-",Tasks[[#This Row],[_Pred4Text]]&amp;"-"))-1)),""))</f>
        <v/>
      </c>
      <c r="DI4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3" s="42">
        <f>IF(OR(Tasks[[#This Row],[Task Name]]="",Tasks[[#This Row],[_Resources]]=""),"",TRIM(MID(SUBSTITUTE(Tasks[[#This Row],[_Resources]],",",REPT(" ",99)),1,99)))</f>
        <v/>
      </c>
      <c r="DL43" s="42">
        <f>IF(Tasks[[#This Row],[_Res1Text]]="","",TRIM(MID(SUBSTITUTE(Tasks[[#This Row],[_Resources]],",",REPT(" ",99)),100,99)))</f>
        <v/>
      </c>
      <c r="DM43" s="42">
        <f>IF(Tasks[[#This Row],[_Res2Text]]="","",TRIM(MID(SUBSTITUTE(Tasks[[#This Row],[_Resources]],",",REPT(" ",99)),199,99)))</f>
        <v/>
      </c>
      <c r="DN43" s="42">
        <f>IF(Tasks[[#This Row],[_Res3Text]]="","",TRIM(MID(SUBSTITUTE(Tasks[[#This Row],[_Resources]],",",REPT(" ",99)),298,99)))</f>
        <v/>
      </c>
      <c r="DO43" s="42">
        <f>IF(Tasks[[#This Row],[_Res1Text]]="",0,IFERROR(MATCH(TRIM(LEFT(Tasks[[#This Row],[_Res1Text]],FIND("[",Tasks[[#This Row],[_Res1Text]]&amp;"[")-1)),res_Name,0),IFERROR(MATCH(TRIM(LEFT(Tasks[[#This Row],[_Res1Text]],FIND("[",Tasks[[#This Row],[_Res1Text]]&amp;"[")-1)),res_Initials,0),0)))</f>
        <v/>
      </c>
      <c r="DP43" s="42">
        <f>IF(Tasks[[#This Row],[_Res2Text]]="",0,IFERROR(MATCH(TRIM(LEFT(Tasks[[#This Row],[_Res2Text]],FIND("[",Tasks[[#This Row],[_Res2Text]]&amp;"[")-1)),res_Name,0),IFERROR(MATCH(TRIM(LEFT(Tasks[[#This Row],[_Res2Text]],FIND("[",Tasks[[#This Row],[_Res2Text]]&amp;"[")-1)),res_Initials,0),0)))</f>
        <v/>
      </c>
      <c r="DQ43" s="42">
        <f>IF(Tasks[[#This Row],[_Res3Text]]="",0,IFERROR(MATCH(TRIM(LEFT(Tasks[[#This Row],[_Res3Text]],FIND("[",Tasks[[#This Row],[_Res3Text]]&amp;"[")-1)),res_Name,0),IFERROR(MATCH(TRIM(LEFT(Tasks[[#This Row],[_Res3Text]],FIND("[",Tasks[[#This Row],[_Res3Text]]&amp;"[")-1)),res_Initials,0),0)))</f>
        <v/>
      </c>
      <c r="DR43" s="42">
        <f>IF(Tasks[[#This Row],[_Res4Text]]="",0,IFERROR(MATCH(TRIM(LEFT(Tasks[[#This Row],[_Res4Text]],FIND("[",Tasks[[#This Row],[_Res4Text]]&amp;"[")-1)),res_Name,0),IFERROR(MATCH(TRIM(LEFT(Tasks[[#This Row],[_Res4Text]],FIND("[",Tasks[[#This Row],[_Res4Text]]&amp;"[")-1)),res_Initials,0),0)))</f>
        <v/>
      </c>
      <c r="DS43" s="42">
        <f>IF(Tasks[[#This Row],[_Res1Text]]="","",IF(Tasks[[#This Row],[_Res1Row]]&gt;0,INDEX(res_Name,Tasks[[#This Row],[_Res1Row]]),TRIM(LEFT(Tasks[[#This Row],[_Res1Text]],FIND("[",Tasks[[#This Row],[_Res1Text]]&amp;"[")-1))))</f>
        <v/>
      </c>
      <c r="DT4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3" s="42">
        <f>IF(NOT(Tasks[[#This Row],[_IsLeaf]]=1),0,(Tasks[[#This Row],[_Resource1]]&lt;&gt;"")+(Tasks[[#This Row],[_Res2]]&lt;&gt;"")+(Tasks[[#This Row],[_Res3]]&lt;&gt;"")+(Tasks[[#This Row],[_Res4]]&lt;&gt;""))</f>
        <v/>
      </c>
      <c r="DV43" s="42">
        <f>IF(Tasks[[#This Row],[_Res2Text]]="","",IF(Tasks[[#This Row],[_Res2Row]]&gt;0,INDEX(res_Name,Tasks[[#This Row],[_Res2Row]]),TRIM(LEFT(Tasks[[#This Row],[_Res2Text]],FIND("[",Tasks[[#This Row],[_Res2Text]]&amp;"[")-1))))</f>
        <v/>
      </c>
      <c r="DW4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3" s="42">
        <f>IF(OR(NOT(Tasks[[#This Row],[_IsLeaf]]=1),Tasks[[#This Row],[_Res2Row]]=0),0,N(Tasks[[#This Row],[_Days]])*HoursPerDay*IF(Tasks[[#This Row],[_Res2Units]]="",DefaultUnits,Tasks[[#This Row],[_Res2Units]]))</f>
        <v/>
      </c>
      <c r="DY43" s="42">
        <f>IF(AND(AND(Tasks[[#This Row],[_IsLeaf]]=1,Tasks[[#This Row],[_LeafTotalWork]]&gt;0),Tasks[[#This Row],[_Res2Work]]&gt;0),Tasks[[#This Row],[_Res2Work]]/(Tasks[[#This Row],[_FinishWorkday]]-Tasks[[#This Row],[_StartWorkday]]+1),0)</f>
        <v/>
      </c>
      <c r="DZ43" s="42">
        <f>Tasks[[#This Row],[_Res2WorkPerWD]]*MAX(0,Tasks[[#This Row],[_StartWorkday]]-1)</f>
        <v/>
      </c>
      <c r="EA43" s="42">
        <f>Tasks[[#This Row],[_Res2Work]]*Tasks[[#This Row],[_LeafProgress]]</f>
        <v/>
      </c>
      <c r="EB43" s="42">
        <f>IF(Tasks[[#This Row],[_Res3Text]]="","",IF(Tasks[[#This Row],[_Res3Row]]&gt;0,INDEX(res_Name,Tasks[[#This Row],[_Res3Row]]),TRIM(LEFT(Tasks[[#This Row],[_Res3Text]],FIND("[",Tasks[[#This Row],[_Res3Text]]&amp;"[")-1))))</f>
        <v/>
      </c>
      <c r="EC4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3" s="42">
        <f>IF(OR(NOT(Tasks[[#This Row],[_IsLeaf]]=1),Tasks[[#This Row],[_Res3Row]]=0),0,N(Tasks[[#This Row],[_Days]])*HoursPerDay*IF(Tasks[[#This Row],[_Res3Units]]="",DefaultUnits,Tasks[[#This Row],[_Res3Units]]))</f>
        <v/>
      </c>
      <c r="EE43" s="42">
        <f>IF(AND(AND(Tasks[[#This Row],[_IsLeaf]]=1,Tasks[[#This Row],[_LeafTotalWork]]&gt;0),Tasks[[#This Row],[_Res3Work]]&gt;0),Tasks[[#This Row],[_Res3Work]]/(Tasks[[#This Row],[_FinishWorkday]]-Tasks[[#This Row],[_StartWorkday]]+1),0)</f>
        <v/>
      </c>
      <c r="EF43" s="42">
        <f>Tasks[[#This Row],[_Res3WorkPerWD]]*MAX(0,Tasks[[#This Row],[_StartWorkday]]-1)</f>
        <v/>
      </c>
      <c r="EG43" s="42">
        <f>Tasks[[#This Row],[_Res3Work]]*Tasks[[#This Row],[_LeafProgress]]</f>
        <v/>
      </c>
      <c r="EH43" s="42">
        <f>IF(Tasks[[#This Row],[_Res4Text]]="","",IF(Tasks[[#This Row],[_Res4Row]]&gt;0,INDEX(res_Name,Tasks[[#This Row],[_Res4Row]]),TRIM(LEFT(Tasks[[#This Row],[_Res4Text]],FIND("[",Tasks[[#This Row],[_Res4Text]]&amp;"[")-1))))</f>
        <v/>
      </c>
      <c r="EI4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3" s="42">
        <f>IF(OR(NOT(Tasks[[#This Row],[_IsLeaf]]=1),Tasks[[#This Row],[_Res4Row]]=0),0,N(Tasks[[#This Row],[_Days]])*HoursPerDay*IF(Tasks[[#This Row],[_Res4Units]]="",DefaultUnits,Tasks[[#This Row],[_Res4Units]]))</f>
        <v/>
      </c>
      <c r="EK43" s="42">
        <f>IF(AND(AND(Tasks[[#This Row],[_IsLeaf]]=1,Tasks[[#This Row],[_LeafTotalWork]]&gt;0),Tasks[[#This Row],[_Res4Work]]&gt;0),Tasks[[#This Row],[_Res4Work]]/(Tasks[[#This Row],[_FinishWorkday]]-Tasks[[#This Row],[_StartWorkday]]+1),0)</f>
        <v/>
      </c>
      <c r="EL43" s="42">
        <f>Tasks[[#This Row],[_Res4WorkPerWD]]*MAX(0,Tasks[[#This Row],[_StartWorkday]]-1)</f>
        <v/>
      </c>
      <c r="EM43" s="42">
        <f>Tasks[[#This Row],[_Res4Work]]*Tasks[[#This Row],[_LeafProgress]]</f>
        <v/>
      </c>
      <c r="EN43" s="42">
        <f>IF(ISNUMBER(Tasks[[#This Row],[% Complete]]),Tasks[[#This Row],[% Complete]],IF(Tasks[[#This Row],[Stage]]="",0,IFERROR(INDEX(stg_Pct,MATCH(Tasks[[#This Row],[Stage]],stg_Name,0)),0)))</f>
        <v/>
      </c>
      <c r="EO43" s="42">
        <f>IF(NOT(Tasks[[#This Row],[_IsLeaf]]=1),0,IF(N(Tasks[[#This Row],[Actual Finish]])&gt;0,1,MIN(1,Tasks[[#This Row],[_Pct]])))</f>
        <v/>
      </c>
      <c r="EP43" s="42">
        <f>IF(OR(NOT(Tasks[[#This Row],[_IsLeaf]]=1),Tasks[[#This Row],[_Res1Row]]=0),0,N(Tasks[[#This Row],[_Days]])*HoursPerDay*IF(Tasks[[#This Row],[_Units1]]="",DefaultUnits,Tasks[[#This Row],[_Units1]]))</f>
        <v/>
      </c>
      <c r="EQ43" s="42">
        <f>Tasks[[#This Row],[_LeafWork]]+Tasks[[#This Row],[_Res2Work]]+Tasks[[#This Row],[_Res3Work]]+Tasks[[#This Row],[_Res4Work]]</f>
        <v/>
      </c>
      <c r="ER4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3" s="42">
        <f>IF(NOT(Tasks[[#This Row],[_IsLeaf]]=1),0,MAX(_xlfn.MAXIFS(Tasks[_Row],Tasks[_Pred1UID],Tasks[[#This Row],[UID]]),_xlfn.MAXIFS(Tasks[_Row],Tasks[_Pred2UID],Tasks[[#This Row],[UID]]),_xlfn.MAXIFS(Tasks[_Row],Tasks[_Pred3UID],Tasks[[#This Row],[UID]]),_xlfn.MAXIFS(Tasks[_Row],Tasks[_Pred4UID],Tasks[[#This Row],[UID]])))</f>
        <v/>
      </c>
      <c r="FA4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3" s="88">
        <f>IF(NOT(Tasks[[#This Row],[_IsLeaf]]=1),"",IF(N(Tasks[[#This Row],[_Days]])&lt;=0,Tasks[[#This Row],[_LeafLateFinish]],WORKDAY.INTL(Tasks[[#This Row],[_LeafLateFinish]],-(Tasks[[#This Row],[_Days]]-1),WorkWeek,Holidays)))</f>
        <v/>
      </c>
      <c r="FD4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3" s="42">
        <f>AND(Tasks[[#This Row],[_IsLeaf]]=1,Tasks[[#This Row],[_LeafProgress]]&lt;1,N(Tasks[[#This Row],[_LeafTotalSlack]])&lt;=CriticalSlackDays)</f>
        <v/>
      </c>
      <c r="FF43" s="42">
        <f>IF(AND(Tasks[[#This Row],[_IsLeaf]]=1,Tasks[[#This Row],[_ConstraintCode]]=1,Tasks[[#This Row],[Mode]]&lt;&gt;"Manual",N(Tasks[[#This Row],[Actual Start]])=0),MAX(0,N(Tasks[[#This Row],[Free Slack]])),0)</f>
        <v/>
      </c>
      <c r="FG43" s="88">
        <f>IF(NOT(Tasks[[#This Row],[_IsLeaf]]=1),"",IF(Tasks[[#This Row],[_AlapShift]]=0,Tasks[[#This Row],[_LeafCalcStart]],WORKDAY.INTL(Tasks[[#This Row],[_LeafCalcStart]],Tasks[[#This Row],[_AlapShift]],WorkWeek,Holidays)))</f>
        <v/>
      </c>
      <c r="FH43" s="88">
        <f>IF(NOT(Tasks[[#This Row],[_IsLeaf]]=1),"",IF(Tasks[[#This Row],[_AlapShift]]=0,Tasks[[#This Row],[_LeafCalcFinish]],WORKDAY.INTL(Tasks[[#This Row],[_LeafCalcFinish]],Tasks[[#This Row],[_AlapShift]],WorkWeek,Holidays)))</f>
        <v/>
      </c>
      <c r="FI43" s="88">
        <f>IF(NOT(Tasks[[#This Row],[_IsLeaf]]=1),"",IF(Tasks[[#This Row],[_AlapShift]]=0,Tasks[[#This Row],[_LeafFcstStart]],WORKDAY.INTL(Tasks[[#This Row],[_LeafFcstStart]],Tasks[[#This Row],[_AlapShift]],WorkWeek,Holidays)))</f>
        <v/>
      </c>
      <c r="FJ43" s="88">
        <f>IF(NOT(Tasks[[#This Row],[_IsLeaf]]=1),"",IF(Tasks[[#This Row],[_AlapShift]]=0,Tasks[[#This Row],[_LeafFcstFinish]],WORKDAY.INTL(Tasks[[#This Row],[_LeafFcstFinish]],Tasks[[#This Row],[_AlapShift]],WorkWeek,Holidays)))</f>
        <v/>
      </c>
      <c r="FK43" s="88">
        <f>IF(Tasks[[#This Row],[Task Name]]="","",IF(Tasks[[#This Row],[_IsSummary]],MIN(INDEX(Tasks[_ShownCalcStart],Tasks[[#This Row],[_Row]]+1):INDEX(Tasks[_ShownCalcStart],Tasks[[#This Row],[_Row]]+Tasks[[#This Row],[_Descendants]])),Tasks[[#This Row],[_ShownCalcStart]]))</f>
        <v/>
      </c>
      <c r="FL43" s="88">
        <f>IF(Tasks[[#This Row],[Task Name]]="","",IF(Tasks[[#This Row],[_IsSummary]],MAX(INDEX(Tasks[_ShownCalcFinish],Tasks[[#This Row],[_Row]]+1):INDEX(Tasks[_ShownCalcFinish],Tasks[[#This Row],[_Row]]+Tasks[[#This Row],[_Descendants]])),Tasks[[#This Row],[_ShownCalcFinish]]))</f>
        <v/>
      </c>
      <c r="FM4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3" s="42">
        <f>IF(AND(Tasks[[#This Row],[_IsLeaf]]=1,Tasks[[#This Row],[_LeafTotalWork]]&gt;0),NETWORKDAYS.INTL(ProjectStart,Tasks[[#This Row],[_ShownFcstStart]],WorkWeek,Holidays),0)</f>
        <v/>
      </c>
      <c r="FZ43" s="42">
        <f>IF(AND(Tasks[[#This Row],[_IsLeaf]]=1,Tasks[[#This Row],[_LeafTotalWork]]&gt;0),MAX(Tasks[[#This Row],[_StartWorkday]],NETWORKDAYS.INTL(ProjectStart,Tasks[[#This Row],[_ShownFcstFinish]],WorkWeek,Holidays)),0)</f>
        <v/>
      </c>
      <c r="GA43" s="42">
        <f>IF(AND(Tasks[[#This Row],[_IsLeaf]]=1,Tasks[[#This Row],[_LeafTotalWork]]&gt;0),Tasks[[#This Row],[_LeafWork]]/(Tasks[[#This Row],[_FinishWorkday]]-Tasks[[#This Row],[_StartWorkday]]+1),0)</f>
        <v/>
      </c>
      <c r="GB43" s="42">
        <f>Tasks[[#This Row],[_WorkPerWorkday]]*(Tasks[[#This Row],[_StartWorkday]]-1)</f>
        <v/>
      </c>
      <c r="GC43" s="42">
        <f>IF(Tasks[[#This Row],[_IsLeaf]]=1,MAX(N(Tasks[[#This Row],[_Days]]),0.1),0)</f>
        <v/>
      </c>
      <c r="GD43" s="42">
        <f>Tasks[[#This Row],[_WeightDur]]*Tasks[[#This Row],[_LeafProgress]]</f>
        <v/>
      </c>
      <c r="GE43" s="42">
        <f>Tasks[[#This Row],[_WeightDur]]*Tasks[[#This Row],[_PlannedPct]]</f>
        <v/>
      </c>
      <c r="GF4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3" s="42">
        <f>IF(AND(Tasks[[#This Row],[_IsLeaf]]=1,N(Tasks[[#This Row],[_Days]])=0,Tasks[[#This Row],[_LeafProgress]]&lt;1),Tasks[[#This Row],[_ShownFcstFinish]]+Tasks[[#This Row],[_Row]]/100000,"")</f>
        <v/>
      </c>
      <c r="GH4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3" s="42">
        <f>IF(Tasks[[#This Row],[Task Name]]="","",LEFT(Tasks[[#This Row],[WBS]],FIND(".",Tasks[[#This Row],[WBS]]&amp;".")-1))</f>
        <v/>
      </c>
      <c r="GJ43" s="42">
        <f>IF(AND(Tasks[[#This Row],[Task Name]]&lt;&gt;"",Tasks[[#This Row],[_Level]]=1),Tasks[[#This Row],[_Row]],"")</f>
        <v/>
      </c>
      <c r="GK43" s="42">
        <f>IF(AND(Tasks[[#This Row],[_IsLeaf]]=1,N(Tasks[[#This Row],[_Days]])=0),Tasks[[#This Row],[Planned Finish]]+Tasks[[#This Row],[_Row]]/100000,"")</f>
        <v/>
      </c>
      <c r="GL43" s="42">
        <f>IF(AND(Tasks[[#This Row],[_IsLeaf]]=1,Tasks[[#This Row],[_LeafProgress]]&lt;1,OR(N(Tasks[[#This Row],[Finish Var]])&gt;0,Tasks[[#This Row],[Status]]="Late Start")),MAX(0,Tasks[[#This Row],[Finish Var]])+1-Tasks[[#This Row],[_Row]]/1000000,"")</f>
        <v/>
      </c>
      <c r="GM43" s="42">
        <f>IF(AND(Tasks[[#This Row],[_IsLeaf]]=1,N(Tasks[[#This Row],[Actual Start]])=0,Tasks[[#This Row],[_ShownFcstStart]]&gt;=StatusDate,Tasks[[#This Row],[_ShownFcstStart]]&lt;=LookaheadEnd),Tasks[[#This Row],[_ShownFcstStart]]+Tasks[[#This Row],[_Row]]/100000,"")</f>
        <v/>
      </c>
      <c r="GN43" s="42">
        <f>IF(AND(Tasks[[#This Row],[_IsLeaf]]=1,Tasks[[#This Row],[_LeafProgress]]&lt;1,Tasks[[#This Row],[_ShownFcstFinish]]&gt;=StatusDate,Tasks[[#This Row],[_ShownFcstFinish]]&lt;=LookaheadEnd),Tasks[[#This Row],[_ShownFcstFinish]]+Tasks[[#This Row],[_Row]]/100000,"")</f>
        <v/>
      </c>
      <c r="GO43" s="42">
        <f>IF(Tasks[[#This Row],[_LeafCritical]],Tasks[[#This Row],[_ShownFcstStart]]+Tasks[[#This Row],[_Row]]/100000,"")</f>
        <v/>
      </c>
      <c r="GP43" s="42">
        <f>Tasks[[#This Row],[_LeafWork]]*Tasks[[#This Row],[_LeafProgress]]</f>
        <v/>
      </c>
      <c r="GQ43" s="88">
        <f>IF(AND(Tasks[[#This Row],[_IsLeaf]]=1,Tasks[[#This Row],[_LeafProgress]]&gt;=1),IF(N(Tasks[[#This Row],[Actual Finish]])&gt;0,Tasks[[#This Row],[Actual Finish]],Tasks[[#This Row],[_ShownFcstFinish]]),"")</f>
        <v/>
      </c>
      <c r="GR43" s="42">
        <f>IF(Tasks[[#This Row],[_IsLeaf]]=1,N(Tasks[[#This Row],[Story Points]]),0)</f>
        <v/>
      </c>
      <c r="GS43" s="42">
        <f>""</f>
        <v/>
      </c>
      <c r="GT43" s="42">
        <f>IF(Tasks[[#This Row],[Task Name]]="",FALSE(),AND(Tasks[[#This Row],[_IsLeaf]]=1,N(Tasks[[#This Row],[_Days]])=0))</f>
        <v/>
      </c>
      <c r="GU43" s="88">
        <f>IF(Tasks[[#This Row],[Task Name]]="",0,IF(AND(Tasks[[#This Row],[_IsLeaf]]=1,NOT(Tasks[[#This Row],[_IsMilestone]]),N(Tasks[[#This Row],[Progress]])&gt;0),Tasks[[#This Row],[Start]],0))</f>
        <v/>
      </c>
      <c r="GV43" s="88">
        <f>IF(Tasks[[#This Row],[_DoneFrom]]=0,0,IF(Tasks[[#This Row],[Progress]]&gt;=1,Tasks[[#This Row],[Finish]],MAX(Tasks[[#This Row],[_DoneFrom]],Tasks[[#This Row],[Start]]+ROUND((Tasks[[#This Row],[Finish]]-Tasks[[#This Row],[Start]]+1)*Tasks[[#This Row],[Progress]],0)-1)))</f>
        <v/>
      </c>
      <c r="GW43" s="88">
        <f>IF(Tasks[[#This Row],[Task Name]]="",0,IF(OR(NOT(Tasks[[#This Row],[_IsLeaf]]=1),Tasks[[#This Row],[_IsMilestone]],N(Tasks[[#This Row],[Progress]])&gt;=1),0,IF(Tasks[[#This Row],[_DoneTo]]&gt;0,Tasks[[#This Row],[_DoneTo]]+1,Tasks[[#This Row],[Start]])))</f>
        <v/>
      </c>
      <c r="GX43" s="88">
        <f>IF(Tasks[[#This Row],[_RemFrom]]=0,0,Tasks[[#This Row],[Finish]])</f>
        <v/>
      </c>
      <c r="GY43" s="42">
        <f>IF(Tasks[[#This Row],[Task Name]]="",FALSE(),OR(NOT(BaselineSet),N(Tasks[[#This Row],[Baseline Start]])&gt;0))</f>
        <v/>
      </c>
      <c r="GZ43" s="42">
        <f>IF(AND(Sandbox="Yes",L_PARSE_DURATION(Tasks[[#This Row],[Sandbox Duration]])&lt;&gt;""),L_PARSE_DURATION(Tasks[[#This Row],[Sandbox Duration]]),L_PARSE_DURATION(Tasks[[#This Row],[Duration]]))</f>
        <v/>
      </c>
      <c r="HA4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3" s="42">
        <f>IF(Tasks[[#This Row],[_IsLeaf]]=1,Tasks[[#This Row],[_Row]],"")</f>
        <v/>
      </c>
      <c r="HD43" s="42">
        <f>IFERROR(INDEX(Tasks[UID],SMALL(Tasks[_PickKey],Tasks[[#This Row],[_Row]]))&amp;" "&amp;INDEX(Tasks[Task Name],SMALL(Tasks[_PickKey],Tasks[[#This Row],[_Row]])),"")</f>
        <v/>
      </c>
      <c r="HE43" s="42">
        <f>IF(Tasks[[#This Row],[Task Name]]="","",IF(Tasks[[#This Row],[_IsSummary]],NETWORKDAYS.INTL(Tasks[[#This Row],[Start]],Tasks[[#This Row],[Finish]],WorkWeek,Holidays),N(Tasks[[#This Row],[_Days]])))</f>
        <v/>
      </c>
      <c r="HF43" s="42">
        <f>IF(Tasks[[#This Row],[Expected]]="",0,((Tasks[[#This Row],[Pessimistic]]-Tasks[[#This Row],[Optimistic]])/6)^2)</f>
        <v/>
      </c>
      <c r="HG43" s="42">
        <f>IF(Tasks[[#This Row],[Expected]]="",0,Tasks[[#This Row],[Expected]]-N(Tasks[[#This Row],[_Days]]))</f>
        <v/>
      </c>
    </row>
    <row r="44">
      <c r="A44" s="21">
        <f>IF(Tasks[[#This Row],[Task Name]]="","",COUNTA(Tasks[[#Headers],[Task Name]]:Tasks[[#This Row],[Task Name]])-1)</f>
        <v/>
      </c>
      <c r="B44" s="22" t="n">
        <v>52</v>
      </c>
      <c r="C44" s="22" t="n"/>
      <c r="D44" s="23" t="n"/>
      <c r="E44" s="22" t="n"/>
      <c r="F44" s="23" t="n"/>
      <c r="G44" s="22" t="n"/>
      <c r="H44" s="22" t="n"/>
      <c r="I44" s="23" t="n"/>
      <c r="J44" s="22" t="n"/>
      <c r="K44" s="22" t="n"/>
      <c r="L44" s="23" t="n"/>
      <c r="M44" s="22" t="n"/>
      <c r="N44" s="22" t="n"/>
      <c r="O44" s="23" t="n"/>
      <c r="P44" s="22" t="n"/>
      <c r="Q44" s="22" t="n"/>
      <c r="R44" s="23" t="n"/>
      <c r="S44" s="23" t="n"/>
      <c r="T44" s="82" t="n"/>
      <c r="U44" s="23" t="n"/>
      <c r="V44" s="82" t="n"/>
      <c r="W44" s="23" t="n"/>
      <c r="X44" s="82" t="n"/>
      <c r="Y44" s="23" t="n"/>
      <c r="Z44" s="82" t="n"/>
      <c r="AA44" s="23" t="n"/>
      <c r="AB44" s="23" t="n"/>
      <c r="AC44" s="7" t="n"/>
      <c r="AD44" s="7" t="n"/>
      <c r="AE44" s="61">
        <f>IF(Tasks[[#This Row],[Task Name]]="","",IF(Tasks[[#This Row],[_IsSummary]],MIN(INDEX(Tasks[_ShownFcstStart],Tasks[[#This Row],[_Row]]+1):INDEX(Tasks[_ShownFcstStart],Tasks[[#This Row],[_Row]]+Tasks[[#This Row],[_Descendants]])),Tasks[[#This Row],[_ShownFcstStart]]))</f>
        <v/>
      </c>
      <c r="AF44" s="61">
        <f>IF(Tasks[[#This Row],[Task Name]]="","",IF(Tasks[[#This Row],[_IsSummary]],MAX(INDEX(Tasks[_ShownFcstFinish],Tasks[[#This Row],[_Row]]+1):INDEX(Tasks[_ShownFcstFinish],Tasks[[#This Row],[_Row]]+Tasks[[#This Row],[_Descendants]])),Tasks[[#This Row],[_ShownFcstFinish]]))</f>
        <v/>
      </c>
      <c r="AG44" s="21">
        <f>""</f>
        <v/>
      </c>
      <c r="AH44" s="23" t="n"/>
      <c r="AI4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4" s="7" t="n"/>
      <c r="AK44" s="22" t="n"/>
      <c r="AL44" s="23" t="n"/>
      <c r="AM44" s="7" t="n"/>
      <c r="AN44" s="21">
        <f>IF(Tasks[[#This Row],[Task Name]]="","",IF(Tasks[[#This Row],[Finish]]&gt;=Tasks[[#This Row],[Planned Finish]],NETWORKDAYS.INTL(Tasks[[#This Row],[Planned Finish]],Tasks[[#This Row],[Finish]],WorkWeek,Holidays)-1,1-NETWORKDAYS.INTL(Tasks[[#This Row],[Finish]],Tasks[[#This Row],[Planned Finish]],WorkWeek,Holidays)))</f>
        <v/>
      </c>
      <c r="AO44" s="21">
        <f>IF(Tasks[[#This Row],[Task Name]]="","",IF(Tasks[[#This Row],[Progress]]&gt;=1,"Complete",IF(OR(N(Tasks[[#This Row],[Actual Start]])&gt;0,Tasks[[#This Row],[Progress]]&gt;0),IF(Tasks[[#This Row],[Finish Var]]&gt;0,"Behind","In Progress"),IF(Tasks[[#This Row],[Planned Start]]&lt;StatusDate,"Late Start","Not Started"))))</f>
        <v/>
      </c>
      <c r="AP44" s="21">
        <f>IF(Tasks[[#This Row],[Task Name]]="","",IF(IF(Tasks[[#This Row],[_IsSummary]],COUNTIF(INDEX(Tasks[_LeafCritical],Tasks[[#This Row],[_Row]]+1):INDEX(Tasks[_LeafCritical],Tasks[[#This Row],[_Row]]+Tasks[[#This Row],[_Descendants]]),TRUE())&gt;0,Tasks[[#This Row],[_LeafCritical]]),"Yes",""))</f>
        <v/>
      </c>
      <c r="AQ44" s="61">
        <f>IF(Tasks[[#This Row],[Task Name]]="","",IF(N(Tasks[[#This Row],[Baseline Start]])&gt;0,Tasks[[#This Row],[Baseline Start]],Tasks[[#This Row],[_CalcStart]]))</f>
        <v/>
      </c>
      <c r="AR44" s="61">
        <f>IF(Tasks[[#This Row],[Task Name]]="","",IF(N(Tasks[[#This Row],[Baseline Finish]])&gt;0,Tasks[[#This Row],[Baseline Finish]],Tasks[[#This Row],[_CalcFinish]]))</f>
        <v/>
      </c>
      <c r="AS44" s="21">
        <f>IF(Tasks[[#This Row],[Task Name]]="","",IF(Tasks[[#This Row],[Start]]&gt;=Tasks[[#This Row],[Planned Start]],NETWORKDAYS.INTL(Tasks[[#This Row],[Planned Start]],Tasks[[#This Row],[Start]],WorkWeek,Holidays)-1,1-NETWORKDAYS.INTL(Tasks[[#This Row],[Start]],Tasks[[#This Row],[Planned Start]],WorkWeek,Holidays)))</f>
        <v/>
      </c>
      <c r="AT44" s="61">
        <f>IF(Tasks[[#This Row],[Task Name]]="","",IF(Tasks[[#This Row],[_IsSummary]],MIN(INDEX(Tasks[_LeafLateStart],Tasks[[#This Row],[_Row]]+1):INDEX(Tasks[_LeafLateStart],Tasks[[#This Row],[_Row]]+Tasks[[#This Row],[_Descendants]])),Tasks[[#This Row],[_LeafLateStart]]))</f>
        <v/>
      </c>
      <c r="AU44" s="61">
        <f>IF(Tasks[[#This Row],[Task Name]]="","",IF(Tasks[[#This Row],[_IsSummary]],MAX(INDEX(Tasks[_LeafLateFinish],Tasks[[#This Row],[_Row]]+1):INDEX(Tasks[_LeafLateFinish],Tasks[[#This Row],[_Row]]+Tasks[[#This Row],[_Descendants]])),Tasks[[#This Row],[_LeafLateFinish]]))</f>
        <v/>
      </c>
      <c r="AV44" s="21">
        <f>IF(Tasks[[#This Row],[Task Name]]="","",IF(Tasks[[#This Row],[_IsSummary]],MIN(INDEX(Tasks[_LeafTotalSlack],Tasks[[#This Row],[_Row]]+1):INDEX(Tasks[_LeafTotalSlack],Tasks[[#This Row],[_Row]]+Tasks[[#This Row],[_Descendants]])),Tasks[[#This Row],[_LeafTotalSlack]]))</f>
        <v/>
      </c>
      <c r="AW4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3" t="n"/>
      <c r="BA4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f>IF(Tasks[[#This Row],[Task Name]]="","",IF(Tasks[[#This Row],[_Level]]&lt;=OutlineShowLevel,"Yes","No"))</f>
        <v/>
      </c>
      <c r="BE44" s="84">
        <f>IF(Tasks[[#This Row],[Task Name]]="","",IF(Tasks[[#This Row],[_IsSummary]],SUM(INDEX(Tasks[_LeafTotalWork],Tasks[[#This Row],[_Row]]+1):INDEX(Tasks[_LeafTotalWork],Tasks[[#This Row],[_Row]]+Tasks[[#This Row],[_Descendants]])),Tasks[[#This Row],[_LeafTotalWork]]))</f>
        <v/>
      </c>
      <c r="BF44" s="23" t="n"/>
      <c r="BG4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f>""</f>
        <v/>
      </c>
      <c r="BI44" s="85" t="n"/>
      <c r="BJ44" s="22" t="n"/>
      <c r="BK44" s="21">
        <f>IF(OR(Tasks[[#This Row],[Task Name]]="",Tasks[[#This Row],[Baseline Duration]]=""),"",Tasks[[#This Row],[_SpanDays]]-N(Tasks[[#This Row],[Baseline Duration]]))</f>
        <v/>
      </c>
      <c r="BL44" s="84">
        <f>IF(OR(Tasks[[#This Row],[Task Name]]="",Tasks[[#This Row],[Baseline Work]]=""),"",Tasks[[#This Row],[Work]]-N(Tasks[[#This Row],[Baseline Work]]))</f>
        <v/>
      </c>
      <c r="BM44" s="61">
        <f>IF(Tasks[[#This Row],[Task Name]]="","",IF(OR(TakeBaseline="Yes",N(Tasks[[#This Row],[Baseline Start]])=0),Tasks[[#This Row],[Start]],Tasks[[#This Row],[Baseline Start]]))</f>
        <v/>
      </c>
      <c r="BN44" s="61">
        <f>IF(Tasks[[#This Row],[Task Name]]="","",IF(OR(TakeBaseline="Yes",N(Tasks[[#This Row],[Baseline Finish]])=0),Tasks[[#This Row],[Finish]],Tasks[[#This Row],[Baseline Finish]]))</f>
        <v/>
      </c>
      <c r="BO44" s="21">
        <f>IF(Tasks[[#This Row],[Task Name]]="","",IF(OR(TakeBaseline="Yes",N(Tasks[[#This Row],[Baseline Duration]])=0),Tasks[[#This Row],[_SpanDays]],Tasks[[#This Row],[Baseline Duration]]))</f>
        <v/>
      </c>
      <c r="BP44" s="84">
        <f>IF(Tasks[[#This Row],[Task Name]]="","",IF(OR(TakeBaseline="Yes",N(Tasks[[#This Row],[Baseline Work]])=0),Tasks[[#This Row],[Work]],Tasks[[#This Row],[Baseline Work]]))</f>
        <v/>
      </c>
      <c r="BQ44" s="7" t="n"/>
      <c r="BR44" s="7" t="n"/>
      <c r="BS44" s="22" t="n"/>
      <c r="BT44" s="86" t="n"/>
      <c r="BU44" s="23" t="n"/>
      <c r="BV44" s="23" t="n"/>
      <c r="BW44" s="23" t="n"/>
      <c r="BX44" s="87">
        <f>IF(AND(Tasks[[#This Row],[_IsLeaf]]=1,ISNUMBER(Tasks[[#This Row],[Optimistic]]),ISNUMBER(Tasks[[#This Row],[Pessimistic]])),ROUND((Tasks[[#This Row],[Optimistic]]+4*N(Tasks[[#This Row],[_Days]])+Tasks[[#This Row],[Pessimistic]])/6,1),"")</f>
        <v/>
      </c>
      <c r="BY44" s="85" t="n"/>
      <c r="BZ44" s="85" t="n"/>
      <c r="CA44" s="22" t="n"/>
      <c r="CB44" s="42">
        <f>IF(Tasks[[#This Row],[Task Name]]="","",MAX(1,N(Tasks[[#This Row],[Level]])))</f>
        <v/>
      </c>
      <c r="CC44" s="42">
        <f>ROW()-ROW(Tasks[[#Headers],[ID]])</f>
        <v/>
      </c>
      <c r="CD44" s="42">
        <f>IF(OR(Tasks[[#This Row],[Task Name]]="",Tasks[[#This Row],[_Level]]&lt;=1),0,IFERROR(LOOKUP(2,1/(Tasks[[#Headers],[_Level]]:Tasks[[#This Row],[_Level]]=Tasks[[#This Row],[_Level]]-1),ROW(Tasks[[#Headers],[_Level]]:Tasks[[#This Row],[_Level]])),0))</f>
        <v/>
      </c>
      <c r="CE44" s="42">
        <f>IFERROR(N(INDEX(Tasks[_Level],Tasks[[#This Row],[_Row]]+1)),0)</f>
        <v/>
      </c>
      <c r="CF44" s="42">
        <f>AND(Tasks[[#This Row],[Task Name]]&lt;&gt;"",Tasks[[#This Row],[_NextLevel]]&gt;Tasks[[#This Row],[_Level]])</f>
        <v/>
      </c>
      <c r="CG44" s="42">
        <f>IF(Tasks[[#This Row],[_IsSummary]],COUNTIF(Tasks[WBS],Tasks[[#This Row],[WBS]]&amp;".*"),0)</f>
        <v/>
      </c>
      <c r="CH44" s="42">
        <f>IF(AND(Tasks[[#This Row],[Task Name]]&lt;&gt;"",NOT(Tasks[[#This Row],[_IsSummary]])),1,0)</f>
        <v/>
      </c>
      <c r="CI44" s="42">
        <f>IF(N(Tasks[[#This Row],[_Pred1UID]])=0,0,IFERROR(MATCH(Tasks[[#This Row],[_Pred1UID]],Tasks[UID],0),-1))</f>
        <v/>
      </c>
      <c r="CJ44" s="42">
        <f>IF(N(Tasks[[#This Row],[_Pred2UID]])=0,0,IFERROR(MATCH(Tasks[[#This Row],[_Pred2UID]],Tasks[UID],0),-1))</f>
        <v/>
      </c>
      <c r="CK44" s="42">
        <f>IF(N(Tasks[[#This Row],[_Pred3UID]])=0,0,IFERROR(MATCH(Tasks[[#This Row],[_Pred3UID]],Tasks[UID],0),-1))</f>
        <v/>
      </c>
      <c r="CL44" s="42">
        <f>IF(N(Tasks[[#This Row],[_Pred4UID]])=0,0,IFERROR(MATCH(Tasks[[#This Row],[_Pred4UID]],Tasks[UID],0),-1))</f>
        <v/>
      </c>
      <c r="CM4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4" s="88">
        <f>IF(N(Tasks[[#This Row],[Constraint Date]])=0,0,IF(AND(OR(Tasks[[#This Row],[_ConstraintCode]]=3,Tasks[[#This Row],[_ConstraintCode]]=6,Tasks[[#This Row],[_ConstraintCode]]=7),N(Tasks[[#This Row],[_Days]])&gt;1),WORKDAY.INTL(N(Tasks[[#This Row],[Constraint Date]]),-(N(Tasks[[#This Row],[_Days]])-1),WorkWeek,Holidays),N(Tasks[[#This Row],[Constraint Date]])))</f>
        <v/>
      </c>
      <c r="CO44" s="88">
        <f>IF(OR(Tasks[[#This Row],[_ConstraintCode]]=2,Tasks[[#This Row],[_ConstraintCode]]=3,Tasks[[#This Row],[_ConstraintCode]]=4,Tasks[[#This Row],[_ConstraintCode]]=6),Tasks[[#This Row],[_ConstraintStart]],0)</f>
        <v/>
      </c>
      <c r="CP44" s="88">
        <f>IF(OR(Tasks[[#This Row],[_ConstraintCode]]=2,Tasks[[#This Row],[_ConstraintCode]]=3,Tasks[[#This Row],[_ConstraintCode]]=5,Tasks[[#This Row],[_ConstraintCode]]=7),Tasks[[#This Row],[_ConstraintStart]],2958465)</f>
        <v/>
      </c>
      <c r="CQ4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4" s="88">
        <f>IF(NOT(Tasks[[#This Row],[_IsLeaf]]=1),"",IF(N(Tasks[[#This Row],[_Days]])&lt;=0,Tasks[[#This Row],[_LeafCalcStart]],WORKDAY.INTL(Tasks[[#This Row],[_LeafCalcStart]],Tasks[[#This Row],[_Days]]-1,WorkWeek,Holidays)))</f>
        <v/>
      </c>
      <c r="CS4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4" s="42">
        <f>IF(Tasks[[#This Row],[_Predecessors]]="","",TRIM(MID(SUBSTITUTE(SUBSTITUTE(SUBSTITUTE(UPPER(Tasks[[#This Row],[_Predecessors]]),";",",")," ",""),",",REPT(" ",99)),1,99)))</f>
        <v/>
      </c>
      <c r="CV44" s="42">
        <f>IF(Tasks[[#This Row],[_Pred1Text]]="","",IFERROR(VALUE(LEFT(Tasks[[#This Row],[_Pred1Text]],MIN(FIND("F",Tasks[[#This Row],[_Pred1Text]]&amp;"F"),FIND("S",Tasks[[#This Row],[_Pred1Text]]&amp;"S"),FIND("+",Tasks[[#This Row],[_Pred1Text]]&amp;"+"),FIND("-",Tasks[[#This Row],[_Pred1Text]]&amp;"-"))-1)),""))</f>
        <v/>
      </c>
      <c r="CW4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4" s="42">
        <f>IF(Tasks[[#This Row],[_Pred1Text]]="","",TRIM(MID(SUBSTITUTE(SUBSTITUTE(SUBSTITUTE(UPPER(Tasks[[#This Row],[_Predecessors]]),";",",")," ",""),",",REPT(" ",99)),100,99)))</f>
        <v/>
      </c>
      <c r="CZ44" s="42">
        <f>IF(Tasks[[#This Row],[_Pred2Text]]="","",IFERROR(VALUE(LEFT(Tasks[[#This Row],[_Pred2Text]],MIN(FIND("F",Tasks[[#This Row],[_Pred2Text]]&amp;"F"),FIND("S",Tasks[[#This Row],[_Pred2Text]]&amp;"S"),FIND("+",Tasks[[#This Row],[_Pred2Text]]&amp;"+"),FIND("-",Tasks[[#This Row],[_Pred2Text]]&amp;"-"))-1)),""))</f>
        <v/>
      </c>
      <c r="DA4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4" s="42">
        <f>IF(Tasks[[#This Row],[_Pred2Text]]="","",TRIM(MID(SUBSTITUTE(SUBSTITUTE(SUBSTITUTE(UPPER(Tasks[[#This Row],[_Predecessors]]),";",",")," ",""),",",REPT(" ",99)),199,99)))</f>
        <v/>
      </c>
      <c r="DD44" s="42">
        <f>IF(Tasks[[#This Row],[_Pred3Text]]="","",IFERROR(VALUE(LEFT(Tasks[[#This Row],[_Pred3Text]],MIN(FIND("F",Tasks[[#This Row],[_Pred3Text]]&amp;"F"),FIND("S",Tasks[[#This Row],[_Pred3Text]]&amp;"S"),FIND("+",Tasks[[#This Row],[_Pred3Text]]&amp;"+"),FIND("-",Tasks[[#This Row],[_Pred3Text]]&amp;"-"))-1)),""))</f>
        <v/>
      </c>
      <c r="DE4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4" s="42">
        <f>IF(Tasks[[#This Row],[_Pred3Text]]="","",TRIM(MID(SUBSTITUTE(SUBSTITUTE(SUBSTITUTE(UPPER(Tasks[[#This Row],[_Predecessors]]),";",",")," ",""),",",REPT(" ",99)),298,99)))</f>
        <v/>
      </c>
      <c r="DH44" s="42">
        <f>IF(Tasks[[#This Row],[_Pred4Text]]="","",IFERROR(VALUE(LEFT(Tasks[[#This Row],[_Pred4Text]],MIN(FIND("F",Tasks[[#This Row],[_Pred4Text]]&amp;"F"),FIND("S",Tasks[[#This Row],[_Pred4Text]]&amp;"S"),FIND("+",Tasks[[#This Row],[_Pred4Text]]&amp;"+"),FIND("-",Tasks[[#This Row],[_Pred4Text]]&amp;"-"))-1)),""))</f>
        <v/>
      </c>
      <c r="DI4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4" s="42">
        <f>IF(OR(Tasks[[#This Row],[Task Name]]="",Tasks[[#This Row],[_Resources]]=""),"",TRIM(MID(SUBSTITUTE(Tasks[[#This Row],[_Resources]],",",REPT(" ",99)),1,99)))</f>
        <v/>
      </c>
      <c r="DL44" s="42">
        <f>IF(Tasks[[#This Row],[_Res1Text]]="","",TRIM(MID(SUBSTITUTE(Tasks[[#This Row],[_Resources]],",",REPT(" ",99)),100,99)))</f>
        <v/>
      </c>
      <c r="DM44" s="42">
        <f>IF(Tasks[[#This Row],[_Res2Text]]="","",TRIM(MID(SUBSTITUTE(Tasks[[#This Row],[_Resources]],",",REPT(" ",99)),199,99)))</f>
        <v/>
      </c>
      <c r="DN44" s="42">
        <f>IF(Tasks[[#This Row],[_Res3Text]]="","",TRIM(MID(SUBSTITUTE(Tasks[[#This Row],[_Resources]],",",REPT(" ",99)),298,99)))</f>
        <v/>
      </c>
      <c r="DO44" s="42">
        <f>IF(Tasks[[#This Row],[_Res1Text]]="",0,IFERROR(MATCH(TRIM(LEFT(Tasks[[#This Row],[_Res1Text]],FIND("[",Tasks[[#This Row],[_Res1Text]]&amp;"[")-1)),res_Name,0),IFERROR(MATCH(TRIM(LEFT(Tasks[[#This Row],[_Res1Text]],FIND("[",Tasks[[#This Row],[_Res1Text]]&amp;"[")-1)),res_Initials,0),0)))</f>
        <v/>
      </c>
      <c r="DP44" s="42">
        <f>IF(Tasks[[#This Row],[_Res2Text]]="",0,IFERROR(MATCH(TRIM(LEFT(Tasks[[#This Row],[_Res2Text]],FIND("[",Tasks[[#This Row],[_Res2Text]]&amp;"[")-1)),res_Name,0),IFERROR(MATCH(TRIM(LEFT(Tasks[[#This Row],[_Res2Text]],FIND("[",Tasks[[#This Row],[_Res2Text]]&amp;"[")-1)),res_Initials,0),0)))</f>
        <v/>
      </c>
      <c r="DQ44" s="42">
        <f>IF(Tasks[[#This Row],[_Res3Text]]="",0,IFERROR(MATCH(TRIM(LEFT(Tasks[[#This Row],[_Res3Text]],FIND("[",Tasks[[#This Row],[_Res3Text]]&amp;"[")-1)),res_Name,0),IFERROR(MATCH(TRIM(LEFT(Tasks[[#This Row],[_Res3Text]],FIND("[",Tasks[[#This Row],[_Res3Text]]&amp;"[")-1)),res_Initials,0),0)))</f>
        <v/>
      </c>
      <c r="DR44" s="42">
        <f>IF(Tasks[[#This Row],[_Res4Text]]="",0,IFERROR(MATCH(TRIM(LEFT(Tasks[[#This Row],[_Res4Text]],FIND("[",Tasks[[#This Row],[_Res4Text]]&amp;"[")-1)),res_Name,0),IFERROR(MATCH(TRIM(LEFT(Tasks[[#This Row],[_Res4Text]],FIND("[",Tasks[[#This Row],[_Res4Text]]&amp;"[")-1)),res_Initials,0),0)))</f>
        <v/>
      </c>
      <c r="DS44" s="42">
        <f>IF(Tasks[[#This Row],[_Res1Text]]="","",IF(Tasks[[#This Row],[_Res1Row]]&gt;0,INDEX(res_Name,Tasks[[#This Row],[_Res1Row]]),TRIM(LEFT(Tasks[[#This Row],[_Res1Text]],FIND("[",Tasks[[#This Row],[_Res1Text]]&amp;"[")-1))))</f>
        <v/>
      </c>
      <c r="DT4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4" s="42">
        <f>IF(NOT(Tasks[[#This Row],[_IsLeaf]]=1),0,(Tasks[[#This Row],[_Resource1]]&lt;&gt;"")+(Tasks[[#This Row],[_Res2]]&lt;&gt;"")+(Tasks[[#This Row],[_Res3]]&lt;&gt;"")+(Tasks[[#This Row],[_Res4]]&lt;&gt;""))</f>
        <v/>
      </c>
      <c r="DV44" s="42">
        <f>IF(Tasks[[#This Row],[_Res2Text]]="","",IF(Tasks[[#This Row],[_Res2Row]]&gt;0,INDEX(res_Name,Tasks[[#This Row],[_Res2Row]]),TRIM(LEFT(Tasks[[#This Row],[_Res2Text]],FIND("[",Tasks[[#This Row],[_Res2Text]]&amp;"[")-1))))</f>
        <v/>
      </c>
      <c r="DW4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4" s="42">
        <f>IF(OR(NOT(Tasks[[#This Row],[_IsLeaf]]=1),Tasks[[#This Row],[_Res2Row]]=0),0,N(Tasks[[#This Row],[_Days]])*HoursPerDay*IF(Tasks[[#This Row],[_Res2Units]]="",DefaultUnits,Tasks[[#This Row],[_Res2Units]]))</f>
        <v/>
      </c>
      <c r="DY44" s="42">
        <f>IF(AND(AND(Tasks[[#This Row],[_IsLeaf]]=1,Tasks[[#This Row],[_LeafTotalWork]]&gt;0),Tasks[[#This Row],[_Res2Work]]&gt;0),Tasks[[#This Row],[_Res2Work]]/(Tasks[[#This Row],[_FinishWorkday]]-Tasks[[#This Row],[_StartWorkday]]+1),0)</f>
        <v/>
      </c>
      <c r="DZ44" s="42">
        <f>Tasks[[#This Row],[_Res2WorkPerWD]]*MAX(0,Tasks[[#This Row],[_StartWorkday]]-1)</f>
        <v/>
      </c>
      <c r="EA44" s="42">
        <f>Tasks[[#This Row],[_Res2Work]]*Tasks[[#This Row],[_LeafProgress]]</f>
        <v/>
      </c>
      <c r="EB44" s="42">
        <f>IF(Tasks[[#This Row],[_Res3Text]]="","",IF(Tasks[[#This Row],[_Res3Row]]&gt;0,INDEX(res_Name,Tasks[[#This Row],[_Res3Row]]),TRIM(LEFT(Tasks[[#This Row],[_Res3Text]],FIND("[",Tasks[[#This Row],[_Res3Text]]&amp;"[")-1))))</f>
        <v/>
      </c>
      <c r="EC4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4" s="42">
        <f>IF(OR(NOT(Tasks[[#This Row],[_IsLeaf]]=1),Tasks[[#This Row],[_Res3Row]]=0),0,N(Tasks[[#This Row],[_Days]])*HoursPerDay*IF(Tasks[[#This Row],[_Res3Units]]="",DefaultUnits,Tasks[[#This Row],[_Res3Units]]))</f>
        <v/>
      </c>
      <c r="EE44" s="42">
        <f>IF(AND(AND(Tasks[[#This Row],[_IsLeaf]]=1,Tasks[[#This Row],[_LeafTotalWork]]&gt;0),Tasks[[#This Row],[_Res3Work]]&gt;0),Tasks[[#This Row],[_Res3Work]]/(Tasks[[#This Row],[_FinishWorkday]]-Tasks[[#This Row],[_StartWorkday]]+1),0)</f>
        <v/>
      </c>
      <c r="EF44" s="42">
        <f>Tasks[[#This Row],[_Res3WorkPerWD]]*MAX(0,Tasks[[#This Row],[_StartWorkday]]-1)</f>
        <v/>
      </c>
      <c r="EG44" s="42">
        <f>Tasks[[#This Row],[_Res3Work]]*Tasks[[#This Row],[_LeafProgress]]</f>
        <v/>
      </c>
      <c r="EH44" s="42">
        <f>IF(Tasks[[#This Row],[_Res4Text]]="","",IF(Tasks[[#This Row],[_Res4Row]]&gt;0,INDEX(res_Name,Tasks[[#This Row],[_Res4Row]]),TRIM(LEFT(Tasks[[#This Row],[_Res4Text]],FIND("[",Tasks[[#This Row],[_Res4Text]]&amp;"[")-1))))</f>
        <v/>
      </c>
      <c r="EI4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4" s="42">
        <f>IF(OR(NOT(Tasks[[#This Row],[_IsLeaf]]=1),Tasks[[#This Row],[_Res4Row]]=0),0,N(Tasks[[#This Row],[_Days]])*HoursPerDay*IF(Tasks[[#This Row],[_Res4Units]]="",DefaultUnits,Tasks[[#This Row],[_Res4Units]]))</f>
        <v/>
      </c>
      <c r="EK44" s="42">
        <f>IF(AND(AND(Tasks[[#This Row],[_IsLeaf]]=1,Tasks[[#This Row],[_LeafTotalWork]]&gt;0),Tasks[[#This Row],[_Res4Work]]&gt;0),Tasks[[#This Row],[_Res4Work]]/(Tasks[[#This Row],[_FinishWorkday]]-Tasks[[#This Row],[_StartWorkday]]+1),0)</f>
        <v/>
      </c>
      <c r="EL44" s="42">
        <f>Tasks[[#This Row],[_Res4WorkPerWD]]*MAX(0,Tasks[[#This Row],[_StartWorkday]]-1)</f>
        <v/>
      </c>
      <c r="EM44" s="42">
        <f>Tasks[[#This Row],[_Res4Work]]*Tasks[[#This Row],[_LeafProgress]]</f>
        <v/>
      </c>
      <c r="EN44" s="42">
        <f>IF(ISNUMBER(Tasks[[#This Row],[% Complete]]),Tasks[[#This Row],[% Complete]],IF(Tasks[[#This Row],[Stage]]="",0,IFERROR(INDEX(stg_Pct,MATCH(Tasks[[#This Row],[Stage]],stg_Name,0)),0)))</f>
        <v/>
      </c>
      <c r="EO44" s="42">
        <f>IF(NOT(Tasks[[#This Row],[_IsLeaf]]=1),0,IF(N(Tasks[[#This Row],[Actual Finish]])&gt;0,1,MIN(1,Tasks[[#This Row],[_Pct]])))</f>
        <v/>
      </c>
      <c r="EP44" s="42">
        <f>IF(OR(NOT(Tasks[[#This Row],[_IsLeaf]]=1),Tasks[[#This Row],[_Res1Row]]=0),0,N(Tasks[[#This Row],[_Days]])*HoursPerDay*IF(Tasks[[#This Row],[_Units1]]="",DefaultUnits,Tasks[[#This Row],[_Units1]]))</f>
        <v/>
      </c>
      <c r="EQ44" s="42">
        <f>Tasks[[#This Row],[_LeafWork]]+Tasks[[#This Row],[_Res2Work]]+Tasks[[#This Row],[_Res3Work]]+Tasks[[#This Row],[_Res4Work]]</f>
        <v/>
      </c>
      <c r="ER4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4" s="42">
        <f>IF(NOT(Tasks[[#This Row],[_IsLeaf]]=1),0,MAX(_xlfn.MAXIFS(Tasks[_Row],Tasks[_Pred1UID],Tasks[[#This Row],[UID]]),_xlfn.MAXIFS(Tasks[_Row],Tasks[_Pred2UID],Tasks[[#This Row],[UID]]),_xlfn.MAXIFS(Tasks[_Row],Tasks[_Pred3UID],Tasks[[#This Row],[UID]]),_xlfn.MAXIFS(Tasks[_Row],Tasks[_Pred4UID],Tasks[[#This Row],[UID]])))</f>
        <v/>
      </c>
      <c r="FA4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4" s="88">
        <f>IF(NOT(Tasks[[#This Row],[_IsLeaf]]=1),"",IF(N(Tasks[[#This Row],[_Days]])&lt;=0,Tasks[[#This Row],[_LeafLateFinish]],WORKDAY.INTL(Tasks[[#This Row],[_LeafLateFinish]],-(Tasks[[#This Row],[_Days]]-1),WorkWeek,Holidays)))</f>
        <v/>
      </c>
      <c r="FD4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4" s="42">
        <f>AND(Tasks[[#This Row],[_IsLeaf]]=1,Tasks[[#This Row],[_LeafProgress]]&lt;1,N(Tasks[[#This Row],[_LeafTotalSlack]])&lt;=CriticalSlackDays)</f>
        <v/>
      </c>
      <c r="FF44" s="42">
        <f>IF(AND(Tasks[[#This Row],[_IsLeaf]]=1,Tasks[[#This Row],[_ConstraintCode]]=1,Tasks[[#This Row],[Mode]]&lt;&gt;"Manual",N(Tasks[[#This Row],[Actual Start]])=0),MAX(0,N(Tasks[[#This Row],[Free Slack]])),0)</f>
        <v/>
      </c>
      <c r="FG44" s="88">
        <f>IF(NOT(Tasks[[#This Row],[_IsLeaf]]=1),"",IF(Tasks[[#This Row],[_AlapShift]]=0,Tasks[[#This Row],[_LeafCalcStart]],WORKDAY.INTL(Tasks[[#This Row],[_LeafCalcStart]],Tasks[[#This Row],[_AlapShift]],WorkWeek,Holidays)))</f>
        <v/>
      </c>
      <c r="FH44" s="88">
        <f>IF(NOT(Tasks[[#This Row],[_IsLeaf]]=1),"",IF(Tasks[[#This Row],[_AlapShift]]=0,Tasks[[#This Row],[_LeafCalcFinish]],WORKDAY.INTL(Tasks[[#This Row],[_LeafCalcFinish]],Tasks[[#This Row],[_AlapShift]],WorkWeek,Holidays)))</f>
        <v/>
      </c>
      <c r="FI44" s="88">
        <f>IF(NOT(Tasks[[#This Row],[_IsLeaf]]=1),"",IF(Tasks[[#This Row],[_AlapShift]]=0,Tasks[[#This Row],[_LeafFcstStart]],WORKDAY.INTL(Tasks[[#This Row],[_LeafFcstStart]],Tasks[[#This Row],[_AlapShift]],WorkWeek,Holidays)))</f>
        <v/>
      </c>
      <c r="FJ44" s="88">
        <f>IF(NOT(Tasks[[#This Row],[_IsLeaf]]=1),"",IF(Tasks[[#This Row],[_AlapShift]]=0,Tasks[[#This Row],[_LeafFcstFinish]],WORKDAY.INTL(Tasks[[#This Row],[_LeafFcstFinish]],Tasks[[#This Row],[_AlapShift]],WorkWeek,Holidays)))</f>
        <v/>
      </c>
      <c r="FK44" s="88">
        <f>IF(Tasks[[#This Row],[Task Name]]="","",IF(Tasks[[#This Row],[_IsSummary]],MIN(INDEX(Tasks[_ShownCalcStart],Tasks[[#This Row],[_Row]]+1):INDEX(Tasks[_ShownCalcStart],Tasks[[#This Row],[_Row]]+Tasks[[#This Row],[_Descendants]])),Tasks[[#This Row],[_ShownCalcStart]]))</f>
        <v/>
      </c>
      <c r="FL44" s="88">
        <f>IF(Tasks[[#This Row],[Task Name]]="","",IF(Tasks[[#This Row],[_IsSummary]],MAX(INDEX(Tasks[_ShownCalcFinish],Tasks[[#This Row],[_Row]]+1):INDEX(Tasks[_ShownCalcFinish],Tasks[[#This Row],[_Row]]+Tasks[[#This Row],[_Descendants]])),Tasks[[#This Row],[_ShownCalcFinish]]))</f>
        <v/>
      </c>
      <c r="FM4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4" s="42">
        <f>IF(AND(Tasks[[#This Row],[_IsLeaf]]=1,Tasks[[#This Row],[_LeafTotalWork]]&gt;0),NETWORKDAYS.INTL(ProjectStart,Tasks[[#This Row],[_ShownFcstStart]],WorkWeek,Holidays),0)</f>
        <v/>
      </c>
      <c r="FZ44" s="42">
        <f>IF(AND(Tasks[[#This Row],[_IsLeaf]]=1,Tasks[[#This Row],[_LeafTotalWork]]&gt;0),MAX(Tasks[[#This Row],[_StartWorkday]],NETWORKDAYS.INTL(ProjectStart,Tasks[[#This Row],[_ShownFcstFinish]],WorkWeek,Holidays)),0)</f>
        <v/>
      </c>
      <c r="GA44" s="42">
        <f>IF(AND(Tasks[[#This Row],[_IsLeaf]]=1,Tasks[[#This Row],[_LeafTotalWork]]&gt;0),Tasks[[#This Row],[_LeafWork]]/(Tasks[[#This Row],[_FinishWorkday]]-Tasks[[#This Row],[_StartWorkday]]+1),0)</f>
        <v/>
      </c>
      <c r="GB44" s="42">
        <f>Tasks[[#This Row],[_WorkPerWorkday]]*(Tasks[[#This Row],[_StartWorkday]]-1)</f>
        <v/>
      </c>
      <c r="GC44" s="42">
        <f>IF(Tasks[[#This Row],[_IsLeaf]]=1,MAX(N(Tasks[[#This Row],[_Days]]),0.1),0)</f>
        <v/>
      </c>
      <c r="GD44" s="42">
        <f>Tasks[[#This Row],[_WeightDur]]*Tasks[[#This Row],[_LeafProgress]]</f>
        <v/>
      </c>
      <c r="GE44" s="42">
        <f>Tasks[[#This Row],[_WeightDur]]*Tasks[[#This Row],[_PlannedPct]]</f>
        <v/>
      </c>
      <c r="GF4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4" s="42">
        <f>IF(AND(Tasks[[#This Row],[_IsLeaf]]=1,N(Tasks[[#This Row],[_Days]])=0,Tasks[[#This Row],[_LeafProgress]]&lt;1),Tasks[[#This Row],[_ShownFcstFinish]]+Tasks[[#This Row],[_Row]]/100000,"")</f>
        <v/>
      </c>
      <c r="GH4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4" s="42">
        <f>IF(Tasks[[#This Row],[Task Name]]="","",LEFT(Tasks[[#This Row],[WBS]],FIND(".",Tasks[[#This Row],[WBS]]&amp;".")-1))</f>
        <v/>
      </c>
      <c r="GJ44" s="42">
        <f>IF(AND(Tasks[[#This Row],[Task Name]]&lt;&gt;"",Tasks[[#This Row],[_Level]]=1),Tasks[[#This Row],[_Row]],"")</f>
        <v/>
      </c>
      <c r="GK44" s="42">
        <f>IF(AND(Tasks[[#This Row],[_IsLeaf]]=1,N(Tasks[[#This Row],[_Days]])=0),Tasks[[#This Row],[Planned Finish]]+Tasks[[#This Row],[_Row]]/100000,"")</f>
        <v/>
      </c>
      <c r="GL44" s="42">
        <f>IF(AND(Tasks[[#This Row],[_IsLeaf]]=1,Tasks[[#This Row],[_LeafProgress]]&lt;1,OR(N(Tasks[[#This Row],[Finish Var]])&gt;0,Tasks[[#This Row],[Status]]="Late Start")),MAX(0,Tasks[[#This Row],[Finish Var]])+1-Tasks[[#This Row],[_Row]]/1000000,"")</f>
        <v/>
      </c>
      <c r="GM44" s="42">
        <f>IF(AND(Tasks[[#This Row],[_IsLeaf]]=1,N(Tasks[[#This Row],[Actual Start]])=0,Tasks[[#This Row],[_ShownFcstStart]]&gt;=StatusDate,Tasks[[#This Row],[_ShownFcstStart]]&lt;=LookaheadEnd),Tasks[[#This Row],[_ShownFcstStart]]+Tasks[[#This Row],[_Row]]/100000,"")</f>
        <v/>
      </c>
      <c r="GN44" s="42">
        <f>IF(AND(Tasks[[#This Row],[_IsLeaf]]=1,Tasks[[#This Row],[_LeafProgress]]&lt;1,Tasks[[#This Row],[_ShownFcstFinish]]&gt;=StatusDate,Tasks[[#This Row],[_ShownFcstFinish]]&lt;=LookaheadEnd),Tasks[[#This Row],[_ShownFcstFinish]]+Tasks[[#This Row],[_Row]]/100000,"")</f>
        <v/>
      </c>
      <c r="GO44" s="42">
        <f>IF(Tasks[[#This Row],[_LeafCritical]],Tasks[[#This Row],[_ShownFcstStart]]+Tasks[[#This Row],[_Row]]/100000,"")</f>
        <v/>
      </c>
      <c r="GP44" s="42">
        <f>Tasks[[#This Row],[_LeafWork]]*Tasks[[#This Row],[_LeafProgress]]</f>
        <v/>
      </c>
      <c r="GQ44" s="88">
        <f>IF(AND(Tasks[[#This Row],[_IsLeaf]]=1,Tasks[[#This Row],[_LeafProgress]]&gt;=1),IF(N(Tasks[[#This Row],[Actual Finish]])&gt;0,Tasks[[#This Row],[Actual Finish]],Tasks[[#This Row],[_ShownFcstFinish]]),"")</f>
        <v/>
      </c>
      <c r="GR44" s="42">
        <f>IF(Tasks[[#This Row],[_IsLeaf]]=1,N(Tasks[[#This Row],[Story Points]]),0)</f>
        <v/>
      </c>
      <c r="GS44" s="42">
        <f>""</f>
        <v/>
      </c>
      <c r="GT44" s="42">
        <f>IF(Tasks[[#This Row],[Task Name]]="",FALSE(),AND(Tasks[[#This Row],[_IsLeaf]]=1,N(Tasks[[#This Row],[_Days]])=0))</f>
        <v/>
      </c>
      <c r="GU44" s="88">
        <f>IF(Tasks[[#This Row],[Task Name]]="",0,IF(AND(Tasks[[#This Row],[_IsLeaf]]=1,NOT(Tasks[[#This Row],[_IsMilestone]]),N(Tasks[[#This Row],[Progress]])&gt;0),Tasks[[#This Row],[Start]],0))</f>
        <v/>
      </c>
      <c r="GV44" s="88">
        <f>IF(Tasks[[#This Row],[_DoneFrom]]=0,0,IF(Tasks[[#This Row],[Progress]]&gt;=1,Tasks[[#This Row],[Finish]],MAX(Tasks[[#This Row],[_DoneFrom]],Tasks[[#This Row],[Start]]+ROUND((Tasks[[#This Row],[Finish]]-Tasks[[#This Row],[Start]]+1)*Tasks[[#This Row],[Progress]],0)-1)))</f>
        <v/>
      </c>
      <c r="GW44" s="88">
        <f>IF(Tasks[[#This Row],[Task Name]]="",0,IF(OR(NOT(Tasks[[#This Row],[_IsLeaf]]=1),Tasks[[#This Row],[_IsMilestone]],N(Tasks[[#This Row],[Progress]])&gt;=1),0,IF(Tasks[[#This Row],[_DoneTo]]&gt;0,Tasks[[#This Row],[_DoneTo]]+1,Tasks[[#This Row],[Start]])))</f>
        <v/>
      </c>
      <c r="GX44" s="88">
        <f>IF(Tasks[[#This Row],[_RemFrom]]=0,0,Tasks[[#This Row],[Finish]])</f>
        <v/>
      </c>
      <c r="GY44" s="42">
        <f>IF(Tasks[[#This Row],[Task Name]]="",FALSE(),OR(NOT(BaselineSet),N(Tasks[[#This Row],[Baseline Start]])&gt;0))</f>
        <v/>
      </c>
      <c r="GZ44" s="42">
        <f>IF(AND(Sandbox="Yes",L_PARSE_DURATION(Tasks[[#This Row],[Sandbox Duration]])&lt;&gt;""),L_PARSE_DURATION(Tasks[[#This Row],[Sandbox Duration]]),L_PARSE_DURATION(Tasks[[#This Row],[Duration]]))</f>
        <v/>
      </c>
      <c r="HA4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4" s="42">
        <f>IF(Tasks[[#This Row],[_IsLeaf]]=1,Tasks[[#This Row],[_Row]],"")</f>
        <v/>
      </c>
      <c r="HD44" s="42">
        <f>IFERROR(INDEX(Tasks[UID],SMALL(Tasks[_PickKey],Tasks[[#This Row],[_Row]]))&amp;" "&amp;INDEX(Tasks[Task Name],SMALL(Tasks[_PickKey],Tasks[[#This Row],[_Row]])),"")</f>
        <v/>
      </c>
      <c r="HE44" s="42">
        <f>IF(Tasks[[#This Row],[Task Name]]="","",IF(Tasks[[#This Row],[_IsSummary]],NETWORKDAYS.INTL(Tasks[[#This Row],[Start]],Tasks[[#This Row],[Finish]],WorkWeek,Holidays),N(Tasks[[#This Row],[_Days]])))</f>
        <v/>
      </c>
      <c r="HF44" s="42">
        <f>IF(Tasks[[#This Row],[Expected]]="",0,((Tasks[[#This Row],[Pessimistic]]-Tasks[[#This Row],[Optimistic]])/6)^2)</f>
        <v/>
      </c>
      <c r="HG44" s="42">
        <f>IF(Tasks[[#This Row],[Expected]]="",0,Tasks[[#This Row],[Expected]]-N(Tasks[[#This Row],[_Days]]))</f>
        <v/>
      </c>
    </row>
    <row r="45">
      <c r="A45" s="21">
        <f>IF(Tasks[[#This Row],[Task Name]]="","",COUNTA(Tasks[[#Headers],[Task Name]]:Tasks[[#This Row],[Task Name]])-1)</f>
        <v/>
      </c>
      <c r="B45" s="22" t="n">
        <v>53</v>
      </c>
      <c r="C45" s="22" t="n"/>
      <c r="D45" s="23" t="n"/>
      <c r="E45" s="22" t="n"/>
      <c r="F45" s="23" t="n"/>
      <c r="G45" s="22" t="n"/>
      <c r="H45" s="22" t="n"/>
      <c r="I45" s="23" t="n"/>
      <c r="J45" s="22" t="n"/>
      <c r="K45" s="22" t="n"/>
      <c r="L45" s="23" t="n"/>
      <c r="M45" s="22" t="n"/>
      <c r="N45" s="22" t="n"/>
      <c r="O45" s="23" t="n"/>
      <c r="P45" s="22" t="n"/>
      <c r="Q45" s="22" t="n"/>
      <c r="R45" s="23" t="n"/>
      <c r="S45" s="23" t="n"/>
      <c r="T45" s="82" t="n"/>
      <c r="U45" s="23" t="n"/>
      <c r="V45" s="82" t="n"/>
      <c r="W45" s="23" t="n"/>
      <c r="X45" s="82" t="n"/>
      <c r="Y45" s="23" t="n"/>
      <c r="Z45" s="82" t="n"/>
      <c r="AA45" s="23" t="n"/>
      <c r="AB45" s="23" t="n"/>
      <c r="AC45" s="7" t="n"/>
      <c r="AD45" s="7" t="n"/>
      <c r="AE45" s="61">
        <f>IF(Tasks[[#This Row],[Task Name]]="","",IF(Tasks[[#This Row],[_IsSummary]],MIN(INDEX(Tasks[_ShownFcstStart],Tasks[[#This Row],[_Row]]+1):INDEX(Tasks[_ShownFcstStart],Tasks[[#This Row],[_Row]]+Tasks[[#This Row],[_Descendants]])),Tasks[[#This Row],[_ShownFcstStart]]))</f>
        <v/>
      </c>
      <c r="AF45" s="61">
        <f>IF(Tasks[[#This Row],[Task Name]]="","",IF(Tasks[[#This Row],[_IsSummary]],MAX(INDEX(Tasks[_ShownFcstFinish],Tasks[[#This Row],[_Row]]+1):INDEX(Tasks[_ShownFcstFinish],Tasks[[#This Row],[_Row]]+Tasks[[#This Row],[_Descendants]])),Tasks[[#This Row],[_ShownFcstFinish]]))</f>
        <v/>
      </c>
      <c r="AG45" s="21">
        <f>""</f>
        <v/>
      </c>
      <c r="AH45" s="23" t="n"/>
      <c r="AI4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5" s="7" t="n"/>
      <c r="AK45" s="22" t="n"/>
      <c r="AL45" s="23" t="n"/>
      <c r="AM45" s="7" t="n"/>
      <c r="AN45" s="21">
        <f>IF(Tasks[[#This Row],[Task Name]]="","",IF(Tasks[[#This Row],[Finish]]&gt;=Tasks[[#This Row],[Planned Finish]],NETWORKDAYS.INTL(Tasks[[#This Row],[Planned Finish]],Tasks[[#This Row],[Finish]],WorkWeek,Holidays)-1,1-NETWORKDAYS.INTL(Tasks[[#This Row],[Finish]],Tasks[[#This Row],[Planned Finish]],WorkWeek,Holidays)))</f>
        <v/>
      </c>
      <c r="AO45" s="21">
        <f>IF(Tasks[[#This Row],[Task Name]]="","",IF(Tasks[[#This Row],[Progress]]&gt;=1,"Complete",IF(OR(N(Tasks[[#This Row],[Actual Start]])&gt;0,Tasks[[#This Row],[Progress]]&gt;0),IF(Tasks[[#This Row],[Finish Var]]&gt;0,"Behind","In Progress"),IF(Tasks[[#This Row],[Planned Start]]&lt;StatusDate,"Late Start","Not Started"))))</f>
        <v/>
      </c>
      <c r="AP45" s="21">
        <f>IF(Tasks[[#This Row],[Task Name]]="","",IF(IF(Tasks[[#This Row],[_IsSummary]],COUNTIF(INDEX(Tasks[_LeafCritical],Tasks[[#This Row],[_Row]]+1):INDEX(Tasks[_LeafCritical],Tasks[[#This Row],[_Row]]+Tasks[[#This Row],[_Descendants]]),TRUE())&gt;0,Tasks[[#This Row],[_LeafCritical]]),"Yes",""))</f>
        <v/>
      </c>
      <c r="AQ45" s="61">
        <f>IF(Tasks[[#This Row],[Task Name]]="","",IF(N(Tasks[[#This Row],[Baseline Start]])&gt;0,Tasks[[#This Row],[Baseline Start]],Tasks[[#This Row],[_CalcStart]]))</f>
        <v/>
      </c>
      <c r="AR45" s="61">
        <f>IF(Tasks[[#This Row],[Task Name]]="","",IF(N(Tasks[[#This Row],[Baseline Finish]])&gt;0,Tasks[[#This Row],[Baseline Finish]],Tasks[[#This Row],[_CalcFinish]]))</f>
        <v/>
      </c>
      <c r="AS45" s="21">
        <f>IF(Tasks[[#This Row],[Task Name]]="","",IF(Tasks[[#This Row],[Start]]&gt;=Tasks[[#This Row],[Planned Start]],NETWORKDAYS.INTL(Tasks[[#This Row],[Planned Start]],Tasks[[#This Row],[Start]],WorkWeek,Holidays)-1,1-NETWORKDAYS.INTL(Tasks[[#This Row],[Start]],Tasks[[#This Row],[Planned Start]],WorkWeek,Holidays)))</f>
        <v/>
      </c>
      <c r="AT45" s="61">
        <f>IF(Tasks[[#This Row],[Task Name]]="","",IF(Tasks[[#This Row],[_IsSummary]],MIN(INDEX(Tasks[_LeafLateStart],Tasks[[#This Row],[_Row]]+1):INDEX(Tasks[_LeafLateStart],Tasks[[#This Row],[_Row]]+Tasks[[#This Row],[_Descendants]])),Tasks[[#This Row],[_LeafLateStart]]))</f>
        <v/>
      </c>
      <c r="AU45" s="61">
        <f>IF(Tasks[[#This Row],[Task Name]]="","",IF(Tasks[[#This Row],[_IsSummary]],MAX(INDEX(Tasks[_LeafLateFinish],Tasks[[#This Row],[_Row]]+1):INDEX(Tasks[_LeafLateFinish],Tasks[[#This Row],[_Row]]+Tasks[[#This Row],[_Descendants]])),Tasks[[#This Row],[_LeafLateFinish]]))</f>
        <v/>
      </c>
      <c r="AV45" s="21">
        <f>IF(Tasks[[#This Row],[Task Name]]="","",IF(Tasks[[#This Row],[_IsSummary]],MIN(INDEX(Tasks[_LeafTotalSlack],Tasks[[#This Row],[_Row]]+1):INDEX(Tasks[_LeafTotalSlack],Tasks[[#This Row],[_Row]]+Tasks[[#This Row],[_Descendants]])),Tasks[[#This Row],[_LeafTotalSlack]]))</f>
        <v/>
      </c>
      <c r="AW4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3" t="n"/>
      <c r="BA4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f>IF(Tasks[[#This Row],[Task Name]]="","",IF(Tasks[[#This Row],[_Level]]&lt;=OutlineShowLevel,"Yes","No"))</f>
        <v/>
      </c>
      <c r="BE45" s="84">
        <f>IF(Tasks[[#This Row],[Task Name]]="","",IF(Tasks[[#This Row],[_IsSummary]],SUM(INDEX(Tasks[_LeafTotalWork],Tasks[[#This Row],[_Row]]+1):INDEX(Tasks[_LeafTotalWork],Tasks[[#This Row],[_Row]]+Tasks[[#This Row],[_Descendants]])),Tasks[[#This Row],[_LeafTotalWork]]))</f>
        <v/>
      </c>
      <c r="BF45" s="23" t="n"/>
      <c r="BG4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f>""</f>
        <v/>
      </c>
      <c r="BI45" s="85" t="n"/>
      <c r="BJ45" s="22" t="n"/>
      <c r="BK45" s="21">
        <f>IF(OR(Tasks[[#This Row],[Task Name]]="",Tasks[[#This Row],[Baseline Duration]]=""),"",Tasks[[#This Row],[_SpanDays]]-N(Tasks[[#This Row],[Baseline Duration]]))</f>
        <v/>
      </c>
      <c r="BL45" s="84">
        <f>IF(OR(Tasks[[#This Row],[Task Name]]="",Tasks[[#This Row],[Baseline Work]]=""),"",Tasks[[#This Row],[Work]]-N(Tasks[[#This Row],[Baseline Work]]))</f>
        <v/>
      </c>
      <c r="BM45" s="61">
        <f>IF(Tasks[[#This Row],[Task Name]]="","",IF(OR(TakeBaseline="Yes",N(Tasks[[#This Row],[Baseline Start]])=0),Tasks[[#This Row],[Start]],Tasks[[#This Row],[Baseline Start]]))</f>
        <v/>
      </c>
      <c r="BN45" s="61">
        <f>IF(Tasks[[#This Row],[Task Name]]="","",IF(OR(TakeBaseline="Yes",N(Tasks[[#This Row],[Baseline Finish]])=0),Tasks[[#This Row],[Finish]],Tasks[[#This Row],[Baseline Finish]]))</f>
        <v/>
      </c>
      <c r="BO45" s="21">
        <f>IF(Tasks[[#This Row],[Task Name]]="","",IF(OR(TakeBaseline="Yes",N(Tasks[[#This Row],[Baseline Duration]])=0),Tasks[[#This Row],[_SpanDays]],Tasks[[#This Row],[Baseline Duration]]))</f>
        <v/>
      </c>
      <c r="BP45" s="84">
        <f>IF(Tasks[[#This Row],[Task Name]]="","",IF(OR(TakeBaseline="Yes",N(Tasks[[#This Row],[Baseline Work]])=0),Tasks[[#This Row],[Work]],Tasks[[#This Row],[Baseline Work]]))</f>
        <v/>
      </c>
      <c r="BQ45" s="7" t="n"/>
      <c r="BR45" s="7" t="n"/>
      <c r="BS45" s="22" t="n"/>
      <c r="BT45" s="86" t="n"/>
      <c r="BU45" s="23" t="n"/>
      <c r="BV45" s="23" t="n"/>
      <c r="BW45" s="23" t="n"/>
      <c r="BX45" s="87">
        <f>IF(AND(Tasks[[#This Row],[_IsLeaf]]=1,ISNUMBER(Tasks[[#This Row],[Optimistic]]),ISNUMBER(Tasks[[#This Row],[Pessimistic]])),ROUND((Tasks[[#This Row],[Optimistic]]+4*N(Tasks[[#This Row],[_Days]])+Tasks[[#This Row],[Pessimistic]])/6,1),"")</f>
        <v/>
      </c>
      <c r="BY45" s="85" t="n"/>
      <c r="BZ45" s="85" t="n"/>
      <c r="CA45" s="22" t="n"/>
      <c r="CB45" s="42">
        <f>IF(Tasks[[#This Row],[Task Name]]="","",MAX(1,N(Tasks[[#This Row],[Level]])))</f>
        <v/>
      </c>
      <c r="CC45" s="42">
        <f>ROW()-ROW(Tasks[[#Headers],[ID]])</f>
        <v/>
      </c>
      <c r="CD45" s="42">
        <f>IF(OR(Tasks[[#This Row],[Task Name]]="",Tasks[[#This Row],[_Level]]&lt;=1),0,IFERROR(LOOKUP(2,1/(Tasks[[#Headers],[_Level]]:Tasks[[#This Row],[_Level]]=Tasks[[#This Row],[_Level]]-1),ROW(Tasks[[#Headers],[_Level]]:Tasks[[#This Row],[_Level]])),0))</f>
        <v/>
      </c>
      <c r="CE45" s="42">
        <f>IFERROR(N(INDEX(Tasks[_Level],Tasks[[#This Row],[_Row]]+1)),0)</f>
        <v/>
      </c>
      <c r="CF45" s="42">
        <f>AND(Tasks[[#This Row],[Task Name]]&lt;&gt;"",Tasks[[#This Row],[_NextLevel]]&gt;Tasks[[#This Row],[_Level]])</f>
        <v/>
      </c>
      <c r="CG45" s="42">
        <f>IF(Tasks[[#This Row],[_IsSummary]],COUNTIF(Tasks[WBS],Tasks[[#This Row],[WBS]]&amp;".*"),0)</f>
        <v/>
      </c>
      <c r="CH45" s="42">
        <f>IF(AND(Tasks[[#This Row],[Task Name]]&lt;&gt;"",NOT(Tasks[[#This Row],[_IsSummary]])),1,0)</f>
        <v/>
      </c>
      <c r="CI45" s="42">
        <f>IF(N(Tasks[[#This Row],[_Pred1UID]])=0,0,IFERROR(MATCH(Tasks[[#This Row],[_Pred1UID]],Tasks[UID],0),-1))</f>
        <v/>
      </c>
      <c r="CJ45" s="42">
        <f>IF(N(Tasks[[#This Row],[_Pred2UID]])=0,0,IFERROR(MATCH(Tasks[[#This Row],[_Pred2UID]],Tasks[UID],0),-1))</f>
        <v/>
      </c>
      <c r="CK45" s="42">
        <f>IF(N(Tasks[[#This Row],[_Pred3UID]])=0,0,IFERROR(MATCH(Tasks[[#This Row],[_Pred3UID]],Tasks[UID],0),-1))</f>
        <v/>
      </c>
      <c r="CL45" s="42">
        <f>IF(N(Tasks[[#This Row],[_Pred4UID]])=0,0,IFERROR(MATCH(Tasks[[#This Row],[_Pred4UID]],Tasks[UID],0),-1))</f>
        <v/>
      </c>
      <c r="CM4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5" s="88">
        <f>IF(N(Tasks[[#This Row],[Constraint Date]])=0,0,IF(AND(OR(Tasks[[#This Row],[_ConstraintCode]]=3,Tasks[[#This Row],[_ConstraintCode]]=6,Tasks[[#This Row],[_ConstraintCode]]=7),N(Tasks[[#This Row],[_Days]])&gt;1),WORKDAY.INTL(N(Tasks[[#This Row],[Constraint Date]]),-(N(Tasks[[#This Row],[_Days]])-1),WorkWeek,Holidays),N(Tasks[[#This Row],[Constraint Date]])))</f>
        <v/>
      </c>
      <c r="CO45" s="88">
        <f>IF(OR(Tasks[[#This Row],[_ConstraintCode]]=2,Tasks[[#This Row],[_ConstraintCode]]=3,Tasks[[#This Row],[_ConstraintCode]]=4,Tasks[[#This Row],[_ConstraintCode]]=6),Tasks[[#This Row],[_ConstraintStart]],0)</f>
        <v/>
      </c>
      <c r="CP45" s="88">
        <f>IF(OR(Tasks[[#This Row],[_ConstraintCode]]=2,Tasks[[#This Row],[_ConstraintCode]]=3,Tasks[[#This Row],[_ConstraintCode]]=5,Tasks[[#This Row],[_ConstraintCode]]=7),Tasks[[#This Row],[_ConstraintStart]],2958465)</f>
        <v/>
      </c>
      <c r="CQ4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5" s="88">
        <f>IF(NOT(Tasks[[#This Row],[_IsLeaf]]=1),"",IF(N(Tasks[[#This Row],[_Days]])&lt;=0,Tasks[[#This Row],[_LeafCalcStart]],WORKDAY.INTL(Tasks[[#This Row],[_LeafCalcStart]],Tasks[[#This Row],[_Days]]-1,WorkWeek,Holidays)))</f>
        <v/>
      </c>
      <c r="CS4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5" s="42">
        <f>IF(Tasks[[#This Row],[_Predecessors]]="","",TRIM(MID(SUBSTITUTE(SUBSTITUTE(SUBSTITUTE(UPPER(Tasks[[#This Row],[_Predecessors]]),";",",")," ",""),",",REPT(" ",99)),1,99)))</f>
        <v/>
      </c>
      <c r="CV45" s="42">
        <f>IF(Tasks[[#This Row],[_Pred1Text]]="","",IFERROR(VALUE(LEFT(Tasks[[#This Row],[_Pred1Text]],MIN(FIND("F",Tasks[[#This Row],[_Pred1Text]]&amp;"F"),FIND("S",Tasks[[#This Row],[_Pred1Text]]&amp;"S"),FIND("+",Tasks[[#This Row],[_Pred1Text]]&amp;"+"),FIND("-",Tasks[[#This Row],[_Pred1Text]]&amp;"-"))-1)),""))</f>
        <v/>
      </c>
      <c r="CW4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5" s="42">
        <f>IF(Tasks[[#This Row],[_Pred1Text]]="","",TRIM(MID(SUBSTITUTE(SUBSTITUTE(SUBSTITUTE(UPPER(Tasks[[#This Row],[_Predecessors]]),";",",")," ",""),",",REPT(" ",99)),100,99)))</f>
        <v/>
      </c>
      <c r="CZ45" s="42">
        <f>IF(Tasks[[#This Row],[_Pred2Text]]="","",IFERROR(VALUE(LEFT(Tasks[[#This Row],[_Pred2Text]],MIN(FIND("F",Tasks[[#This Row],[_Pred2Text]]&amp;"F"),FIND("S",Tasks[[#This Row],[_Pred2Text]]&amp;"S"),FIND("+",Tasks[[#This Row],[_Pred2Text]]&amp;"+"),FIND("-",Tasks[[#This Row],[_Pred2Text]]&amp;"-"))-1)),""))</f>
        <v/>
      </c>
      <c r="DA4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5" s="42">
        <f>IF(Tasks[[#This Row],[_Pred2Text]]="","",TRIM(MID(SUBSTITUTE(SUBSTITUTE(SUBSTITUTE(UPPER(Tasks[[#This Row],[_Predecessors]]),";",",")," ",""),",",REPT(" ",99)),199,99)))</f>
        <v/>
      </c>
      <c r="DD45" s="42">
        <f>IF(Tasks[[#This Row],[_Pred3Text]]="","",IFERROR(VALUE(LEFT(Tasks[[#This Row],[_Pred3Text]],MIN(FIND("F",Tasks[[#This Row],[_Pred3Text]]&amp;"F"),FIND("S",Tasks[[#This Row],[_Pred3Text]]&amp;"S"),FIND("+",Tasks[[#This Row],[_Pred3Text]]&amp;"+"),FIND("-",Tasks[[#This Row],[_Pred3Text]]&amp;"-"))-1)),""))</f>
        <v/>
      </c>
      <c r="DE4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5" s="42">
        <f>IF(Tasks[[#This Row],[_Pred3Text]]="","",TRIM(MID(SUBSTITUTE(SUBSTITUTE(SUBSTITUTE(UPPER(Tasks[[#This Row],[_Predecessors]]),";",",")," ",""),",",REPT(" ",99)),298,99)))</f>
        <v/>
      </c>
      <c r="DH45" s="42">
        <f>IF(Tasks[[#This Row],[_Pred4Text]]="","",IFERROR(VALUE(LEFT(Tasks[[#This Row],[_Pred4Text]],MIN(FIND("F",Tasks[[#This Row],[_Pred4Text]]&amp;"F"),FIND("S",Tasks[[#This Row],[_Pred4Text]]&amp;"S"),FIND("+",Tasks[[#This Row],[_Pred4Text]]&amp;"+"),FIND("-",Tasks[[#This Row],[_Pred4Text]]&amp;"-"))-1)),""))</f>
        <v/>
      </c>
      <c r="DI4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5" s="42">
        <f>IF(OR(Tasks[[#This Row],[Task Name]]="",Tasks[[#This Row],[_Resources]]=""),"",TRIM(MID(SUBSTITUTE(Tasks[[#This Row],[_Resources]],",",REPT(" ",99)),1,99)))</f>
        <v/>
      </c>
      <c r="DL45" s="42">
        <f>IF(Tasks[[#This Row],[_Res1Text]]="","",TRIM(MID(SUBSTITUTE(Tasks[[#This Row],[_Resources]],",",REPT(" ",99)),100,99)))</f>
        <v/>
      </c>
      <c r="DM45" s="42">
        <f>IF(Tasks[[#This Row],[_Res2Text]]="","",TRIM(MID(SUBSTITUTE(Tasks[[#This Row],[_Resources]],",",REPT(" ",99)),199,99)))</f>
        <v/>
      </c>
      <c r="DN45" s="42">
        <f>IF(Tasks[[#This Row],[_Res3Text]]="","",TRIM(MID(SUBSTITUTE(Tasks[[#This Row],[_Resources]],",",REPT(" ",99)),298,99)))</f>
        <v/>
      </c>
      <c r="DO45" s="42">
        <f>IF(Tasks[[#This Row],[_Res1Text]]="",0,IFERROR(MATCH(TRIM(LEFT(Tasks[[#This Row],[_Res1Text]],FIND("[",Tasks[[#This Row],[_Res1Text]]&amp;"[")-1)),res_Name,0),IFERROR(MATCH(TRIM(LEFT(Tasks[[#This Row],[_Res1Text]],FIND("[",Tasks[[#This Row],[_Res1Text]]&amp;"[")-1)),res_Initials,0),0)))</f>
        <v/>
      </c>
      <c r="DP45" s="42">
        <f>IF(Tasks[[#This Row],[_Res2Text]]="",0,IFERROR(MATCH(TRIM(LEFT(Tasks[[#This Row],[_Res2Text]],FIND("[",Tasks[[#This Row],[_Res2Text]]&amp;"[")-1)),res_Name,0),IFERROR(MATCH(TRIM(LEFT(Tasks[[#This Row],[_Res2Text]],FIND("[",Tasks[[#This Row],[_Res2Text]]&amp;"[")-1)),res_Initials,0),0)))</f>
        <v/>
      </c>
      <c r="DQ45" s="42">
        <f>IF(Tasks[[#This Row],[_Res3Text]]="",0,IFERROR(MATCH(TRIM(LEFT(Tasks[[#This Row],[_Res3Text]],FIND("[",Tasks[[#This Row],[_Res3Text]]&amp;"[")-1)),res_Name,0),IFERROR(MATCH(TRIM(LEFT(Tasks[[#This Row],[_Res3Text]],FIND("[",Tasks[[#This Row],[_Res3Text]]&amp;"[")-1)),res_Initials,0),0)))</f>
        <v/>
      </c>
      <c r="DR45" s="42">
        <f>IF(Tasks[[#This Row],[_Res4Text]]="",0,IFERROR(MATCH(TRIM(LEFT(Tasks[[#This Row],[_Res4Text]],FIND("[",Tasks[[#This Row],[_Res4Text]]&amp;"[")-1)),res_Name,0),IFERROR(MATCH(TRIM(LEFT(Tasks[[#This Row],[_Res4Text]],FIND("[",Tasks[[#This Row],[_Res4Text]]&amp;"[")-1)),res_Initials,0),0)))</f>
        <v/>
      </c>
      <c r="DS45" s="42">
        <f>IF(Tasks[[#This Row],[_Res1Text]]="","",IF(Tasks[[#This Row],[_Res1Row]]&gt;0,INDEX(res_Name,Tasks[[#This Row],[_Res1Row]]),TRIM(LEFT(Tasks[[#This Row],[_Res1Text]],FIND("[",Tasks[[#This Row],[_Res1Text]]&amp;"[")-1))))</f>
        <v/>
      </c>
      <c r="DT4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5" s="42">
        <f>IF(NOT(Tasks[[#This Row],[_IsLeaf]]=1),0,(Tasks[[#This Row],[_Resource1]]&lt;&gt;"")+(Tasks[[#This Row],[_Res2]]&lt;&gt;"")+(Tasks[[#This Row],[_Res3]]&lt;&gt;"")+(Tasks[[#This Row],[_Res4]]&lt;&gt;""))</f>
        <v/>
      </c>
      <c r="DV45" s="42">
        <f>IF(Tasks[[#This Row],[_Res2Text]]="","",IF(Tasks[[#This Row],[_Res2Row]]&gt;0,INDEX(res_Name,Tasks[[#This Row],[_Res2Row]]),TRIM(LEFT(Tasks[[#This Row],[_Res2Text]],FIND("[",Tasks[[#This Row],[_Res2Text]]&amp;"[")-1))))</f>
        <v/>
      </c>
      <c r="DW4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5" s="42">
        <f>IF(OR(NOT(Tasks[[#This Row],[_IsLeaf]]=1),Tasks[[#This Row],[_Res2Row]]=0),0,N(Tasks[[#This Row],[_Days]])*HoursPerDay*IF(Tasks[[#This Row],[_Res2Units]]="",DefaultUnits,Tasks[[#This Row],[_Res2Units]]))</f>
        <v/>
      </c>
      <c r="DY45" s="42">
        <f>IF(AND(AND(Tasks[[#This Row],[_IsLeaf]]=1,Tasks[[#This Row],[_LeafTotalWork]]&gt;0),Tasks[[#This Row],[_Res2Work]]&gt;0),Tasks[[#This Row],[_Res2Work]]/(Tasks[[#This Row],[_FinishWorkday]]-Tasks[[#This Row],[_StartWorkday]]+1),0)</f>
        <v/>
      </c>
      <c r="DZ45" s="42">
        <f>Tasks[[#This Row],[_Res2WorkPerWD]]*MAX(0,Tasks[[#This Row],[_StartWorkday]]-1)</f>
        <v/>
      </c>
      <c r="EA45" s="42">
        <f>Tasks[[#This Row],[_Res2Work]]*Tasks[[#This Row],[_LeafProgress]]</f>
        <v/>
      </c>
      <c r="EB45" s="42">
        <f>IF(Tasks[[#This Row],[_Res3Text]]="","",IF(Tasks[[#This Row],[_Res3Row]]&gt;0,INDEX(res_Name,Tasks[[#This Row],[_Res3Row]]),TRIM(LEFT(Tasks[[#This Row],[_Res3Text]],FIND("[",Tasks[[#This Row],[_Res3Text]]&amp;"[")-1))))</f>
        <v/>
      </c>
      <c r="EC4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5" s="42">
        <f>IF(OR(NOT(Tasks[[#This Row],[_IsLeaf]]=1),Tasks[[#This Row],[_Res3Row]]=0),0,N(Tasks[[#This Row],[_Days]])*HoursPerDay*IF(Tasks[[#This Row],[_Res3Units]]="",DefaultUnits,Tasks[[#This Row],[_Res3Units]]))</f>
        <v/>
      </c>
      <c r="EE45" s="42">
        <f>IF(AND(AND(Tasks[[#This Row],[_IsLeaf]]=1,Tasks[[#This Row],[_LeafTotalWork]]&gt;0),Tasks[[#This Row],[_Res3Work]]&gt;0),Tasks[[#This Row],[_Res3Work]]/(Tasks[[#This Row],[_FinishWorkday]]-Tasks[[#This Row],[_StartWorkday]]+1),0)</f>
        <v/>
      </c>
      <c r="EF45" s="42">
        <f>Tasks[[#This Row],[_Res3WorkPerWD]]*MAX(0,Tasks[[#This Row],[_StartWorkday]]-1)</f>
        <v/>
      </c>
      <c r="EG45" s="42">
        <f>Tasks[[#This Row],[_Res3Work]]*Tasks[[#This Row],[_LeafProgress]]</f>
        <v/>
      </c>
      <c r="EH45" s="42">
        <f>IF(Tasks[[#This Row],[_Res4Text]]="","",IF(Tasks[[#This Row],[_Res4Row]]&gt;0,INDEX(res_Name,Tasks[[#This Row],[_Res4Row]]),TRIM(LEFT(Tasks[[#This Row],[_Res4Text]],FIND("[",Tasks[[#This Row],[_Res4Text]]&amp;"[")-1))))</f>
        <v/>
      </c>
      <c r="EI4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5" s="42">
        <f>IF(OR(NOT(Tasks[[#This Row],[_IsLeaf]]=1),Tasks[[#This Row],[_Res4Row]]=0),0,N(Tasks[[#This Row],[_Days]])*HoursPerDay*IF(Tasks[[#This Row],[_Res4Units]]="",DefaultUnits,Tasks[[#This Row],[_Res4Units]]))</f>
        <v/>
      </c>
      <c r="EK45" s="42">
        <f>IF(AND(AND(Tasks[[#This Row],[_IsLeaf]]=1,Tasks[[#This Row],[_LeafTotalWork]]&gt;0),Tasks[[#This Row],[_Res4Work]]&gt;0),Tasks[[#This Row],[_Res4Work]]/(Tasks[[#This Row],[_FinishWorkday]]-Tasks[[#This Row],[_StartWorkday]]+1),0)</f>
        <v/>
      </c>
      <c r="EL45" s="42">
        <f>Tasks[[#This Row],[_Res4WorkPerWD]]*MAX(0,Tasks[[#This Row],[_StartWorkday]]-1)</f>
        <v/>
      </c>
      <c r="EM45" s="42">
        <f>Tasks[[#This Row],[_Res4Work]]*Tasks[[#This Row],[_LeafProgress]]</f>
        <v/>
      </c>
      <c r="EN45" s="42">
        <f>IF(ISNUMBER(Tasks[[#This Row],[% Complete]]),Tasks[[#This Row],[% Complete]],IF(Tasks[[#This Row],[Stage]]="",0,IFERROR(INDEX(stg_Pct,MATCH(Tasks[[#This Row],[Stage]],stg_Name,0)),0)))</f>
        <v/>
      </c>
      <c r="EO45" s="42">
        <f>IF(NOT(Tasks[[#This Row],[_IsLeaf]]=1),0,IF(N(Tasks[[#This Row],[Actual Finish]])&gt;0,1,MIN(1,Tasks[[#This Row],[_Pct]])))</f>
        <v/>
      </c>
      <c r="EP45" s="42">
        <f>IF(OR(NOT(Tasks[[#This Row],[_IsLeaf]]=1),Tasks[[#This Row],[_Res1Row]]=0),0,N(Tasks[[#This Row],[_Days]])*HoursPerDay*IF(Tasks[[#This Row],[_Units1]]="",DefaultUnits,Tasks[[#This Row],[_Units1]]))</f>
        <v/>
      </c>
      <c r="EQ45" s="42">
        <f>Tasks[[#This Row],[_LeafWork]]+Tasks[[#This Row],[_Res2Work]]+Tasks[[#This Row],[_Res3Work]]+Tasks[[#This Row],[_Res4Work]]</f>
        <v/>
      </c>
      <c r="ER4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5" s="42">
        <f>IF(NOT(Tasks[[#This Row],[_IsLeaf]]=1),0,MAX(_xlfn.MAXIFS(Tasks[_Row],Tasks[_Pred1UID],Tasks[[#This Row],[UID]]),_xlfn.MAXIFS(Tasks[_Row],Tasks[_Pred2UID],Tasks[[#This Row],[UID]]),_xlfn.MAXIFS(Tasks[_Row],Tasks[_Pred3UID],Tasks[[#This Row],[UID]]),_xlfn.MAXIFS(Tasks[_Row],Tasks[_Pred4UID],Tasks[[#This Row],[UID]])))</f>
        <v/>
      </c>
      <c r="FA4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5" s="88">
        <f>IF(NOT(Tasks[[#This Row],[_IsLeaf]]=1),"",IF(N(Tasks[[#This Row],[_Days]])&lt;=0,Tasks[[#This Row],[_LeafLateFinish]],WORKDAY.INTL(Tasks[[#This Row],[_LeafLateFinish]],-(Tasks[[#This Row],[_Days]]-1),WorkWeek,Holidays)))</f>
        <v/>
      </c>
      <c r="FD4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5" s="42">
        <f>AND(Tasks[[#This Row],[_IsLeaf]]=1,Tasks[[#This Row],[_LeafProgress]]&lt;1,N(Tasks[[#This Row],[_LeafTotalSlack]])&lt;=CriticalSlackDays)</f>
        <v/>
      </c>
      <c r="FF45" s="42">
        <f>IF(AND(Tasks[[#This Row],[_IsLeaf]]=1,Tasks[[#This Row],[_ConstraintCode]]=1,Tasks[[#This Row],[Mode]]&lt;&gt;"Manual",N(Tasks[[#This Row],[Actual Start]])=0),MAX(0,N(Tasks[[#This Row],[Free Slack]])),0)</f>
        <v/>
      </c>
      <c r="FG45" s="88">
        <f>IF(NOT(Tasks[[#This Row],[_IsLeaf]]=1),"",IF(Tasks[[#This Row],[_AlapShift]]=0,Tasks[[#This Row],[_LeafCalcStart]],WORKDAY.INTL(Tasks[[#This Row],[_LeafCalcStart]],Tasks[[#This Row],[_AlapShift]],WorkWeek,Holidays)))</f>
        <v/>
      </c>
      <c r="FH45" s="88">
        <f>IF(NOT(Tasks[[#This Row],[_IsLeaf]]=1),"",IF(Tasks[[#This Row],[_AlapShift]]=0,Tasks[[#This Row],[_LeafCalcFinish]],WORKDAY.INTL(Tasks[[#This Row],[_LeafCalcFinish]],Tasks[[#This Row],[_AlapShift]],WorkWeek,Holidays)))</f>
        <v/>
      </c>
      <c r="FI45" s="88">
        <f>IF(NOT(Tasks[[#This Row],[_IsLeaf]]=1),"",IF(Tasks[[#This Row],[_AlapShift]]=0,Tasks[[#This Row],[_LeafFcstStart]],WORKDAY.INTL(Tasks[[#This Row],[_LeafFcstStart]],Tasks[[#This Row],[_AlapShift]],WorkWeek,Holidays)))</f>
        <v/>
      </c>
      <c r="FJ45" s="88">
        <f>IF(NOT(Tasks[[#This Row],[_IsLeaf]]=1),"",IF(Tasks[[#This Row],[_AlapShift]]=0,Tasks[[#This Row],[_LeafFcstFinish]],WORKDAY.INTL(Tasks[[#This Row],[_LeafFcstFinish]],Tasks[[#This Row],[_AlapShift]],WorkWeek,Holidays)))</f>
        <v/>
      </c>
      <c r="FK45" s="88">
        <f>IF(Tasks[[#This Row],[Task Name]]="","",IF(Tasks[[#This Row],[_IsSummary]],MIN(INDEX(Tasks[_ShownCalcStart],Tasks[[#This Row],[_Row]]+1):INDEX(Tasks[_ShownCalcStart],Tasks[[#This Row],[_Row]]+Tasks[[#This Row],[_Descendants]])),Tasks[[#This Row],[_ShownCalcStart]]))</f>
        <v/>
      </c>
      <c r="FL45" s="88">
        <f>IF(Tasks[[#This Row],[Task Name]]="","",IF(Tasks[[#This Row],[_IsSummary]],MAX(INDEX(Tasks[_ShownCalcFinish],Tasks[[#This Row],[_Row]]+1):INDEX(Tasks[_ShownCalcFinish],Tasks[[#This Row],[_Row]]+Tasks[[#This Row],[_Descendants]])),Tasks[[#This Row],[_ShownCalcFinish]]))</f>
        <v/>
      </c>
      <c r="FM4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5" s="42">
        <f>IF(AND(Tasks[[#This Row],[_IsLeaf]]=1,Tasks[[#This Row],[_LeafTotalWork]]&gt;0),NETWORKDAYS.INTL(ProjectStart,Tasks[[#This Row],[_ShownFcstStart]],WorkWeek,Holidays),0)</f>
        <v/>
      </c>
      <c r="FZ45" s="42">
        <f>IF(AND(Tasks[[#This Row],[_IsLeaf]]=1,Tasks[[#This Row],[_LeafTotalWork]]&gt;0),MAX(Tasks[[#This Row],[_StartWorkday]],NETWORKDAYS.INTL(ProjectStart,Tasks[[#This Row],[_ShownFcstFinish]],WorkWeek,Holidays)),0)</f>
        <v/>
      </c>
      <c r="GA45" s="42">
        <f>IF(AND(Tasks[[#This Row],[_IsLeaf]]=1,Tasks[[#This Row],[_LeafTotalWork]]&gt;0),Tasks[[#This Row],[_LeafWork]]/(Tasks[[#This Row],[_FinishWorkday]]-Tasks[[#This Row],[_StartWorkday]]+1),0)</f>
        <v/>
      </c>
      <c r="GB45" s="42">
        <f>Tasks[[#This Row],[_WorkPerWorkday]]*(Tasks[[#This Row],[_StartWorkday]]-1)</f>
        <v/>
      </c>
      <c r="GC45" s="42">
        <f>IF(Tasks[[#This Row],[_IsLeaf]]=1,MAX(N(Tasks[[#This Row],[_Days]]),0.1),0)</f>
        <v/>
      </c>
      <c r="GD45" s="42">
        <f>Tasks[[#This Row],[_WeightDur]]*Tasks[[#This Row],[_LeafProgress]]</f>
        <v/>
      </c>
      <c r="GE45" s="42">
        <f>Tasks[[#This Row],[_WeightDur]]*Tasks[[#This Row],[_PlannedPct]]</f>
        <v/>
      </c>
      <c r="GF4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5" s="42">
        <f>IF(AND(Tasks[[#This Row],[_IsLeaf]]=1,N(Tasks[[#This Row],[_Days]])=0,Tasks[[#This Row],[_LeafProgress]]&lt;1),Tasks[[#This Row],[_ShownFcstFinish]]+Tasks[[#This Row],[_Row]]/100000,"")</f>
        <v/>
      </c>
      <c r="GH4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5" s="42">
        <f>IF(Tasks[[#This Row],[Task Name]]="","",LEFT(Tasks[[#This Row],[WBS]],FIND(".",Tasks[[#This Row],[WBS]]&amp;".")-1))</f>
        <v/>
      </c>
      <c r="GJ45" s="42">
        <f>IF(AND(Tasks[[#This Row],[Task Name]]&lt;&gt;"",Tasks[[#This Row],[_Level]]=1),Tasks[[#This Row],[_Row]],"")</f>
        <v/>
      </c>
      <c r="GK45" s="42">
        <f>IF(AND(Tasks[[#This Row],[_IsLeaf]]=1,N(Tasks[[#This Row],[_Days]])=0),Tasks[[#This Row],[Planned Finish]]+Tasks[[#This Row],[_Row]]/100000,"")</f>
        <v/>
      </c>
      <c r="GL45" s="42">
        <f>IF(AND(Tasks[[#This Row],[_IsLeaf]]=1,Tasks[[#This Row],[_LeafProgress]]&lt;1,OR(N(Tasks[[#This Row],[Finish Var]])&gt;0,Tasks[[#This Row],[Status]]="Late Start")),MAX(0,Tasks[[#This Row],[Finish Var]])+1-Tasks[[#This Row],[_Row]]/1000000,"")</f>
        <v/>
      </c>
      <c r="GM45" s="42">
        <f>IF(AND(Tasks[[#This Row],[_IsLeaf]]=1,N(Tasks[[#This Row],[Actual Start]])=0,Tasks[[#This Row],[_ShownFcstStart]]&gt;=StatusDate,Tasks[[#This Row],[_ShownFcstStart]]&lt;=LookaheadEnd),Tasks[[#This Row],[_ShownFcstStart]]+Tasks[[#This Row],[_Row]]/100000,"")</f>
        <v/>
      </c>
      <c r="GN45" s="42">
        <f>IF(AND(Tasks[[#This Row],[_IsLeaf]]=1,Tasks[[#This Row],[_LeafProgress]]&lt;1,Tasks[[#This Row],[_ShownFcstFinish]]&gt;=StatusDate,Tasks[[#This Row],[_ShownFcstFinish]]&lt;=LookaheadEnd),Tasks[[#This Row],[_ShownFcstFinish]]+Tasks[[#This Row],[_Row]]/100000,"")</f>
        <v/>
      </c>
      <c r="GO45" s="42">
        <f>IF(Tasks[[#This Row],[_LeafCritical]],Tasks[[#This Row],[_ShownFcstStart]]+Tasks[[#This Row],[_Row]]/100000,"")</f>
        <v/>
      </c>
      <c r="GP45" s="42">
        <f>Tasks[[#This Row],[_LeafWork]]*Tasks[[#This Row],[_LeafProgress]]</f>
        <v/>
      </c>
      <c r="GQ45" s="88">
        <f>IF(AND(Tasks[[#This Row],[_IsLeaf]]=1,Tasks[[#This Row],[_LeafProgress]]&gt;=1),IF(N(Tasks[[#This Row],[Actual Finish]])&gt;0,Tasks[[#This Row],[Actual Finish]],Tasks[[#This Row],[_ShownFcstFinish]]),"")</f>
        <v/>
      </c>
      <c r="GR45" s="42">
        <f>IF(Tasks[[#This Row],[_IsLeaf]]=1,N(Tasks[[#This Row],[Story Points]]),0)</f>
        <v/>
      </c>
      <c r="GS45" s="42">
        <f>""</f>
        <v/>
      </c>
      <c r="GT45" s="42">
        <f>IF(Tasks[[#This Row],[Task Name]]="",FALSE(),AND(Tasks[[#This Row],[_IsLeaf]]=1,N(Tasks[[#This Row],[_Days]])=0))</f>
        <v/>
      </c>
      <c r="GU45" s="88">
        <f>IF(Tasks[[#This Row],[Task Name]]="",0,IF(AND(Tasks[[#This Row],[_IsLeaf]]=1,NOT(Tasks[[#This Row],[_IsMilestone]]),N(Tasks[[#This Row],[Progress]])&gt;0),Tasks[[#This Row],[Start]],0))</f>
        <v/>
      </c>
      <c r="GV45" s="88">
        <f>IF(Tasks[[#This Row],[_DoneFrom]]=0,0,IF(Tasks[[#This Row],[Progress]]&gt;=1,Tasks[[#This Row],[Finish]],MAX(Tasks[[#This Row],[_DoneFrom]],Tasks[[#This Row],[Start]]+ROUND((Tasks[[#This Row],[Finish]]-Tasks[[#This Row],[Start]]+1)*Tasks[[#This Row],[Progress]],0)-1)))</f>
        <v/>
      </c>
      <c r="GW45" s="88">
        <f>IF(Tasks[[#This Row],[Task Name]]="",0,IF(OR(NOT(Tasks[[#This Row],[_IsLeaf]]=1),Tasks[[#This Row],[_IsMilestone]],N(Tasks[[#This Row],[Progress]])&gt;=1),0,IF(Tasks[[#This Row],[_DoneTo]]&gt;0,Tasks[[#This Row],[_DoneTo]]+1,Tasks[[#This Row],[Start]])))</f>
        <v/>
      </c>
      <c r="GX45" s="88">
        <f>IF(Tasks[[#This Row],[_RemFrom]]=0,0,Tasks[[#This Row],[Finish]])</f>
        <v/>
      </c>
      <c r="GY45" s="42">
        <f>IF(Tasks[[#This Row],[Task Name]]="",FALSE(),OR(NOT(BaselineSet),N(Tasks[[#This Row],[Baseline Start]])&gt;0))</f>
        <v/>
      </c>
      <c r="GZ45" s="42">
        <f>IF(AND(Sandbox="Yes",L_PARSE_DURATION(Tasks[[#This Row],[Sandbox Duration]])&lt;&gt;""),L_PARSE_DURATION(Tasks[[#This Row],[Sandbox Duration]]),L_PARSE_DURATION(Tasks[[#This Row],[Duration]]))</f>
        <v/>
      </c>
      <c r="HA4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5" s="42">
        <f>IF(Tasks[[#This Row],[_IsLeaf]]=1,Tasks[[#This Row],[_Row]],"")</f>
        <v/>
      </c>
      <c r="HD45" s="42">
        <f>IFERROR(INDEX(Tasks[UID],SMALL(Tasks[_PickKey],Tasks[[#This Row],[_Row]]))&amp;" "&amp;INDEX(Tasks[Task Name],SMALL(Tasks[_PickKey],Tasks[[#This Row],[_Row]])),"")</f>
        <v/>
      </c>
      <c r="HE45" s="42">
        <f>IF(Tasks[[#This Row],[Task Name]]="","",IF(Tasks[[#This Row],[_IsSummary]],NETWORKDAYS.INTL(Tasks[[#This Row],[Start]],Tasks[[#This Row],[Finish]],WorkWeek,Holidays),N(Tasks[[#This Row],[_Days]])))</f>
        <v/>
      </c>
      <c r="HF45" s="42">
        <f>IF(Tasks[[#This Row],[Expected]]="",0,((Tasks[[#This Row],[Pessimistic]]-Tasks[[#This Row],[Optimistic]])/6)^2)</f>
        <v/>
      </c>
      <c r="HG45" s="42">
        <f>IF(Tasks[[#This Row],[Expected]]="",0,Tasks[[#This Row],[Expected]]-N(Tasks[[#This Row],[_Days]]))</f>
        <v/>
      </c>
    </row>
    <row r="46">
      <c r="A46" s="21">
        <f>IF(Tasks[[#This Row],[Task Name]]="","",COUNTA(Tasks[[#Headers],[Task Name]]:Tasks[[#This Row],[Task Name]])-1)</f>
        <v/>
      </c>
      <c r="B46" s="22" t="n">
        <v>54</v>
      </c>
      <c r="C46" s="22" t="n"/>
      <c r="D46" s="23" t="n"/>
      <c r="E46" s="22" t="n"/>
      <c r="F46" s="23" t="n"/>
      <c r="G46" s="22" t="n"/>
      <c r="H46" s="22" t="n"/>
      <c r="I46" s="23" t="n"/>
      <c r="J46" s="22" t="n"/>
      <c r="K46" s="22" t="n"/>
      <c r="L46" s="23" t="n"/>
      <c r="M46" s="22" t="n"/>
      <c r="N46" s="22" t="n"/>
      <c r="O46" s="23" t="n"/>
      <c r="P46" s="22" t="n"/>
      <c r="Q46" s="22" t="n"/>
      <c r="R46" s="23" t="n"/>
      <c r="S46" s="23" t="n"/>
      <c r="T46" s="82" t="n"/>
      <c r="U46" s="23" t="n"/>
      <c r="V46" s="82" t="n"/>
      <c r="W46" s="23" t="n"/>
      <c r="X46" s="82" t="n"/>
      <c r="Y46" s="23" t="n"/>
      <c r="Z46" s="82" t="n"/>
      <c r="AA46" s="23" t="n"/>
      <c r="AB46" s="23" t="n"/>
      <c r="AC46" s="7" t="n"/>
      <c r="AD46" s="7" t="n"/>
      <c r="AE46" s="61">
        <f>IF(Tasks[[#This Row],[Task Name]]="","",IF(Tasks[[#This Row],[_IsSummary]],MIN(INDEX(Tasks[_ShownFcstStart],Tasks[[#This Row],[_Row]]+1):INDEX(Tasks[_ShownFcstStart],Tasks[[#This Row],[_Row]]+Tasks[[#This Row],[_Descendants]])),Tasks[[#This Row],[_ShownFcstStart]]))</f>
        <v/>
      </c>
      <c r="AF46" s="61">
        <f>IF(Tasks[[#This Row],[Task Name]]="","",IF(Tasks[[#This Row],[_IsSummary]],MAX(INDEX(Tasks[_ShownFcstFinish],Tasks[[#This Row],[_Row]]+1):INDEX(Tasks[_ShownFcstFinish],Tasks[[#This Row],[_Row]]+Tasks[[#This Row],[_Descendants]])),Tasks[[#This Row],[_ShownFcstFinish]]))</f>
        <v/>
      </c>
      <c r="AG46" s="21">
        <f>""</f>
        <v/>
      </c>
      <c r="AH46" s="23" t="n"/>
      <c r="AI4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6" s="7" t="n"/>
      <c r="AK46" s="22" t="n"/>
      <c r="AL46" s="23" t="n"/>
      <c r="AM46" s="7" t="n"/>
      <c r="AN46" s="21">
        <f>IF(Tasks[[#This Row],[Task Name]]="","",IF(Tasks[[#This Row],[Finish]]&gt;=Tasks[[#This Row],[Planned Finish]],NETWORKDAYS.INTL(Tasks[[#This Row],[Planned Finish]],Tasks[[#This Row],[Finish]],WorkWeek,Holidays)-1,1-NETWORKDAYS.INTL(Tasks[[#This Row],[Finish]],Tasks[[#This Row],[Planned Finish]],WorkWeek,Holidays)))</f>
        <v/>
      </c>
      <c r="AO46" s="21">
        <f>IF(Tasks[[#This Row],[Task Name]]="","",IF(Tasks[[#This Row],[Progress]]&gt;=1,"Complete",IF(OR(N(Tasks[[#This Row],[Actual Start]])&gt;0,Tasks[[#This Row],[Progress]]&gt;0),IF(Tasks[[#This Row],[Finish Var]]&gt;0,"Behind","In Progress"),IF(Tasks[[#This Row],[Planned Start]]&lt;StatusDate,"Late Start","Not Started"))))</f>
        <v/>
      </c>
      <c r="AP46" s="21">
        <f>IF(Tasks[[#This Row],[Task Name]]="","",IF(IF(Tasks[[#This Row],[_IsSummary]],COUNTIF(INDEX(Tasks[_LeafCritical],Tasks[[#This Row],[_Row]]+1):INDEX(Tasks[_LeafCritical],Tasks[[#This Row],[_Row]]+Tasks[[#This Row],[_Descendants]]),TRUE())&gt;0,Tasks[[#This Row],[_LeafCritical]]),"Yes",""))</f>
        <v/>
      </c>
      <c r="AQ46" s="61">
        <f>IF(Tasks[[#This Row],[Task Name]]="","",IF(N(Tasks[[#This Row],[Baseline Start]])&gt;0,Tasks[[#This Row],[Baseline Start]],Tasks[[#This Row],[_CalcStart]]))</f>
        <v/>
      </c>
      <c r="AR46" s="61">
        <f>IF(Tasks[[#This Row],[Task Name]]="","",IF(N(Tasks[[#This Row],[Baseline Finish]])&gt;0,Tasks[[#This Row],[Baseline Finish]],Tasks[[#This Row],[_CalcFinish]]))</f>
        <v/>
      </c>
      <c r="AS46" s="21">
        <f>IF(Tasks[[#This Row],[Task Name]]="","",IF(Tasks[[#This Row],[Start]]&gt;=Tasks[[#This Row],[Planned Start]],NETWORKDAYS.INTL(Tasks[[#This Row],[Planned Start]],Tasks[[#This Row],[Start]],WorkWeek,Holidays)-1,1-NETWORKDAYS.INTL(Tasks[[#This Row],[Start]],Tasks[[#This Row],[Planned Start]],WorkWeek,Holidays)))</f>
        <v/>
      </c>
      <c r="AT46" s="61">
        <f>IF(Tasks[[#This Row],[Task Name]]="","",IF(Tasks[[#This Row],[_IsSummary]],MIN(INDEX(Tasks[_LeafLateStart],Tasks[[#This Row],[_Row]]+1):INDEX(Tasks[_LeafLateStart],Tasks[[#This Row],[_Row]]+Tasks[[#This Row],[_Descendants]])),Tasks[[#This Row],[_LeafLateStart]]))</f>
        <v/>
      </c>
      <c r="AU46" s="61">
        <f>IF(Tasks[[#This Row],[Task Name]]="","",IF(Tasks[[#This Row],[_IsSummary]],MAX(INDEX(Tasks[_LeafLateFinish],Tasks[[#This Row],[_Row]]+1):INDEX(Tasks[_LeafLateFinish],Tasks[[#This Row],[_Row]]+Tasks[[#This Row],[_Descendants]])),Tasks[[#This Row],[_LeafLateFinish]]))</f>
        <v/>
      </c>
      <c r="AV46" s="21">
        <f>IF(Tasks[[#This Row],[Task Name]]="","",IF(Tasks[[#This Row],[_IsSummary]],MIN(INDEX(Tasks[_LeafTotalSlack],Tasks[[#This Row],[_Row]]+1):INDEX(Tasks[_LeafTotalSlack],Tasks[[#This Row],[_Row]]+Tasks[[#This Row],[_Descendants]])),Tasks[[#This Row],[_LeafTotalSlack]]))</f>
        <v/>
      </c>
      <c r="AW4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3" t="n"/>
      <c r="BA4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f>IF(Tasks[[#This Row],[Task Name]]="","",IF(Tasks[[#This Row],[_Level]]&lt;=OutlineShowLevel,"Yes","No"))</f>
        <v/>
      </c>
      <c r="BE46" s="84">
        <f>IF(Tasks[[#This Row],[Task Name]]="","",IF(Tasks[[#This Row],[_IsSummary]],SUM(INDEX(Tasks[_LeafTotalWork],Tasks[[#This Row],[_Row]]+1):INDEX(Tasks[_LeafTotalWork],Tasks[[#This Row],[_Row]]+Tasks[[#This Row],[_Descendants]])),Tasks[[#This Row],[_LeafTotalWork]]))</f>
        <v/>
      </c>
      <c r="BF46" s="23" t="n"/>
      <c r="BG4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f>""</f>
        <v/>
      </c>
      <c r="BI46" s="85" t="n"/>
      <c r="BJ46" s="22" t="n"/>
      <c r="BK46" s="21">
        <f>IF(OR(Tasks[[#This Row],[Task Name]]="",Tasks[[#This Row],[Baseline Duration]]=""),"",Tasks[[#This Row],[_SpanDays]]-N(Tasks[[#This Row],[Baseline Duration]]))</f>
        <v/>
      </c>
      <c r="BL46" s="84">
        <f>IF(OR(Tasks[[#This Row],[Task Name]]="",Tasks[[#This Row],[Baseline Work]]=""),"",Tasks[[#This Row],[Work]]-N(Tasks[[#This Row],[Baseline Work]]))</f>
        <v/>
      </c>
      <c r="BM46" s="61">
        <f>IF(Tasks[[#This Row],[Task Name]]="","",IF(OR(TakeBaseline="Yes",N(Tasks[[#This Row],[Baseline Start]])=0),Tasks[[#This Row],[Start]],Tasks[[#This Row],[Baseline Start]]))</f>
        <v/>
      </c>
      <c r="BN46" s="61">
        <f>IF(Tasks[[#This Row],[Task Name]]="","",IF(OR(TakeBaseline="Yes",N(Tasks[[#This Row],[Baseline Finish]])=0),Tasks[[#This Row],[Finish]],Tasks[[#This Row],[Baseline Finish]]))</f>
        <v/>
      </c>
      <c r="BO46" s="21">
        <f>IF(Tasks[[#This Row],[Task Name]]="","",IF(OR(TakeBaseline="Yes",N(Tasks[[#This Row],[Baseline Duration]])=0),Tasks[[#This Row],[_SpanDays]],Tasks[[#This Row],[Baseline Duration]]))</f>
        <v/>
      </c>
      <c r="BP46" s="84">
        <f>IF(Tasks[[#This Row],[Task Name]]="","",IF(OR(TakeBaseline="Yes",N(Tasks[[#This Row],[Baseline Work]])=0),Tasks[[#This Row],[Work]],Tasks[[#This Row],[Baseline Work]]))</f>
        <v/>
      </c>
      <c r="BQ46" s="7" t="n"/>
      <c r="BR46" s="7" t="n"/>
      <c r="BS46" s="22" t="n"/>
      <c r="BT46" s="86" t="n"/>
      <c r="BU46" s="23" t="n"/>
      <c r="BV46" s="23" t="n"/>
      <c r="BW46" s="23" t="n"/>
      <c r="BX46" s="87">
        <f>IF(AND(Tasks[[#This Row],[_IsLeaf]]=1,ISNUMBER(Tasks[[#This Row],[Optimistic]]),ISNUMBER(Tasks[[#This Row],[Pessimistic]])),ROUND((Tasks[[#This Row],[Optimistic]]+4*N(Tasks[[#This Row],[_Days]])+Tasks[[#This Row],[Pessimistic]])/6,1),"")</f>
        <v/>
      </c>
      <c r="BY46" s="85" t="n"/>
      <c r="BZ46" s="85" t="n"/>
      <c r="CA46" s="22" t="n"/>
      <c r="CB46" s="42">
        <f>IF(Tasks[[#This Row],[Task Name]]="","",MAX(1,N(Tasks[[#This Row],[Level]])))</f>
        <v/>
      </c>
      <c r="CC46" s="42">
        <f>ROW()-ROW(Tasks[[#Headers],[ID]])</f>
        <v/>
      </c>
      <c r="CD46" s="42">
        <f>IF(OR(Tasks[[#This Row],[Task Name]]="",Tasks[[#This Row],[_Level]]&lt;=1),0,IFERROR(LOOKUP(2,1/(Tasks[[#Headers],[_Level]]:Tasks[[#This Row],[_Level]]=Tasks[[#This Row],[_Level]]-1),ROW(Tasks[[#Headers],[_Level]]:Tasks[[#This Row],[_Level]])),0))</f>
        <v/>
      </c>
      <c r="CE46" s="42">
        <f>IFERROR(N(INDEX(Tasks[_Level],Tasks[[#This Row],[_Row]]+1)),0)</f>
        <v/>
      </c>
      <c r="CF46" s="42">
        <f>AND(Tasks[[#This Row],[Task Name]]&lt;&gt;"",Tasks[[#This Row],[_NextLevel]]&gt;Tasks[[#This Row],[_Level]])</f>
        <v/>
      </c>
      <c r="CG46" s="42">
        <f>IF(Tasks[[#This Row],[_IsSummary]],COUNTIF(Tasks[WBS],Tasks[[#This Row],[WBS]]&amp;".*"),0)</f>
        <v/>
      </c>
      <c r="CH46" s="42">
        <f>IF(AND(Tasks[[#This Row],[Task Name]]&lt;&gt;"",NOT(Tasks[[#This Row],[_IsSummary]])),1,0)</f>
        <v/>
      </c>
      <c r="CI46" s="42">
        <f>IF(N(Tasks[[#This Row],[_Pred1UID]])=0,0,IFERROR(MATCH(Tasks[[#This Row],[_Pred1UID]],Tasks[UID],0),-1))</f>
        <v/>
      </c>
      <c r="CJ46" s="42">
        <f>IF(N(Tasks[[#This Row],[_Pred2UID]])=0,0,IFERROR(MATCH(Tasks[[#This Row],[_Pred2UID]],Tasks[UID],0),-1))</f>
        <v/>
      </c>
      <c r="CK46" s="42">
        <f>IF(N(Tasks[[#This Row],[_Pred3UID]])=0,0,IFERROR(MATCH(Tasks[[#This Row],[_Pred3UID]],Tasks[UID],0),-1))</f>
        <v/>
      </c>
      <c r="CL46" s="42">
        <f>IF(N(Tasks[[#This Row],[_Pred4UID]])=0,0,IFERROR(MATCH(Tasks[[#This Row],[_Pred4UID]],Tasks[UID],0),-1))</f>
        <v/>
      </c>
      <c r="CM4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6" s="88">
        <f>IF(N(Tasks[[#This Row],[Constraint Date]])=0,0,IF(AND(OR(Tasks[[#This Row],[_ConstraintCode]]=3,Tasks[[#This Row],[_ConstraintCode]]=6,Tasks[[#This Row],[_ConstraintCode]]=7),N(Tasks[[#This Row],[_Days]])&gt;1),WORKDAY.INTL(N(Tasks[[#This Row],[Constraint Date]]),-(N(Tasks[[#This Row],[_Days]])-1),WorkWeek,Holidays),N(Tasks[[#This Row],[Constraint Date]])))</f>
        <v/>
      </c>
      <c r="CO46" s="88">
        <f>IF(OR(Tasks[[#This Row],[_ConstraintCode]]=2,Tasks[[#This Row],[_ConstraintCode]]=3,Tasks[[#This Row],[_ConstraintCode]]=4,Tasks[[#This Row],[_ConstraintCode]]=6),Tasks[[#This Row],[_ConstraintStart]],0)</f>
        <v/>
      </c>
      <c r="CP46" s="88">
        <f>IF(OR(Tasks[[#This Row],[_ConstraintCode]]=2,Tasks[[#This Row],[_ConstraintCode]]=3,Tasks[[#This Row],[_ConstraintCode]]=5,Tasks[[#This Row],[_ConstraintCode]]=7),Tasks[[#This Row],[_ConstraintStart]],2958465)</f>
        <v/>
      </c>
      <c r="CQ4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6" s="88">
        <f>IF(NOT(Tasks[[#This Row],[_IsLeaf]]=1),"",IF(N(Tasks[[#This Row],[_Days]])&lt;=0,Tasks[[#This Row],[_LeafCalcStart]],WORKDAY.INTL(Tasks[[#This Row],[_LeafCalcStart]],Tasks[[#This Row],[_Days]]-1,WorkWeek,Holidays)))</f>
        <v/>
      </c>
      <c r="CS4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6" s="42">
        <f>IF(Tasks[[#This Row],[_Predecessors]]="","",TRIM(MID(SUBSTITUTE(SUBSTITUTE(SUBSTITUTE(UPPER(Tasks[[#This Row],[_Predecessors]]),";",",")," ",""),",",REPT(" ",99)),1,99)))</f>
        <v/>
      </c>
      <c r="CV46" s="42">
        <f>IF(Tasks[[#This Row],[_Pred1Text]]="","",IFERROR(VALUE(LEFT(Tasks[[#This Row],[_Pred1Text]],MIN(FIND("F",Tasks[[#This Row],[_Pred1Text]]&amp;"F"),FIND("S",Tasks[[#This Row],[_Pred1Text]]&amp;"S"),FIND("+",Tasks[[#This Row],[_Pred1Text]]&amp;"+"),FIND("-",Tasks[[#This Row],[_Pred1Text]]&amp;"-"))-1)),""))</f>
        <v/>
      </c>
      <c r="CW4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6" s="42">
        <f>IF(Tasks[[#This Row],[_Pred1Text]]="","",TRIM(MID(SUBSTITUTE(SUBSTITUTE(SUBSTITUTE(UPPER(Tasks[[#This Row],[_Predecessors]]),";",",")," ",""),",",REPT(" ",99)),100,99)))</f>
        <v/>
      </c>
      <c r="CZ46" s="42">
        <f>IF(Tasks[[#This Row],[_Pred2Text]]="","",IFERROR(VALUE(LEFT(Tasks[[#This Row],[_Pred2Text]],MIN(FIND("F",Tasks[[#This Row],[_Pred2Text]]&amp;"F"),FIND("S",Tasks[[#This Row],[_Pred2Text]]&amp;"S"),FIND("+",Tasks[[#This Row],[_Pred2Text]]&amp;"+"),FIND("-",Tasks[[#This Row],[_Pred2Text]]&amp;"-"))-1)),""))</f>
        <v/>
      </c>
      <c r="DA4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6" s="42">
        <f>IF(Tasks[[#This Row],[_Pred2Text]]="","",TRIM(MID(SUBSTITUTE(SUBSTITUTE(SUBSTITUTE(UPPER(Tasks[[#This Row],[_Predecessors]]),";",",")," ",""),",",REPT(" ",99)),199,99)))</f>
        <v/>
      </c>
      <c r="DD46" s="42">
        <f>IF(Tasks[[#This Row],[_Pred3Text]]="","",IFERROR(VALUE(LEFT(Tasks[[#This Row],[_Pred3Text]],MIN(FIND("F",Tasks[[#This Row],[_Pred3Text]]&amp;"F"),FIND("S",Tasks[[#This Row],[_Pred3Text]]&amp;"S"),FIND("+",Tasks[[#This Row],[_Pred3Text]]&amp;"+"),FIND("-",Tasks[[#This Row],[_Pred3Text]]&amp;"-"))-1)),""))</f>
        <v/>
      </c>
      <c r="DE4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6" s="42">
        <f>IF(Tasks[[#This Row],[_Pred3Text]]="","",TRIM(MID(SUBSTITUTE(SUBSTITUTE(SUBSTITUTE(UPPER(Tasks[[#This Row],[_Predecessors]]),";",",")," ",""),",",REPT(" ",99)),298,99)))</f>
        <v/>
      </c>
      <c r="DH46" s="42">
        <f>IF(Tasks[[#This Row],[_Pred4Text]]="","",IFERROR(VALUE(LEFT(Tasks[[#This Row],[_Pred4Text]],MIN(FIND("F",Tasks[[#This Row],[_Pred4Text]]&amp;"F"),FIND("S",Tasks[[#This Row],[_Pred4Text]]&amp;"S"),FIND("+",Tasks[[#This Row],[_Pred4Text]]&amp;"+"),FIND("-",Tasks[[#This Row],[_Pred4Text]]&amp;"-"))-1)),""))</f>
        <v/>
      </c>
      <c r="DI4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6" s="42">
        <f>IF(OR(Tasks[[#This Row],[Task Name]]="",Tasks[[#This Row],[_Resources]]=""),"",TRIM(MID(SUBSTITUTE(Tasks[[#This Row],[_Resources]],",",REPT(" ",99)),1,99)))</f>
        <v/>
      </c>
      <c r="DL46" s="42">
        <f>IF(Tasks[[#This Row],[_Res1Text]]="","",TRIM(MID(SUBSTITUTE(Tasks[[#This Row],[_Resources]],",",REPT(" ",99)),100,99)))</f>
        <v/>
      </c>
      <c r="DM46" s="42">
        <f>IF(Tasks[[#This Row],[_Res2Text]]="","",TRIM(MID(SUBSTITUTE(Tasks[[#This Row],[_Resources]],",",REPT(" ",99)),199,99)))</f>
        <v/>
      </c>
      <c r="DN46" s="42">
        <f>IF(Tasks[[#This Row],[_Res3Text]]="","",TRIM(MID(SUBSTITUTE(Tasks[[#This Row],[_Resources]],",",REPT(" ",99)),298,99)))</f>
        <v/>
      </c>
      <c r="DO46" s="42">
        <f>IF(Tasks[[#This Row],[_Res1Text]]="",0,IFERROR(MATCH(TRIM(LEFT(Tasks[[#This Row],[_Res1Text]],FIND("[",Tasks[[#This Row],[_Res1Text]]&amp;"[")-1)),res_Name,0),IFERROR(MATCH(TRIM(LEFT(Tasks[[#This Row],[_Res1Text]],FIND("[",Tasks[[#This Row],[_Res1Text]]&amp;"[")-1)),res_Initials,0),0)))</f>
        <v/>
      </c>
      <c r="DP46" s="42">
        <f>IF(Tasks[[#This Row],[_Res2Text]]="",0,IFERROR(MATCH(TRIM(LEFT(Tasks[[#This Row],[_Res2Text]],FIND("[",Tasks[[#This Row],[_Res2Text]]&amp;"[")-1)),res_Name,0),IFERROR(MATCH(TRIM(LEFT(Tasks[[#This Row],[_Res2Text]],FIND("[",Tasks[[#This Row],[_Res2Text]]&amp;"[")-1)),res_Initials,0),0)))</f>
        <v/>
      </c>
      <c r="DQ46" s="42">
        <f>IF(Tasks[[#This Row],[_Res3Text]]="",0,IFERROR(MATCH(TRIM(LEFT(Tasks[[#This Row],[_Res3Text]],FIND("[",Tasks[[#This Row],[_Res3Text]]&amp;"[")-1)),res_Name,0),IFERROR(MATCH(TRIM(LEFT(Tasks[[#This Row],[_Res3Text]],FIND("[",Tasks[[#This Row],[_Res3Text]]&amp;"[")-1)),res_Initials,0),0)))</f>
        <v/>
      </c>
      <c r="DR46" s="42">
        <f>IF(Tasks[[#This Row],[_Res4Text]]="",0,IFERROR(MATCH(TRIM(LEFT(Tasks[[#This Row],[_Res4Text]],FIND("[",Tasks[[#This Row],[_Res4Text]]&amp;"[")-1)),res_Name,0),IFERROR(MATCH(TRIM(LEFT(Tasks[[#This Row],[_Res4Text]],FIND("[",Tasks[[#This Row],[_Res4Text]]&amp;"[")-1)),res_Initials,0),0)))</f>
        <v/>
      </c>
      <c r="DS46" s="42">
        <f>IF(Tasks[[#This Row],[_Res1Text]]="","",IF(Tasks[[#This Row],[_Res1Row]]&gt;0,INDEX(res_Name,Tasks[[#This Row],[_Res1Row]]),TRIM(LEFT(Tasks[[#This Row],[_Res1Text]],FIND("[",Tasks[[#This Row],[_Res1Text]]&amp;"[")-1))))</f>
        <v/>
      </c>
      <c r="DT4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6" s="42">
        <f>IF(NOT(Tasks[[#This Row],[_IsLeaf]]=1),0,(Tasks[[#This Row],[_Resource1]]&lt;&gt;"")+(Tasks[[#This Row],[_Res2]]&lt;&gt;"")+(Tasks[[#This Row],[_Res3]]&lt;&gt;"")+(Tasks[[#This Row],[_Res4]]&lt;&gt;""))</f>
        <v/>
      </c>
      <c r="DV46" s="42">
        <f>IF(Tasks[[#This Row],[_Res2Text]]="","",IF(Tasks[[#This Row],[_Res2Row]]&gt;0,INDEX(res_Name,Tasks[[#This Row],[_Res2Row]]),TRIM(LEFT(Tasks[[#This Row],[_Res2Text]],FIND("[",Tasks[[#This Row],[_Res2Text]]&amp;"[")-1))))</f>
        <v/>
      </c>
      <c r="DW4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6" s="42">
        <f>IF(OR(NOT(Tasks[[#This Row],[_IsLeaf]]=1),Tasks[[#This Row],[_Res2Row]]=0),0,N(Tasks[[#This Row],[_Days]])*HoursPerDay*IF(Tasks[[#This Row],[_Res2Units]]="",DefaultUnits,Tasks[[#This Row],[_Res2Units]]))</f>
        <v/>
      </c>
      <c r="DY46" s="42">
        <f>IF(AND(AND(Tasks[[#This Row],[_IsLeaf]]=1,Tasks[[#This Row],[_LeafTotalWork]]&gt;0),Tasks[[#This Row],[_Res2Work]]&gt;0),Tasks[[#This Row],[_Res2Work]]/(Tasks[[#This Row],[_FinishWorkday]]-Tasks[[#This Row],[_StartWorkday]]+1),0)</f>
        <v/>
      </c>
      <c r="DZ46" s="42">
        <f>Tasks[[#This Row],[_Res2WorkPerWD]]*MAX(0,Tasks[[#This Row],[_StartWorkday]]-1)</f>
        <v/>
      </c>
      <c r="EA46" s="42">
        <f>Tasks[[#This Row],[_Res2Work]]*Tasks[[#This Row],[_LeafProgress]]</f>
        <v/>
      </c>
      <c r="EB46" s="42">
        <f>IF(Tasks[[#This Row],[_Res3Text]]="","",IF(Tasks[[#This Row],[_Res3Row]]&gt;0,INDEX(res_Name,Tasks[[#This Row],[_Res3Row]]),TRIM(LEFT(Tasks[[#This Row],[_Res3Text]],FIND("[",Tasks[[#This Row],[_Res3Text]]&amp;"[")-1))))</f>
        <v/>
      </c>
      <c r="EC4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6" s="42">
        <f>IF(OR(NOT(Tasks[[#This Row],[_IsLeaf]]=1),Tasks[[#This Row],[_Res3Row]]=0),0,N(Tasks[[#This Row],[_Days]])*HoursPerDay*IF(Tasks[[#This Row],[_Res3Units]]="",DefaultUnits,Tasks[[#This Row],[_Res3Units]]))</f>
        <v/>
      </c>
      <c r="EE46" s="42">
        <f>IF(AND(AND(Tasks[[#This Row],[_IsLeaf]]=1,Tasks[[#This Row],[_LeafTotalWork]]&gt;0),Tasks[[#This Row],[_Res3Work]]&gt;0),Tasks[[#This Row],[_Res3Work]]/(Tasks[[#This Row],[_FinishWorkday]]-Tasks[[#This Row],[_StartWorkday]]+1),0)</f>
        <v/>
      </c>
      <c r="EF46" s="42">
        <f>Tasks[[#This Row],[_Res3WorkPerWD]]*MAX(0,Tasks[[#This Row],[_StartWorkday]]-1)</f>
        <v/>
      </c>
      <c r="EG46" s="42">
        <f>Tasks[[#This Row],[_Res3Work]]*Tasks[[#This Row],[_LeafProgress]]</f>
        <v/>
      </c>
      <c r="EH46" s="42">
        <f>IF(Tasks[[#This Row],[_Res4Text]]="","",IF(Tasks[[#This Row],[_Res4Row]]&gt;0,INDEX(res_Name,Tasks[[#This Row],[_Res4Row]]),TRIM(LEFT(Tasks[[#This Row],[_Res4Text]],FIND("[",Tasks[[#This Row],[_Res4Text]]&amp;"[")-1))))</f>
        <v/>
      </c>
      <c r="EI4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6" s="42">
        <f>IF(OR(NOT(Tasks[[#This Row],[_IsLeaf]]=1),Tasks[[#This Row],[_Res4Row]]=0),0,N(Tasks[[#This Row],[_Days]])*HoursPerDay*IF(Tasks[[#This Row],[_Res4Units]]="",DefaultUnits,Tasks[[#This Row],[_Res4Units]]))</f>
        <v/>
      </c>
      <c r="EK46" s="42">
        <f>IF(AND(AND(Tasks[[#This Row],[_IsLeaf]]=1,Tasks[[#This Row],[_LeafTotalWork]]&gt;0),Tasks[[#This Row],[_Res4Work]]&gt;0),Tasks[[#This Row],[_Res4Work]]/(Tasks[[#This Row],[_FinishWorkday]]-Tasks[[#This Row],[_StartWorkday]]+1),0)</f>
        <v/>
      </c>
      <c r="EL46" s="42">
        <f>Tasks[[#This Row],[_Res4WorkPerWD]]*MAX(0,Tasks[[#This Row],[_StartWorkday]]-1)</f>
        <v/>
      </c>
      <c r="EM46" s="42">
        <f>Tasks[[#This Row],[_Res4Work]]*Tasks[[#This Row],[_LeafProgress]]</f>
        <v/>
      </c>
      <c r="EN46" s="42">
        <f>IF(ISNUMBER(Tasks[[#This Row],[% Complete]]),Tasks[[#This Row],[% Complete]],IF(Tasks[[#This Row],[Stage]]="",0,IFERROR(INDEX(stg_Pct,MATCH(Tasks[[#This Row],[Stage]],stg_Name,0)),0)))</f>
        <v/>
      </c>
      <c r="EO46" s="42">
        <f>IF(NOT(Tasks[[#This Row],[_IsLeaf]]=1),0,IF(N(Tasks[[#This Row],[Actual Finish]])&gt;0,1,MIN(1,Tasks[[#This Row],[_Pct]])))</f>
        <v/>
      </c>
      <c r="EP46" s="42">
        <f>IF(OR(NOT(Tasks[[#This Row],[_IsLeaf]]=1),Tasks[[#This Row],[_Res1Row]]=0),0,N(Tasks[[#This Row],[_Days]])*HoursPerDay*IF(Tasks[[#This Row],[_Units1]]="",DefaultUnits,Tasks[[#This Row],[_Units1]]))</f>
        <v/>
      </c>
      <c r="EQ46" s="42">
        <f>Tasks[[#This Row],[_LeafWork]]+Tasks[[#This Row],[_Res2Work]]+Tasks[[#This Row],[_Res3Work]]+Tasks[[#This Row],[_Res4Work]]</f>
        <v/>
      </c>
      <c r="ER4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6" s="42">
        <f>IF(NOT(Tasks[[#This Row],[_IsLeaf]]=1),0,MAX(_xlfn.MAXIFS(Tasks[_Row],Tasks[_Pred1UID],Tasks[[#This Row],[UID]]),_xlfn.MAXIFS(Tasks[_Row],Tasks[_Pred2UID],Tasks[[#This Row],[UID]]),_xlfn.MAXIFS(Tasks[_Row],Tasks[_Pred3UID],Tasks[[#This Row],[UID]]),_xlfn.MAXIFS(Tasks[_Row],Tasks[_Pred4UID],Tasks[[#This Row],[UID]])))</f>
        <v/>
      </c>
      <c r="FA4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6" s="88">
        <f>IF(NOT(Tasks[[#This Row],[_IsLeaf]]=1),"",IF(N(Tasks[[#This Row],[_Days]])&lt;=0,Tasks[[#This Row],[_LeafLateFinish]],WORKDAY.INTL(Tasks[[#This Row],[_LeafLateFinish]],-(Tasks[[#This Row],[_Days]]-1),WorkWeek,Holidays)))</f>
        <v/>
      </c>
      <c r="FD4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6" s="42">
        <f>AND(Tasks[[#This Row],[_IsLeaf]]=1,Tasks[[#This Row],[_LeafProgress]]&lt;1,N(Tasks[[#This Row],[_LeafTotalSlack]])&lt;=CriticalSlackDays)</f>
        <v/>
      </c>
      <c r="FF46" s="42">
        <f>IF(AND(Tasks[[#This Row],[_IsLeaf]]=1,Tasks[[#This Row],[_ConstraintCode]]=1,Tasks[[#This Row],[Mode]]&lt;&gt;"Manual",N(Tasks[[#This Row],[Actual Start]])=0),MAX(0,N(Tasks[[#This Row],[Free Slack]])),0)</f>
        <v/>
      </c>
      <c r="FG46" s="88">
        <f>IF(NOT(Tasks[[#This Row],[_IsLeaf]]=1),"",IF(Tasks[[#This Row],[_AlapShift]]=0,Tasks[[#This Row],[_LeafCalcStart]],WORKDAY.INTL(Tasks[[#This Row],[_LeafCalcStart]],Tasks[[#This Row],[_AlapShift]],WorkWeek,Holidays)))</f>
        <v/>
      </c>
      <c r="FH46" s="88">
        <f>IF(NOT(Tasks[[#This Row],[_IsLeaf]]=1),"",IF(Tasks[[#This Row],[_AlapShift]]=0,Tasks[[#This Row],[_LeafCalcFinish]],WORKDAY.INTL(Tasks[[#This Row],[_LeafCalcFinish]],Tasks[[#This Row],[_AlapShift]],WorkWeek,Holidays)))</f>
        <v/>
      </c>
      <c r="FI46" s="88">
        <f>IF(NOT(Tasks[[#This Row],[_IsLeaf]]=1),"",IF(Tasks[[#This Row],[_AlapShift]]=0,Tasks[[#This Row],[_LeafFcstStart]],WORKDAY.INTL(Tasks[[#This Row],[_LeafFcstStart]],Tasks[[#This Row],[_AlapShift]],WorkWeek,Holidays)))</f>
        <v/>
      </c>
      <c r="FJ46" s="88">
        <f>IF(NOT(Tasks[[#This Row],[_IsLeaf]]=1),"",IF(Tasks[[#This Row],[_AlapShift]]=0,Tasks[[#This Row],[_LeafFcstFinish]],WORKDAY.INTL(Tasks[[#This Row],[_LeafFcstFinish]],Tasks[[#This Row],[_AlapShift]],WorkWeek,Holidays)))</f>
        <v/>
      </c>
      <c r="FK46" s="88">
        <f>IF(Tasks[[#This Row],[Task Name]]="","",IF(Tasks[[#This Row],[_IsSummary]],MIN(INDEX(Tasks[_ShownCalcStart],Tasks[[#This Row],[_Row]]+1):INDEX(Tasks[_ShownCalcStart],Tasks[[#This Row],[_Row]]+Tasks[[#This Row],[_Descendants]])),Tasks[[#This Row],[_ShownCalcStart]]))</f>
        <v/>
      </c>
      <c r="FL46" s="88">
        <f>IF(Tasks[[#This Row],[Task Name]]="","",IF(Tasks[[#This Row],[_IsSummary]],MAX(INDEX(Tasks[_ShownCalcFinish],Tasks[[#This Row],[_Row]]+1):INDEX(Tasks[_ShownCalcFinish],Tasks[[#This Row],[_Row]]+Tasks[[#This Row],[_Descendants]])),Tasks[[#This Row],[_ShownCalcFinish]]))</f>
        <v/>
      </c>
      <c r="FM4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6" s="42">
        <f>IF(AND(Tasks[[#This Row],[_IsLeaf]]=1,Tasks[[#This Row],[_LeafTotalWork]]&gt;0),NETWORKDAYS.INTL(ProjectStart,Tasks[[#This Row],[_ShownFcstStart]],WorkWeek,Holidays),0)</f>
        <v/>
      </c>
      <c r="FZ46" s="42">
        <f>IF(AND(Tasks[[#This Row],[_IsLeaf]]=1,Tasks[[#This Row],[_LeafTotalWork]]&gt;0),MAX(Tasks[[#This Row],[_StartWorkday]],NETWORKDAYS.INTL(ProjectStart,Tasks[[#This Row],[_ShownFcstFinish]],WorkWeek,Holidays)),0)</f>
        <v/>
      </c>
      <c r="GA46" s="42">
        <f>IF(AND(Tasks[[#This Row],[_IsLeaf]]=1,Tasks[[#This Row],[_LeafTotalWork]]&gt;0),Tasks[[#This Row],[_LeafWork]]/(Tasks[[#This Row],[_FinishWorkday]]-Tasks[[#This Row],[_StartWorkday]]+1),0)</f>
        <v/>
      </c>
      <c r="GB46" s="42">
        <f>Tasks[[#This Row],[_WorkPerWorkday]]*(Tasks[[#This Row],[_StartWorkday]]-1)</f>
        <v/>
      </c>
      <c r="GC46" s="42">
        <f>IF(Tasks[[#This Row],[_IsLeaf]]=1,MAX(N(Tasks[[#This Row],[_Days]]),0.1),0)</f>
        <v/>
      </c>
      <c r="GD46" s="42">
        <f>Tasks[[#This Row],[_WeightDur]]*Tasks[[#This Row],[_LeafProgress]]</f>
        <v/>
      </c>
      <c r="GE46" s="42">
        <f>Tasks[[#This Row],[_WeightDur]]*Tasks[[#This Row],[_PlannedPct]]</f>
        <v/>
      </c>
      <c r="GF4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6" s="42">
        <f>IF(AND(Tasks[[#This Row],[_IsLeaf]]=1,N(Tasks[[#This Row],[_Days]])=0,Tasks[[#This Row],[_LeafProgress]]&lt;1),Tasks[[#This Row],[_ShownFcstFinish]]+Tasks[[#This Row],[_Row]]/100000,"")</f>
        <v/>
      </c>
      <c r="GH4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6" s="42">
        <f>IF(Tasks[[#This Row],[Task Name]]="","",LEFT(Tasks[[#This Row],[WBS]],FIND(".",Tasks[[#This Row],[WBS]]&amp;".")-1))</f>
        <v/>
      </c>
      <c r="GJ46" s="42">
        <f>IF(AND(Tasks[[#This Row],[Task Name]]&lt;&gt;"",Tasks[[#This Row],[_Level]]=1),Tasks[[#This Row],[_Row]],"")</f>
        <v/>
      </c>
      <c r="GK46" s="42">
        <f>IF(AND(Tasks[[#This Row],[_IsLeaf]]=1,N(Tasks[[#This Row],[_Days]])=0),Tasks[[#This Row],[Planned Finish]]+Tasks[[#This Row],[_Row]]/100000,"")</f>
        <v/>
      </c>
      <c r="GL46" s="42">
        <f>IF(AND(Tasks[[#This Row],[_IsLeaf]]=1,Tasks[[#This Row],[_LeafProgress]]&lt;1,OR(N(Tasks[[#This Row],[Finish Var]])&gt;0,Tasks[[#This Row],[Status]]="Late Start")),MAX(0,Tasks[[#This Row],[Finish Var]])+1-Tasks[[#This Row],[_Row]]/1000000,"")</f>
        <v/>
      </c>
      <c r="GM46" s="42">
        <f>IF(AND(Tasks[[#This Row],[_IsLeaf]]=1,N(Tasks[[#This Row],[Actual Start]])=0,Tasks[[#This Row],[_ShownFcstStart]]&gt;=StatusDate,Tasks[[#This Row],[_ShownFcstStart]]&lt;=LookaheadEnd),Tasks[[#This Row],[_ShownFcstStart]]+Tasks[[#This Row],[_Row]]/100000,"")</f>
        <v/>
      </c>
      <c r="GN46" s="42">
        <f>IF(AND(Tasks[[#This Row],[_IsLeaf]]=1,Tasks[[#This Row],[_LeafProgress]]&lt;1,Tasks[[#This Row],[_ShownFcstFinish]]&gt;=StatusDate,Tasks[[#This Row],[_ShownFcstFinish]]&lt;=LookaheadEnd),Tasks[[#This Row],[_ShownFcstFinish]]+Tasks[[#This Row],[_Row]]/100000,"")</f>
        <v/>
      </c>
      <c r="GO46" s="42">
        <f>IF(Tasks[[#This Row],[_LeafCritical]],Tasks[[#This Row],[_ShownFcstStart]]+Tasks[[#This Row],[_Row]]/100000,"")</f>
        <v/>
      </c>
      <c r="GP46" s="42">
        <f>Tasks[[#This Row],[_LeafWork]]*Tasks[[#This Row],[_LeafProgress]]</f>
        <v/>
      </c>
      <c r="GQ46" s="88">
        <f>IF(AND(Tasks[[#This Row],[_IsLeaf]]=1,Tasks[[#This Row],[_LeafProgress]]&gt;=1),IF(N(Tasks[[#This Row],[Actual Finish]])&gt;0,Tasks[[#This Row],[Actual Finish]],Tasks[[#This Row],[_ShownFcstFinish]]),"")</f>
        <v/>
      </c>
      <c r="GR46" s="42">
        <f>IF(Tasks[[#This Row],[_IsLeaf]]=1,N(Tasks[[#This Row],[Story Points]]),0)</f>
        <v/>
      </c>
      <c r="GS46" s="42">
        <f>""</f>
        <v/>
      </c>
      <c r="GT46" s="42">
        <f>IF(Tasks[[#This Row],[Task Name]]="",FALSE(),AND(Tasks[[#This Row],[_IsLeaf]]=1,N(Tasks[[#This Row],[_Days]])=0))</f>
        <v/>
      </c>
      <c r="GU46" s="88">
        <f>IF(Tasks[[#This Row],[Task Name]]="",0,IF(AND(Tasks[[#This Row],[_IsLeaf]]=1,NOT(Tasks[[#This Row],[_IsMilestone]]),N(Tasks[[#This Row],[Progress]])&gt;0),Tasks[[#This Row],[Start]],0))</f>
        <v/>
      </c>
      <c r="GV46" s="88">
        <f>IF(Tasks[[#This Row],[_DoneFrom]]=0,0,IF(Tasks[[#This Row],[Progress]]&gt;=1,Tasks[[#This Row],[Finish]],MAX(Tasks[[#This Row],[_DoneFrom]],Tasks[[#This Row],[Start]]+ROUND((Tasks[[#This Row],[Finish]]-Tasks[[#This Row],[Start]]+1)*Tasks[[#This Row],[Progress]],0)-1)))</f>
        <v/>
      </c>
      <c r="GW46" s="88">
        <f>IF(Tasks[[#This Row],[Task Name]]="",0,IF(OR(NOT(Tasks[[#This Row],[_IsLeaf]]=1),Tasks[[#This Row],[_IsMilestone]],N(Tasks[[#This Row],[Progress]])&gt;=1),0,IF(Tasks[[#This Row],[_DoneTo]]&gt;0,Tasks[[#This Row],[_DoneTo]]+1,Tasks[[#This Row],[Start]])))</f>
        <v/>
      </c>
      <c r="GX46" s="88">
        <f>IF(Tasks[[#This Row],[_RemFrom]]=0,0,Tasks[[#This Row],[Finish]])</f>
        <v/>
      </c>
      <c r="GY46" s="42">
        <f>IF(Tasks[[#This Row],[Task Name]]="",FALSE(),OR(NOT(BaselineSet),N(Tasks[[#This Row],[Baseline Start]])&gt;0))</f>
        <v/>
      </c>
      <c r="GZ46" s="42">
        <f>IF(AND(Sandbox="Yes",L_PARSE_DURATION(Tasks[[#This Row],[Sandbox Duration]])&lt;&gt;""),L_PARSE_DURATION(Tasks[[#This Row],[Sandbox Duration]]),L_PARSE_DURATION(Tasks[[#This Row],[Duration]]))</f>
        <v/>
      </c>
      <c r="HA4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6" s="42">
        <f>IF(Tasks[[#This Row],[_IsLeaf]]=1,Tasks[[#This Row],[_Row]],"")</f>
        <v/>
      </c>
      <c r="HD46" s="42">
        <f>IFERROR(INDEX(Tasks[UID],SMALL(Tasks[_PickKey],Tasks[[#This Row],[_Row]]))&amp;" "&amp;INDEX(Tasks[Task Name],SMALL(Tasks[_PickKey],Tasks[[#This Row],[_Row]])),"")</f>
        <v/>
      </c>
      <c r="HE46" s="42">
        <f>IF(Tasks[[#This Row],[Task Name]]="","",IF(Tasks[[#This Row],[_IsSummary]],NETWORKDAYS.INTL(Tasks[[#This Row],[Start]],Tasks[[#This Row],[Finish]],WorkWeek,Holidays),N(Tasks[[#This Row],[_Days]])))</f>
        <v/>
      </c>
      <c r="HF46" s="42">
        <f>IF(Tasks[[#This Row],[Expected]]="",0,((Tasks[[#This Row],[Pessimistic]]-Tasks[[#This Row],[Optimistic]])/6)^2)</f>
        <v/>
      </c>
      <c r="HG46" s="42">
        <f>IF(Tasks[[#This Row],[Expected]]="",0,Tasks[[#This Row],[Expected]]-N(Tasks[[#This Row],[_Days]]))</f>
        <v/>
      </c>
    </row>
    <row r="47">
      <c r="A47" s="21">
        <f>IF(Tasks[[#This Row],[Task Name]]="","",COUNTA(Tasks[[#Headers],[Task Name]]:Tasks[[#This Row],[Task Name]])-1)</f>
        <v/>
      </c>
      <c r="B47" s="22" t="n">
        <v>55</v>
      </c>
      <c r="C47" s="22" t="n"/>
      <c r="D47" s="23" t="n"/>
      <c r="E47" s="22" t="n"/>
      <c r="F47" s="23" t="n"/>
      <c r="G47" s="22" t="n"/>
      <c r="H47" s="22" t="n"/>
      <c r="I47" s="23" t="n"/>
      <c r="J47" s="22" t="n"/>
      <c r="K47" s="22" t="n"/>
      <c r="L47" s="23" t="n"/>
      <c r="M47" s="22" t="n"/>
      <c r="N47" s="22" t="n"/>
      <c r="O47" s="23" t="n"/>
      <c r="P47" s="22" t="n"/>
      <c r="Q47" s="22" t="n"/>
      <c r="R47" s="23" t="n"/>
      <c r="S47" s="23" t="n"/>
      <c r="T47" s="82" t="n"/>
      <c r="U47" s="23" t="n"/>
      <c r="V47" s="82" t="n"/>
      <c r="W47" s="23" t="n"/>
      <c r="X47" s="82" t="n"/>
      <c r="Y47" s="23" t="n"/>
      <c r="Z47" s="82" t="n"/>
      <c r="AA47" s="23" t="n"/>
      <c r="AB47" s="23" t="n"/>
      <c r="AC47" s="7" t="n"/>
      <c r="AD47" s="7" t="n"/>
      <c r="AE47" s="61">
        <f>IF(Tasks[[#This Row],[Task Name]]="","",IF(Tasks[[#This Row],[_IsSummary]],MIN(INDEX(Tasks[_ShownFcstStart],Tasks[[#This Row],[_Row]]+1):INDEX(Tasks[_ShownFcstStart],Tasks[[#This Row],[_Row]]+Tasks[[#This Row],[_Descendants]])),Tasks[[#This Row],[_ShownFcstStart]]))</f>
        <v/>
      </c>
      <c r="AF47" s="61">
        <f>IF(Tasks[[#This Row],[Task Name]]="","",IF(Tasks[[#This Row],[_IsSummary]],MAX(INDEX(Tasks[_ShownFcstFinish],Tasks[[#This Row],[_Row]]+1):INDEX(Tasks[_ShownFcstFinish],Tasks[[#This Row],[_Row]]+Tasks[[#This Row],[_Descendants]])),Tasks[[#This Row],[_ShownFcstFinish]]))</f>
        <v/>
      </c>
      <c r="AG47" s="21">
        <f>""</f>
        <v/>
      </c>
      <c r="AH47" s="23" t="n"/>
      <c r="AI4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7" s="7" t="n"/>
      <c r="AK47" s="22" t="n"/>
      <c r="AL47" s="23" t="n"/>
      <c r="AM47" s="7" t="n"/>
      <c r="AN47" s="21">
        <f>IF(Tasks[[#This Row],[Task Name]]="","",IF(Tasks[[#This Row],[Finish]]&gt;=Tasks[[#This Row],[Planned Finish]],NETWORKDAYS.INTL(Tasks[[#This Row],[Planned Finish]],Tasks[[#This Row],[Finish]],WorkWeek,Holidays)-1,1-NETWORKDAYS.INTL(Tasks[[#This Row],[Finish]],Tasks[[#This Row],[Planned Finish]],WorkWeek,Holidays)))</f>
        <v/>
      </c>
      <c r="AO47" s="21">
        <f>IF(Tasks[[#This Row],[Task Name]]="","",IF(Tasks[[#This Row],[Progress]]&gt;=1,"Complete",IF(OR(N(Tasks[[#This Row],[Actual Start]])&gt;0,Tasks[[#This Row],[Progress]]&gt;0),IF(Tasks[[#This Row],[Finish Var]]&gt;0,"Behind","In Progress"),IF(Tasks[[#This Row],[Planned Start]]&lt;StatusDate,"Late Start","Not Started"))))</f>
        <v/>
      </c>
      <c r="AP47" s="21">
        <f>IF(Tasks[[#This Row],[Task Name]]="","",IF(IF(Tasks[[#This Row],[_IsSummary]],COUNTIF(INDEX(Tasks[_LeafCritical],Tasks[[#This Row],[_Row]]+1):INDEX(Tasks[_LeafCritical],Tasks[[#This Row],[_Row]]+Tasks[[#This Row],[_Descendants]]),TRUE())&gt;0,Tasks[[#This Row],[_LeafCritical]]),"Yes",""))</f>
        <v/>
      </c>
      <c r="AQ47" s="61">
        <f>IF(Tasks[[#This Row],[Task Name]]="","",IF(N(Tasks[[#This Row],[Baseline Start]])&gt;0,Tasks[[#This Row],[Baseline Start]],Tasks[[#This Row],[_CalcStart]]))</f>
        <v/>
      </c>
      <c r="AR47" s="61">
        <f>IF(Tasks[[#This Row],[Task Name]]="","",IF(N(Tasks[[#This Row],[Baseline Finish]])&gt;0,Tasks[[#This Row],[Baseline Finish]],Tasks[[#This Row],[_CalcFinish]]))</f>
        <v/>
      </c>
      <c r="AS47" s="21">
        <f>IF(Tasks[[#This Row],[Task Name]]="","",IF(Tasks[[#This Row],[Start]]&gt;=Tasks[[#This Row],[Planned Start]],NETWORKDAYS.INTL(Tasks[[#This Row],[Planned Start]],Tasks[[#This Row],[Start]],WorkWeek,Holidays)-1,1-NETWORKDAYS.INTL(Tasks[[#This Row],[Start]],Tasks[[#This Row],[Planned Start]],WorkWeek,Holidays)))</f>
        <v/>
      </c>
      <c r="AT47" s="61">
        <f>IF(Tasks[[#This Row],[Task Name]]="","",IF(Tasks[[#This Row],[_IsSummary]],MIN(INDEX(Tasks[_LeafLateStart],Tasks[[#This Row],[_Row]]+1):INDEX(Tasks[_LeafLateStart],Tasks[[#This Row],[_Row]]+Tasks[[#This Row],[_Descendants]])),Tasks[[#This Row],[_LeafLateStart]]))</f>
        <v/>
      </c>
      <c r="AU47" s="61">
        <f>IF(Tasks[[#This Row],[Task Name]]="","",IF(Tasks[[#This Row],[_IsSummary]],MAX(INDEX(Tasks[_LeafLateFinish],Tasks[[#This Row],[_Row]]+1):INDEX(Tasks[_LeafLateFinish],Tasks[[#This Row],[_Row]]+Tasks[[#This Row],[_Descendants]])),Tasks[[#This Row],[_LeafLateFinish]]))</f>
        <v/>
      </c>
      <c r="AV47" s="21">
        <f>IF(Tasks[[#This Row],[Task Name]]="","",IF(Tasks[[#This Row],[_IsSummary]],MIN(INDEX(Tasks[_LeafTotalSlack],Tasks[[#This Row],[_Row]]+1):INDEX(Tasks[_LeafTotalSlack],Tasks[[#This Row],[_Row]]+Tasks[[#This Row],[_Descendants]])),Tasks[[#This Row],[_LeafTotalSlack]]))</f>
        <v/>
      </c>
      <c r="AW4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3" t="n"/>
      <c r="BA4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f>IF(Tasks[[#This Row],[Task Name]]="","",IF(Tasks[[#This Row],[_Level]]&lt;=OutlineShowLevel,"Yes","No"))</f>
        <v/>
      </c>
      <c r="BE47" s="84">
        <f>IF(Tasks[[#This Row],[Task Name]]="","",IF(Tasks[[#This Row],[_IsSummary]],SUM(INDEX(Tasks[_LeafTotalWork],Tasks[[#This Row],[_Row]]+1):INDEX(Tasks[_LeafTotalWork],Tasks[[#This Row],[_Row]]+Tasks[[#This Row],[_Descendants]])),Tasks[[#This Row],[_LeafTotalWork]]))</f>
        <v/>
      </c>
      <c r="BF47" s="23" t="n"/>
      <c r="BG4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f>""</f>
        <v/>
      </c>
      <c r="BI47" s="85" t="n"/>
      <c r="BJ47" s="22" t="n"/>
      <c r="BK47" s="21">
        <f>IF(OR(Tasks[[#This Row],[Task Name]]="",Tasks[[#This Row],[Baseline Duration]]=""),"",Tasks[[#This Row],[_SpanDays]]-N(Tasks[[#This Row],[Baseline Duration]]))</f>
        <v/>
      </c>
      <c r="BL47" s="84">
        <f>IF(OR(Tasks[[#This Row],[Task Name]]="",Tasks[[#This Row],[Baseline Work]]=""),"",Tasks[[#This Row],[Work]]-N(Tasks[[#This Row],[Baseline Work]]))</f>
        <v/>
      </c>
      <c r="BM47" s="61">
        <f>IF(Tasks[[#This Row],[Task Name]]="","",IF(OR(TakeBaseline="Yes",N(Tasks[[#This Row],[Baseline Start]])=0),Tasks[[#This Row],[Start]],Tasks[[#This Row],[Baseline Start]]))</f>
        <v/>
      </c>
      <c r="BN47" s="61">
        <f>IF(Tasks[[#This Row],[Task Name]]="","",IF(OR(TakeBaseline="Yes",N(Tasks[[#This Row],[Baseline Finish]])=0),Tasks[[#This Row],[Finish]],Tasks[[#This Row],[Baseline Finish]]))</f>
        <v/>
      </c>
      <c r="BO47" s="21">
        <f>IF(Tasks[[#This Row],[Task Name]]="","",IF(OR(TakeBaseline="Yes",N(Tasks[[#This Row],[Baseline Duration]])=0),Tasks[[#This Row],[_SpanDays]],Tasks[[#This Row],[Baseline Duration]]))</f>
        <v/>
      </c>
      <c r="BP47" s="84">
        <f>IF(Tasks[[#This Row],[Task Name]]="","",IF(OR(TakeBaseline="Yes",N(Tasks[[#This Row],[Baseline Work]])=0),Tasks[[#This Row],[Work]],Tasks[[#This Row],[Baseline Work]]))</f>
        <v/>
      </c>
      <c r="BQ47" s="7" t="n"/>
      <c r="BR47" s="7" t="n"/>
      <c r="BS47" s="22" t="n"/>
      <c r="BT47" s="86" t="n"/>
      <c r="BU47" s="23" t="n"/>
      <c r="BV47" s="23" t="n"/>
      <c r="BW47" s="23" t="n"/>
      <c r="BX47" s="87">
        <f>IF(AND(Tasks[[#This Row],[_IsLeaf]]=1,ISNUMBER(Tasks[[#This Row],[Optimistic]]),ISNUMBER(Tasks[[#This Row],[Pessimistic]])),ROUND((Tasks[[#This Row],[Optimistic]]+4*N(Tasks[[#This Row],[_Days]])+Tasks[[#This Row],[Pessimistic]])/6,1),"")</f>
        <v/>
      </c>
      <c r="BY47" s="85" t="n"/>
      <c r="BZ47" s="85" t="n"/>
      <c r="CA47" s="22" t="n"/>
      <c r="CB47" s="42">
        <f>IF(Tasks[[#This Row],[Task Name]]="","",MAX(1,N(Tasks[[#This Row],[Level]])))</f>
        <v/>
      </c>
      <c r="CC47" s="42">
        <f>ROW()-ROW(Tasks[[#Headers],[ID]])</f>
        <v/>
      </c>
      <c r="CD47" s="42">
        <f>IF(OR(Tasks[[#This Row],[Task Name]]="",Tasks[[#This Row],[_Level]]&lt;=1),0,IFERROR(LOOKUP(2,1/(Tasks[[#Headers],[_Level]]:Tasks[[#This Row],[_Level]]=Tasks[[#This Row],[_Level]]-1),ROW(Tasks[[#Headers],[_Level]]:Tasks[[#This Row],[_Level]])),0))</f>
        <v/>
      </c>
      <c r="CE47" s="42">
        <f>IFERROR(N(INDEX(Tasks[_Level],Tasks[[#This Row],[_Row]]+1)),0)</f>
        <v/>
      </c>
      <c r="CF47" s="42">
        <f>AND(Tasks[[#This Row],[Task Name]]&lt;&gt;"",Tasks[[#This Row],[_NextLevel]]&gt;Tasks[[#This Row],[_Level]])</f>
        <v/>
      </c>
      <c r="CG47" s="42">
        <f>IF(Tasks[[#This Row],[_IsSummary]],COUNTIF(Tasks[WBS],Tasks[[#This Row],[WBS]]&amp;".*"),0)</f>
        <v/>
      </c>
      <c r="CH47" s="42">
        <f>IF(AND(Tasks[[#This Row],[Task Name]]&lt;&gt;"",NOT(Tasks[[#This Row],[_IsSummary]])),1,0)</f>
        <v/>
      </c>
      <c r="CI47" s="42">
        <f>IF(N(Tasks[[#This Row],[_Pred1UID]])=0,0,IFERROR(MATCH(Tasks[[#This Row],[_Pred1UID]],Tasks[UID],0),-1))</f>
        <v/>
      </c>
      <c r="CJ47" s="42">
        <f>IF(N(Tasks[[#This Row],[_Pred2UID]])=0,0,IFERROR(MATCH(Tasks[[#This Row],[_Pred2UID]],Tasks[UID],0),-1))</f>
        <v/>
      </c>
      <c r="CK47" s="42">
        <f>IF(N(Tasks[[#This Row],[_Pred3UID]])=0,0,IFERROR(MATCH(Tasks[[#This Row],[_Pred3UID]],Tasks[UID],0),-1))</f>
        <v/>
      </c>
      <c r="CL47" s="42">
        <f>IF(N(Tasks[[#This Row],[_Pred4UID]])=0,0,IFERROR(MATCH(Tasks[[#This Row],[_Pred4UID]],Tasks[UID],0),-1))</f>
        <v/>
      </c>
      <c r="CM4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7" s="88">
        <f>IF(N(Tasks[[#This Row],[Constraint Date]])=0,0,IF(AND(OR(Tasks[[#This Row],[_ConstraintCode]]=3,Tasks[[#This Row],[_ConstraintCode]]=6,Tasks[[#This Row],[_ConstraintCode]]=7),N(Tasks[[#This Row],[_Days]])&gt;1),WORKDAY.INTL(N(Tasks[[#This Row],[Constraint Date]]),-(N(Tasks[[#This Row],[_Days]])-1),WorkWeek,Holidays),N(Tasks[[#This Row],[Constraint Date]])))</f>
        <v/>
      </c>
      <c r="CO47" s="88">
        <f>IF(OR(Tasks[[#This Row],[_ConstraintCode]]=2,Tasks[[#This Row],[_ConstraintCode]]=3,Tasks[[#This Row],[_ConstraintCode]]=4,Tasks[[#This Row],[_ConstraintCode]]=6),Tasks[[#This Row],[_ConstraintStart]],0)</f>
        <v/>
      </c>
      <c r="CP47" s="88">
        <f>IF(OR(Tasks[[#This Row],[_ConstraintCode]]=2,Tasks[[#This Row],[_ConstraintCode]]=3,Tasks[[#This Row],[_ConstraintCode]]=5,Tasks[[#This Row],[_ConstraintCode]]=7),Tasks[[#This Row],[_ConstraintStart]],2958465)</f>
        <v/>
      </c>
      <c r="CQ4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7" s="88">
        <f>IF(NOT(Tasks[[#This Row],[_IsLeaf]]=1),"",IF(N(Tasks[[#This Row],[_Days]])&lt;=0,Tasks[[#This Row],[_LeafCalcStart]],WORKDAY.INTL(Tasks[[#This Row],[_LeafCalcStart]],Tasks[[#This Row],[_Days]]-1,WorkWeek,Holidays)))</f>
        <v/>
      </c>
      <c r="CS4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7" s="42">
        <f>IF(Tasks[[#This Row],[_Predecessors]]="","",TRIM(MID(SUBSTITUTE(SUBSTITUTE(SUBSTITUTE(UPPER(Tasks[[#This Row],[_Predecessors]]),";",",")," ",""),",",REPT(" ",99)),1,99)))</f>
        <v/>
      </c>
      <c r="CV47" s="42">
        <f>IF(Tasks[[#This Row],[_Pred1Text]]="","",IFERROR(VALUE(LEFT(Tasks[[#This Row],[_Pred1Text]],MIN(FIND("F",Tasks[[#This Row],[_Pred1Text]]&amp;"F"),FIND("S",Tasks[[#This Row],[_Pred1Text]]&amp;"S"),FIND("+",Tasks[[#This Row],[_Pred1Text]]&amp;"+"),FIND("-",Tasks[[#This Row],[_Pred1Text]]&amp;"-"))-1)),""))</f>
        <v/>
      </c>
      <c r="CW4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7" s="42">
        <f>IF(Tasks[[#This Row],[_Pred1Text]]="","",TRIM(MID(SUBSTITUTE(SUBSTITUTE(SUBSTITUTE(UPPER(Tasks[[#This Row],[_Predecessors]]),";",",")," ",""),",",REPT(" ",99)),100,99)))</f>
        <v/>
      </c>
      <c r="CZ47" s="42">
        <f>IF(Tasks[[#This Row],[_Pred2Text]]="","",IFERROR(VALUE(LEFT(Tasks[[#This Row],[_Pred2Text]],MIN(FIND("F",Tasks[[#This Row],[_Pred2Text]]&amp;"F"),FIND("S",Tasks[[#This Row],[_Pred2Text]]&amp;"S"),FIND("+",Tasks[[#This Row],[_Pred2Text]]&amp;"+"),FIND("-",Tasks[[#This Row],[_Pred2Text]]&amp;"-"))-1)),""))</f>
        <v/>
      </c>
      <c r="DA4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7" s="42">
        <f>IF(Tasks[[#This Row],[_Pred2Text]]="","",TRIM(MID(SUBSTITUTE(SUBSTITUTE(SUBSTITUTE(UPPER(Tasks[[#This Row],[_Predecessors]]),";",",")," ",""),",",REPT(" ",99)),199,99)))</f>
        <v/>
      </c>
      <c r="DD47" s="42">
        <f>IF(Tasks[[#This Row],[_Pred3Text]]="","",IFERROR(VALUE(LEFT(Tasks[[#This Row],[_Pred3Text]],MIN(FIND("F",Tasks[[#This Row],[_Pred3Text]]&amp;"F"),FIND("S",Tasks[[#This Row],[_Pred3Text]]&amp;"S"),FIND("+",Tasks[[#This Row],[_Pred3Text]]&amp;"+"),FIND("-",Tasks[[#This Row],[_Pred3Text]]&amp;"-"))-1)),""))</f>
        <v/>
      </c>
      <c r="DE4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7" s="42">
        <f>IF(Tasks[[#This Row],[_Pred3Text]]="","",TRIM(MID(SUBSTITUTE(SUBSTITUTE(SUBSTITUTE(UPPER(Tasks[[#This Row],[_Predecessors]]),";",",")," ",""),",",REPT(" ",99)),298,99)))</f>
        <v/>
      </c>
      <c r="DH47" s="42">
        <f>IF(Tasks[[#This Row],[_Pred4Text]]="","",IFERROR(VALUE(LEFT(Tasks[[#This Row],[_Pred4Text]],MIN(FIND("F",Tasks[[#This Row],[_Pred4Text]]&amp;"F"),FIND("S",Tasks[[#This Row],[_Pred4Text]]&amp;"S"),FIND("+",Tasks[[#This Row],[_Pred4Text]]&amp;"+"),FIND("-",Tasks[[#This Row],[_Pred4Text]]&amp;"-"))-1)),""))</f>
        <v/>
      </c>
      <c r="DI4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7" s="42">
        <f>IF(OR(Tasks[[#This Row],[Task Name]]="",Tasks[[#This Row],[_Resources]]=""),"",TRIM(MID(SUBSTITUTE(Tasks[[#This Row],[_Resources]],",",REPT(" ",99)),1,99)))</f>
        <v/>
      </c>
      <c r="DL47" s="42">
        <f>IF(Tasks[[#This Row],[_Res1Text]]="","",TRIM(MID(SUBSTITUTE(Tasks[[#This Row],[_Resources]],",",REPT(" ",99)),100,99)))</f>
        <v/>
      </c>
      <c r="DM47" s="42">
        <f>IF(Tasks[[#This Row],[_Res2Text]]="","",TRIM(MID(SUBSTITUTE(Tasks[[#This Row],[_Resources]],",",REPT(" ",99)),199,99)))</f>
        <v/>
      </c>
      <c r="DN47" s="42">
        <f>IF(Tasks[[#This Row],[_Res3Text]]="","",TRIM(MID(SUBSTITUTE(Tasks[[#This Row],[_Resources]],",",REPT(" ",99)),298,99)))</f>
        <v/>
      </c>
      <c r="DO47" s="42">
        <f>IF(Tasks[[#This Row],[_Res1Text]]="",0,IFERROR(MATCH(TRIM(LEFT(Tasks[[#This Row],[_Res1Text]],FIND("[",Tasks[[#This Row],[_Res1Text]]&amp;"[")-1)),res_Name,0),IFERROR(MATCH(TRIM(LEFT(Tasks[[#This Row],[_Res1Text]],FIND("[",Tasks[[#This Row],[_Res1Text]]&amp;"[")-1)),res_Initials,0),0)))</f>
        <v/>
      </c>
      <c r="DP47" s="42">
        <f>IF(Tasks[[#This Row],[_Res2Text]]="",0,IFERROR(MATCH(TRIM(LEFT(Tasks[[#This Row],[_Res2Text]],FIND("[",Tasks[[#This Row],[_Res2Text]]&amp;"[")-1)),res_Name,0),IFERROR(MATCH(TRIM(LEFT(Tasks[[#This Row],[_Res2Text]],FIND("[",Tasks[[#This Row],[_Res2Text]]&amp;"[")-1)),res_Initials,0),0)))</f>
        <v/>
      </c>
      <c r="DQ47" s="42">
        <f>IF(Tasks[[#This Row],[_Res3Text]]="",0,IFERROR(MATCH(TRIM(LEFT(Tasks[[#This Row],[_Res3Text]],FIND("[",Tasks[[#This Row],[_Res3Text]]&amp;"[")-1)),res_Name,0),IFERROR(MATCH(TRIM(LEFT(Tasks[[#This Row],[_Res3Text]],FIND("[",Tasks[[#This Row],[_Res3Text]]&amp;"[")-1)),res_Initials,0),0)))</f>
        <v/>
      </c>
      <c r="DR47" s="42">
        <f>IF(Tasks[[#This Row],[_Res4Text]]="",0,IFERROR(MATCH(TRIM(LEFT(Tasks[[#This Row],[_Res4Text]],FIND("[",Tasks[[#This Row],[_Res4Text]]&amp;"[")-1)),res_Name,0),IFERROR(MATCH(TRIM(LEFT(Tasks[[#This Row],[_Res4Text]],FIND("[",Tasks[[#This Row],[_Res4Text]]&amp;"[")-1)),res_Initials,0),0)))</f>
        <v/>
      </c>
      <c r="DS47" s="42">
        <f>IF(Tasks[[#This Row],[_Res1Text]]="","",IF(Tasks[[#This Row],[_Res1Row]]&gt;0,INDEX(res_Name,Tasks[[#This Row],[_Res1Row]]),TRIM(LEFT(Tasks[[#This Row],[_Res1Text]],FIND("[",Tasks[[#This Row],[_Res1Text]]&amp;"[")-1))))</f>
        <v/>
      </c>
      <c r="DT4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7" s="42">
        <f>IF(NOT(Tasks[[#This Row],[_IsLeaf]]=1),0,(Tasks[[#This Row],[_Resource1]]&lt;&gt;"")+(Tasks[[#This Row],[_Res2]]&lt;&gt;"")+(Tasks[[#This Row],[_Res3]]&lt;&gt;"")+(Tasks[[#This Row],[_Res4]]&lt;&gt;""))</f>
        <v/>
      </c>
      <c r="DV47" s="42">
        <f>IF(Tasks[[#This Row],[_Res2Text]]="","",IF(Tasks[[#This Row],[_Res2Row]]&gt;0,INDEX(res_Name,Tasks[[#This Row],[_Res2Row]]),TRIM(LEFT(Tasks[[#This Row],[_Res2Text]],FIND("[",Tasks[[#This Row],[_Res2Text]]&amp;"[")-1))))</f>
        <v/>
      </c>
      <c r="DW4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7" s="42">
        <f>IF(OR(NOT(Tasks[[#This Row],[_IsLeaf]]=1),Tasks[[#This Row],[_Res2Row]]=0),0,N(Tasks[[#This Row],[_Days]])*HoursPerDay*IF(Tasks[[#This Row],[_Res2Units]]="",DefaultUnits,Tasks[[#This Row],[_Res2Units]]))</f>
        <v/>
      </c>
      <c r="DY47" s="42">
        <f>IF(AND(AND(Tasks[[#This Row],[_IsLeaf]]=1,Tasks[[#This Row],[_LeafTotalWork]]&gt;0),Tasks[[#This Row],[_Res2Work]]&gt;0),Tasks[[#This Row],[_Res2Work]]/(Tasks[[#This Row],[_FinishWorkday]]-Tasks[[#This Row],[_StartWorkday]]+1),0)</f>
        <v/>
      </c>
      <c r="DZ47" s="42">
        <f>Tasks[[#This Row],[_Res2WorkPerWD]]*MAX(0,Tasks[[#This Row],[_StartWorkday]]-1)</f>
        <v/>
      </c>
      <c r="EA47" s="42">
        <f>Tasks[[#This Row],[_Res2Work]]*Tasks[[#This Row],[_LeafProgress]]</f>
        <v/>
      </c>
      <c r="EB47" s="42">
        <f>IF(Tasks[[#This Row],[_Res3Text]]="","",IF(Tasks[[#This Row],[_Res3Row]]&gt;0,INDEX(res_Name,Tasks[[#This Row],[_Res3Row]]),TRIM(LEFT(Tasks[[#This Row],[_Res3Text]],FIND("[",Tasks[[#This Row],[_Res3Text]]&amp;"[")-1))))</f>
        <v/>
      </c>
      <c r="EC4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7" s="42">
        <f>IF(OR(NOT(Tasks[[#This Row],[_IsLeaf]]=1),Tasks[[#This Row],[_Res3Row]]=0),0,N(Tasks[[#This Row],[_Days]])*HoursPerDay*IF(Tasks[[#This Row],[_Res3Units]]="",DefaultUnits,Tasks[[#This Row],[_Res3Units]]))</f>
        <v/>
      </c>
      <c r="EE47" s="42">
        <f>IF(AND(AND(Tasks[[#This Row],[_IsLeaf]]=1,Tasks[[#This Row],[_LeafTotalWork]]&gt;0),Tasks[[#This Row],[_Res3Work]]&gt;0),Tasks[[#This Row],[_Res3Work]]/(Tasks[[#This Row],[_FinishWorkday]]-Tasks[[#This Row],[_StartWorkday]]+1),0)</f>
        <v/>
      </c>
      <c r="EF47" s="42">
        <f>Tasks[[#This Row],[_Res3WorkPerWD]]*MAX(0,Tasks[[#This Row],[_StartWorkday]]-1)</f>
        <v/>
      </c>
      <c r="EG47" s="42">
        <f>Tasks[[#This Row],[_Res3Work]]*Tasks[[#This Row],[_LeafProgress]]</f>
        <v/>
      </c>
      <c r="EH47" s="42">
        <f>IF(Tasks[[#This Row],[_Res4Text]]="","",IF(Tasks[[#This Row],[_Res4Row]]&gt;0,INDEX(res_Name,Tasks[[#This Row],[_Res4Row]]),TRIM(LEFT(Tasks[[#This Row],[_Res4Text]],FIND("[",Tasks[[#This Row],[_Res4Text]]&amp;"[")-1))))</f>
        <v/>
      </c>
      <c r="EI4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7" s="42">
        <f>IF(OR(NOT(Tasks[[#This Row],[_IsLeaf]]=1),Tasks[[#This Row],[_Res4Row]]=0),0,N(Tasks[[#This Row],[_Days]])*HoursPerDay*IF(Tasks[[#This Row],[_Res4Units]]="",DefaultUnits,Tasks[[#This Row],[_Res4Units]]))</f>
        <v/>
      </c>
      <c r="EK47" s="42">
        <f>IF(AND(AND(Tasks[[#This Row],[_IsLeaf]]=1,Tasks[[#This Row],[_LeafTotalWork]]&gt;0),Tasks[[#This Row],[_Res4Work]]&gt;0),Tasks[[#This Row],[_Res4Work]]/(Tasks[[#This Row],[_FinishWorkday]]-Tasks[[#This Row],[_StartWorkday]]+1),0)</f>
        <v/>
      </c>
      <c r="EL47" s="42">
        <f>Tasks[[#This Row],[_Res4WorkPerWD]]*MAX(0,Tasks[[#This Row],[_StartWorkday]]-1)</f>
        <v/>
      </c>
      <c r="EM47" s="42">
        <f>Tasks[[#This Row],[_Res4Work]]*Tasks[[#This Row],[_LeafProgress]]</f>
        <v/>
      </c>
      <c r="EN47" s="42">
        <f>IF(ISNUMBER(Tasks[[#This Row],[% Complete]]),Tasks[[#This Row],[% Complete]],IF(Tasks[[#This Row],[Stage]]="",0,IFERROR(INDEX(stg_Pct,MATCH(Tasks[[#This Row],[Stage]],stg_Name,0)),0)))</f>
        <v/>
      </c>
      <c r="EO47" s="42">
        <f>IF(NOT(Tasks[[#This Row],[_IsLeaf]]=1),0,IF(N(Tasks[[#This Row],[Actual Finish]])&gt;0,1,MIN(1,Tasks[[#This Row],[_Pct]])))</f>
        <v/>
      </c>
      <c r="EP47" s="42">
        <f>IF(OR(NOT(Tasks[[#This Row],[_IsLeaf]]=1),Tasks[[#This Row],[_Res1Row]]=0),0,N(Tasks[[#This Row],[_Days]])*HoursPerDay*IF(Tasks[[#This Row],[_Units1]]="",DefaultUnits,Tasks[[#This Row],[_Units1]]))</f>
        <v/>
      </c>
      <c r="EQ47" s="42">
        <f>Tasks[[#This Row],[_LeafWork]]+Tasks[[#This Row],[_Res2Work]]+Tasks[[#This Row],[_Res3Work]]+Tasks[[#This Row],[_Res4Work]]</f>
        <v/>
      </c>
      <c r="ER4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7" s="42">
        <f>IF(NOT(Tasks[[#This Row],[_IsLeaf]]=1),0,MAX(_xlfn.MAXIFS(Tasks[_Row],Tasks[_Pred1UID],Tasks[[#This Row],[UID]]),_xlfn.MAXIFS(Tasks[_Row],Tasks[_Pred2UID],Tasks[[#This Row],[UID]]),_xlfn.MAXIFS(Tasks[_Row],Tasks[_Pred3UID],Tasks[[#This Row],[UID]]),_xlfn.MAXIFS(Tasks[_Row],Tasks[_Pred4UID],Tasks[[#This Row],[UID]])))</f>
        <v/>
      </c>
      <c r="FA4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7" s="88">
        <f>IF(NOT(Tasks[[#This Row],[_IsLeaf]]=1),"",IF(N(Tasks[[#This Row],[_Days]])&lt;=0,Tasks[[#This Row],[_LeafLateFinish]],WORKDAY.INTL(Tasks[[#This Row],[_LeafLateFinish]],-(Tasks[[#This Row],[_Days]]-1),WorkWeek,Holidays)))</f>
        <v/>
      </c>
      <c r="FD4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7" s="42">
        <f>AND(Tasks[[#This Row],[_IsLeaf]]=1,Tasks[[#This Row],[_LeafProgress]]&lt;1,N(Tasks[[#This Row],[_LeafTotalSlack]])&lt;=CriticalSlackDays)</f>
        <v/>
      </c>
      <c r="FF47" s="42">
        <f>IF(AND(Tasks[[#This Row],[_IsLeaf]]=1,Tasks[[#This Row],[_ConstraintCode]]=1,Tasks[[#This Row],[Mode]]&lt;&gt;"Manual",N(Tasks[[#This Row],[Actual Start]])=0),MAX(0,N(Tasks[[#This Row],[Free Slack]])),0)</f>
        <v/>
      </c>
      <c r="FG47" s="88">
        <f>IF(NOT(Tasks[[#This Row],[_IsLeaf]]=1),"",IF(Tasks[[#This Row],[_AlapShift]]=0,Tasks[[#This Row],[_LeafCalcStart]],WORKDAY.INTL(Tasks[[#This Row],[_LeafCalcStart]],Tasks[[#This Row],[_AlapShift]],WorkWeek,Holidays)))</f>
        <v/>
      </c>
      <c r="FH47" s="88">
        <f>IF(NOT(Tasks[[#This Row],[_IsLeaf]]=1),"",IF(Tasks[[#This Row],[_AlapShift]]=0,Tasks[[#This Row],[_LeafCalcFinish]],WORKDAY.INTL(Tasks[[#This Row],[_LeafCalcFinish]],Tasks[[#This Row],[_AlapShift]],WorkWeek,Holidays)))</f>
        <v/>
      </c>
      <c r="FI47" s="88">
        <f>IF(NOT(Tasks[[#This Row],[_IsLeaf]]=1),"",IF(Tasks[[#This Row],[_AlapShift]]=0,Tasks[[#This Row],[_LeafFcstStart]],WORKDAY.INTL(Tasks[[#This Row],[_LeafFcstStart]],Tasks[[#This Row],[_AlapShift]],WorkWeek,Holidays)))</f>
        <v/>
      </c>
      <c r="FJ47" s="88">
        <f>IF(NOT(Tasks[[#This Row],[_IsLeaf]]=1),"",IF(Tasks[[#This Row],[_AlapShift]]=0,Tasks[[#This Row],[_LeafFcstFinish]],WORKDAY.INTL(Tasks[[#This Row],[_LeafFcstFinish]],Tasks[[#This Row],[_AlapShift]],WorkWeek,Holidays)))</f>
        <v/>
      </c>
      <c r="FK47" s="88">
        <f>IF(Tasks[[#This Row],[Task Name]]="","",IF(Tasks[[#This Row],[_IsSummary]],MIN(INDEX(Tasks[_ShownCalcStart],Tasks[[#This Row],[_Row]]+1):INDEX(Tasks[_ShownCalcStart],Tasks[[#This Row],[_Row]]+Tasks[[#This Row],[_Descendants]])),Tasks[[#This Row],[_ShownCalcStart]]))</f>
        <v/>
      </c>
      <c r="FL47" s="88">
        <f>IF(Tasks[[#This Row],[Task Name]]="","",IF(Tasks[[#This Row],[_IsSummary]],MAX(INDEX(Tasks[_ShownCalcFinish],Tasks[[#This Row],[_Row]]+1):INDEX(Tasks[_ShownCalcFinish],Tasks[[#This Row],[_Row]]+Tasks[[#This Row],[_Descendants]])),Tasks[[#This Row],[_ShownCalcFinish]]))</f>
        <v/>
      </c>
      <c r="FM4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7" s="42">
        <f>IF(AND(Tasks[[#This Row],[_IsLeaf]]=1,Tasks[[#This Row],[_LeafTotalWork]]&gt;0),NETWORKDAYS.INTL(ProjectStart,Tasks[[#This Row],[_ShownFcstStart]],WorkWeek,Holidays),0)</f>
        <v/>
      </c>
      <c r="FZ47" s="42">
        <f>IF(AND(Tasks[[#This Row],[_IsLeaf]]=1,Tasks[[#This Row],[_LeafTotalWork]]&gt;0),MAX(Tasks[[#This Row],[_StartWorkday]],NETWORKDAYS.INTL(ProjectStart,Tasks[[#This Row],[_ShownFcstFinish]],WorkWeek,Holidays)),0)</f>
        <v/>
      </c>
      <c r="GA47" s="42">
        <f>IF(AND(Tasks[[#This Row],[_IsLeaf]]=1,Tasks[[#This Row],[_LeafTotalWork]]&gt;0),Tasks[[#This Row],[_LeafWork]]/(Tasks[[#This Row],[_FinishWorkday]]-Tasks[[#This Row],[_StartWorkday]]+1),0)</f>
        <v/>
      </c>
      <c r="GB47" s="42">
        <f>Tasks[[#This Row],[_WorkPerWorkday]]*(Tasks[[#This Row],[_StartWorkday]]-1)</f>
        <v/>
      </c>
      <c r="GC47" s="42">
        <f>IF(Tasks[[#This Row],[_IsLeaf]]=1,MAX(N(Tasks[[#This Row],[_Days]]),0.1),0)</f>
        <v/>
      </c>
      <c r="GD47" s="42">
        <f>Tasks[[#This Row],[_WeightDur]]*Tasks[[#This Row],[_LeafProgress]]</f>
        <v/>
      </c>
      <c r="GE47" s="42">
        <f>Tasks[[#This Row],[_WeightDur]]*Tasks[[#This Row],[_PlannedPct]]</f>
        <v/>
      </c>
      <c r="GF4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7" s="42">
        <f>IF(AND(Tasks[[#This Row],[_IsLeaf]]=1,N(Tasks[[#This Row],[_Days]])=0,Tasks[[#This Row],[_LeafProgress]]&lt;1),Tasks[[#This Row],[_ShownFcstFinish]]+Tasks[[#This Row],[_Row]]/100000,"")</f>
        <v/>
      </c>
      <c r="GH4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7" s="42">
        <f>IF(Tasks[[#This Row],[Task Name]]="","",LEFT(Tasks[[#This Row],[WBS]],FIND(".",Tasks[[#This Row],[WBS]]&amp;".")-1))</f>
        <v/>
      </c>
      <c r="GJ47" s="42">
        <f>IF(AND(Tasks[[#This Row],[Task Name]]&lt;&gt;"",Tasks[[#This Row],[_Level]]=1),Tasks[[#This Row],[_Row]],"")</f>
        <v/>
      </c>
      <c r="GK47" s="42">
        <f>IF(AND(Tasks[[#This Row],[_IsLeaf]]=1,N(Tasks[[#This Row],[_Days]])=0),Tasks[[#This Row],[Planned Finish]]+Tasks[[#This Row],[_Row]]/100000,"")</f>
        <v/>
      </c>
      <c r="GL47" s="42">
        <f>IF(AND(Tasks[[#This Row],[_IsLeaf]]=1,Tasks[[#This Row],[_LeafProgress]]&lt;1,OR(N(Tasks[[#This Row],[Finish Var]])&gt;0,Tasks[[#This Row],[Status]]="Late Start")),MAX(0,Tasks[[#This Row],[Finish Var]])+1-Tasks[[#This Row],[_Row]]/1000000,"")</f>
        <v/>
      </c>
      <c r="GM47" s="42">
        <f>IF(AND(Tasks[[#This Row],[_IsLeaf]]=1,N(Tasks[[#This Row],[Actual Start]])=0,Tasks[[#This Row],[_ShownFcstStart]]&gt;=StatusDate,Tasks[[#This Row],[_ShownFcstStart]]&lt;=LookaheadEnd),Tasks[[#This Row],[_ShownFcstStart]]+Tasks[[#This Row],[_Row]]/100000,"")</f>
        <v/>
      </c>
      <c r="GN47" s="42">
        <f>IF(AND(Tasks[[#This Row],[_IsLeaf]]=1,Tasks[[#This Row],[_LeafProgress]]&lt;1,Tasks[[#This Row],[_ShownFcstFinish]]&gt;=StatusDate,Tasks[[#This Row],[_ShownFcstFinish]]&lt;=LookaheadEnd),Tasks[[#This Row],[_ShownFcstFinish]]+Tasks[[#This Row],[_Row]]/100000,"")</f>
        <v/>
      </c>
      <c r="GO47" s="42">
        <f>IF(Tasks[[#This Row],[_LeafCritical]],Tasks[[#This Row],[_ShownFcstStart]]+Tasks[[#This Row],[_Row]]/100000,"")</f>
        <v/>
      </c>
      <c r="GP47" s="42">
        <f>Tasks[[#This Row],[_LeafWork]]*Tasks[[#This Row],[_LeafProgress]]</f>
        <v/>
      </c>
      <c r="GQ47" s="88">
        <f>IF(AND(Tasks[[#This Row],[_IsLeaf]]=1,Tasks[[#This Row],[_LeafProgress]]&gt;=1),IF(N(Tasks[[#This Row],[Actual Finish]])&gt;0,Tasks[[#This Row],[Actual Finish]],Tasks[[#This Row],[_ShownFcstFinish]]),"")</f>
        <v/>
      </c>
      <c r="GR47" s="42">
        <f>IF(Tasks[[#This Row],[_IsLeaf]]=1,N(Tasks[[#This Row],[Story Points]]),0)</f>
        <v/>
      </c>
      <c r="GS47" s="42">
        <f>""</f>
        <v/>
      </c>
      <c r="GT47" s="42">
        <f>IF(Tasks[[#This Row],[Task Name]]="",FALSE(),AND(Tasks[[#This Row],[_IsLeaf]]=1,N(Tasks[[#This Row],[_Days]])=0))</f>
        <v/>
      </c>
      <c r="GU47" s="88">
        <f>IF(Tasks[[#This Row],[Task Name]]="",0,IF(AND(Tasks[[#This Row],[_IsLeaf]]=1,NOT(Tasks[[#This Row],[_IsMilestone]]),N(Tasks[[#This Row],[Progress]])&gt;0),Tasks[[#This Row],[Start]],0))</f>
        <v/>
      </c>
      <c r="GV47" s="88">
        <f>IF(Tasks[[#This Row],[_DoneFrom]]=0,0,IF(Tasks[[#This Row],[Progress]]&gt;=1,Tasks[[#This Row],[Finish]],MAX(Tasks[[#This Row],[_DoneFrom]],Tasks[[#This Row],[Start]]+ROUND((Tasks[[#This Row],[Finish]]-Tasks[[#This Row],[Start]]+1)*Tasks[[#This Row],[Progress]],0)-1)))</f>
        <v/>
      </c>
      <c r="GW47" s="88">
        <f>IF(Tasks[[#This Row],[Task Name]]="",0,IF(OR(NOT(Tasks[[#This Row],[_IsLeaf]]=1),Tasks[[#This Row],[_IsMilestone]],N(Tasks[[#This Row],[Progress]])&gt;=1),0,IF(Tasks[[#This Row],[_DoneTo]]&gt;0,Tasks[[#This Row],[_DoneTo]]+1,Tasks[[#This Row],[Start]])))</f>
        <v/>
      </c>
      <c r="GX47" s="88">
        <f>IF(Tasks[[#This Row],[_RemFrom]]=0,0,Tasks[[#This Row],[Finish]])</f>
        <v/>
      </c>
      <c r="GY47" s="42">
        <f>IF(Tasks[[#This Row],[Task Name]]="",FALSE(),OR(NOT(BaselineSet),N(Tasks[[#This Row],[Baseline Start]])&gt;0))</f>
        <v/>
      </c>
      <c r="GZ47" s="42">
        <f>IF(AND(Sandbox="Yes",L_PARSE_DURATION(Tasks[[#This Row],[Sandbox Duration]])&lt;&gt;""),L_PARSE_DURATION(Tasks[[#This Row],[Sandbox Duration]]),L_PARSE_DURATION(Tasks[[#This Row],[Duration]]))</f>
        <v/>
      </c>
      <c r="HA4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7" s="42">
        <f>IF(Tasks[[#This Row],[_IsLeaf]]=1,Tasks[[#This Row],[_Row]],"")</f>
        <v/>
      </c>
      <c r="HD47" s="42">
        <f>IFERROR(INDEX(Tasks[UID],SMALL(Tasks[_PickKey],Tasks[[#This Row],[_Row]]))&amp;" "&amp;INDEX(Tasks[Task Name],SMALL(Tasks[_PickKey],Tasks[[#This Row],[_Row]])),"")</f>
        <v/>
      </c>
      <c r="HE47" s="42">
        <f>IF(Tasks[[#This Row],[Task Name]]="","",IF(Tasks[[#This Row],[_IsSummary]],NETWORKDAYS.INTL(Tasks[[#This Row],[Start]],Tasks[[#This Row],[Finish]],WorkWeek,Holidays),N(Tasks[[#This Row],[_Days]])))</f>
        <v/>
      </c>
      <c r="HF47" s="42">
        <f>IF(Tasks[[#This Row],[Expected]]="",0,((Tasks[[#This Row],[Pessimistic]]-Tasks[[#This Row],[Optimistic]])/6)^2)</f>
        <v/>
      </c>
      <c r="HG47" s="42">
        <f>IF(Tasks[[#This Row],[Expected]]="",0,Tasks[[#This Row],[Expected]]-N(Tasks[[#This Row],[_Days]]))</f>
        <v/>
      </c>
    </row>
    <row r="48">
      <c r="A48" s="21">
        <f>IF(Tasks[[#This Row],[Task Name]]="","",COUNTA(Tasks[[#Headers],[Task Name]]:Tasks[[#This Row],[Task Name]])-1)</f>
        <v/>
      </c>
      <c r="B48" s="22" t="n">
        <v>56</v>
      </c>
      <c r="C48" s="22" t="n"/>
      <c r="D48" s="23" t="n"/>
      <c r="E48" s="22" t="n"/>
      <c r="F48" s="23" t="n"/>
      <c r="G48" s="22" t="n"/>
      <c r="H48" s="22" t="n"/>
      <c r="I48" s="23" t="n"/>
      <c r="J48" s="22" t="n"/>
      <c r="K48" s="22" t="n"/>
      <c r="L48" s="23" t="n"/>
      <c r="M48" s="22" t="n"/>
      <c r="N48" s="22" t="n"/>
      <c r="O48" s="23" t="n"/>
      <c r="P48" s="22" t="n"/>
      <c r="Q48" s="22" t="n"/>
      <c r="R48" s="23" t="n"/>
      <c r="S48" s="23" t="n"/>
      <c r="T48" s="82" t="n"/>
      <c r="U48" s="23" t="n"/>
      <c r="V48" s="82" t="n"/>
      <c r="W48" s="23" t="n"/>
      <c r="X48" s="82" t="n"/>
      <c r="Y48" s="23" t="n"/>
      <c r="Z48" s="82" t="n"/>
      <c r="AA48" s="23" t="n"/>
      <c r="AB48" s="23" t="n"/>
      <c r="AC48" s="7" t="n"/>
      <c r="AD48" s="7" t="n"/>
      <c r="AE48" s="61">
        <f>IF(Tasks[[#This Row],[Task Name]]="","",IF(Tasks[[#This Row],[_IsSummary]],MIN(INDEX(Tasks[_ShownFcstStart],Tasks[[#This Row],[_Row]]+1):INDEX(Tasks[_ShownFcstStart],Tasks[[#This Row],[_Row]]+Tasks[[#This Row],[_Descendants]])),Tasks[[#This Row],[_ShownFcstStart]]))</f>
        <v/>
      </c>
      <c r="AF48" s="61">
        <f>IF(Tasks[[#This Row],[Task Name]]="","",IF(Tasks[[#This Row],[_IsSummary]],MAX(INDEX(Tasks[_ShownFcstFinish],Tasks[[#This Row],[_Row]]+1):INDEX(Tasks[_ShownFcstFinish],Tasks[[#This Row],[_Row]]+Tasks[[#This Row],[_Descendants]])),Tasks[[#This Row],[_ShownFcstFinish]]))</f>
        <v/>
      </c>
      <c r="AG48" s="21">
        <f>""</f>
        <v/>
      </c>
      <c r="AH48" s="23" t="n"/>
      <c r="AI4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8" s="7" t="n"/>
      <c r="AK48" s="22" t="n"/>
      <c r="AL48" s="23" t="n"/>
      <c r="AM48" s="7" t="n"/>
      <c r="AN48" s="21">
        <f>IF(Tasks[[#This Row],[Task Name]]="","",IF(Tasks[[#This Row],[Finish]]&gt;=Tasks[[#This Row],[Planned Finish]],NETWORKDAYS.INTL(Tasks[[#This Row],[Planned Finish]],Tasks[[#This Row],[Finish]],WorkWeek,Holidays)-1,1-NETWORKDAYS.INTL(Tasks[[#This Row],[Finish]],Tasks[[#This Row],[Planned Finish]],WorkWeek,Holidays)))</f>
        <v/>
      </c>
      <c r="AO48" s="21">
        <f>IF(Tasks[[#This Row],[Task Name]]="","",IF(Tasks[[#This Row],[Progress]]&gt;=1,"Complete",IF(OR(N(Tasks[[#This Row],[Actual Start]])&gt;0,Tasks[[#This Row],[Progress]]&gt;0),IF(Tasks[[#This Row],[Finish Var]]&gt;0,"Behind","In Progress"),IF(Tasks[[#This Row],[Planned Start]]&lt;StatusDate,"Late Start","Not Started"))))</f>
        <v/>
      </c>
      <c r="AP48" s="21">
        <f>IF(Tasks[[#This Row],[Task Name]]="","",IF(IF(Tasks[[#This Row],[_IsSummary]],COUNTIF(INDEX(Tasks[_LeafCritical],Tasks[[#This Row],[_Row]]+1):INDEX(Tasks[_LeafCritical],Tasks[[#This Row],[_Row]]+Tasks[[#This Row],[_Descendants]]),TRUE())&gt;0,Tasks[[#This Row],[_LeafCritical]]),"Yes",""))</f>
        <v/>
      </c>
      <c r="AQ48" s="61">
        <f>IF(Tasks[[#This Row],[Task Name]]="","",IF(N(Tasks[[#This Row],[Baseline Start]])&gt;0,Tasks[[#This Row],[Baseline Start]],Tasks[[#This Row],[_CalcStart]]))</f>
        <v/>
      </c>
      <c r="AR48" s="61">
        <f>IF(Tasks[[#This Row],[Task Name]]="","",IF(N(Tasks[[#This Row],[Baseline Finish]])&gt;0,Tasks[[#This Row],[Baseline Finish]],Tasks[[#This Row],[_CalcFinish]]))</f>
        <v/>
      </c>
      <c r="AS48" s="21">
        <f>IF(Tasks[[#This Row],[Task Name]]="","",IF(Tasks[[#This Row],[Start]]&gt;=Tasks[[#This Row],[Planned Start]],NETWORKDAYS.INTL(Tasks[[#This Row],[Planned Start]],Tasks[[#This Row],[Start]],WorkWeek,Holidays)-1,1-NETWORKDAYS.INTL(Tasks[[#This Row],[Start]],Tasks[[#This Row],[Planned Start]],WorkWeek,Holidays)))</f>
        <v/>
      </c>
      <c r="AT48" s="61">
        <f>IF(Tasks[[#This Row],[Task Name]]="","",IF(Tasks[[#This Row],[_IsSummary]],MIN(INDEX(Tasks[_LeafLateStart],Tasks[[#This Row],[_Row]]+1):INDEX(Tasks[_LeafLateStart],Tasks[[#This Row],[_Row]]+Tasks[[#This Row],[_Descendants]])),Tasks[[#This Row],[_LeafLateStart]]))</f>
        <v/>
      </c>
      <c r="AU48" s="61">
        <f>IF(Tasks[[#This Row],[Task Name]]="","",IF(Tasks[[#This Row],[_IsSummary]],MAX(INDEX(Tasks[_LeafLateFinish],Tasks[[#This Row],[_Row]]+1):INDEX(Tasks[_LeafLateFinish],Tasks[[#This Row],[_Row]]+Tasks[[#This Row],[_Descendants]])),Tasks[[#This Row],[_LeafLateFinish]]))</f>
        <v/>
      </c>
      <c r="AV48" s="21">
        <f>IF(Tasks[[#This Row],[Task Name]]="","",IF(Tasks[[#This Row],[_IsSummary]],MIN(INDEX(Tasks[_LeafTotalSlack],Tasks[[#This Row],[_Row]]+1):INDEX(Tasks[_LeafTotalSlack],Tasks[[#This Row],[_Row]]+Tasks[[#This Row],[_Descendants]])),Tasks[[#This Row],[_LeafTotalSlack]]))</f>
        <v/>
      </c>
      <c r="AW4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3" t="n"/>
      <c r="BA4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f>IF(Tasks[[#This Row],[Task Name]]="","",IF(Tasks[[#This Row],[_Level]]&lt;=OutlineShowLevel,"Yes","No"))</f>
        <v/>
      </c>
      <c r="BE48" s="84">
        <f>IF(Tasks[[#This Row],[Task Name]]="","",IF(Tasks[[#This Row],[_IsSummary]],SUM(INDEX(Tasks[_LeafTotalWork],Tasks[[#This Row],[_Row]]+1):INDEX(Tasks[_LeafTotalWork],Tasks[[#This Row],[_Row]]+Tasks[[#This Row],[_Descendants]])),Tasks[[#This Row],[_LeafTotalWork]]))</f>
        <v/>
      </c>
      <c r="BF48" s="23" t="n"/>
      <c r="BG4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f>""</f>
        <v/>
      </c>
      <c r="BI48" s="85" t="n"/>
      <c r="BJ48" s="22" t="n"/>
      <c r="BK48" s="21">
        <f>IF(OR(Tasks[[#This Row],[Task Name]]="",Tasks[[#This Row],[Baseline Duration]]=""),"",Tasks[[#This Row],[_SpanDays]]-N(Tasks[[#This Row],[Baseline Duration]]))</f>
        <v/>
      </c>
      <c r="BL48" s="84">
        <f>IF(OR(Tasks[[#This Row],[Task Name]]="",Tasks[[#This Row],[Baseline Work]]=""),"",Tasks[[#This Row],[Work]]-N(Tasks[[#This Row],[Baseline Work]]))</f>
        <v/>
      </c>
      <c r="BM48" s="61">
        <f>IF(Tasks[[#This Row],[Task Name]]="","",IF(OR(TakeBaseline="Yes",N(Tasks[[#This Row],[Baseline Start]])=0),Tasks[[#This Row],[Start]],Tasks[[#This Row],[Baseline Start]]))</f>
        <v/>
      </c>
      <c r="BN48" s="61">
        <f>IF(Tasks[[#This Row],[Task Name]]="","",IF(OR(TakeBaseline="Yes",N(Tasks[[#This Row],[Baseline Finish]])=0),Tasks[[#This Row],[Finish]],Tasks[[#This Row],[Baseline Finish]]))</f>
        <v/>
      </c>
      <c r="BO48" s="21">
        <f>IF(Tasks[[#This Row],[Task Name]]="","",IF(OR(TakeBaseline="Yes",N(Tasks[[#This Row],[Baseline Duration]])=0),Tasks[[#This Row],[_SpanDays]],Tasks[[#This Row],[Baseline Duration]]))</f>
        <v/>
      </c>
      <c r="BP48" s="84">
        <f>IF(Tasks[[#This Row],[Task Name]]="","",IF(OR(TakeBaseline="Yes",N(Tasks[[#This Row],[Baseline Work]])=0),Tasks[[#This Row],[Work]],Tasks[[#This Row],[Baseline Work]]))</f>
        <v/>
      </c>
      <c r="BQ48" s="7" t="n"/>
      <c r="BR48" s="7" t="n"/>
      <c r="BS48" s="22" t="n"/>
      <c r="BT48" s="86" t="n"/>
      <c r="BU48" s="23" t="n"/>
      <c r="BV48" s="23" t="n"/>
      <c r="BW48" s="23" t="n"/>
      <c r="BX48" s="87">
        <f>IF(AND(Tasks[[#This Row],[_IsLeaf]]=1,ISNUMBER(Tasks[[#This Row],[Optimistic]]),ISNUMBER(Tasks[[#This Row],[Pessimistic]])),ROUND((Tasks[[#This Row],[Optimistic]]+4*N(Tasks[[#This Row],[_Days]])+Tasks[[#This Row],[Pessimistic]])/6,1),"")</f>
        <v/>
      </c>
      <c r="BY48" s="85" t="n"/>
      <c r="BZ48" s="85" t="n"/>
      <c r="CA48" s="22" t="n"/>
      <c r="CB48" s="42">
        <f>IF(Tasks[[#This Row],[Task Name]]="","",MAX(1,N(Tasks[[#This Row],[Level]])))</f>
        <v/>
      </c>
      <c r="CC48" s="42">
        <f>ROW()-ROW(Tasks[[#Headers],[ID]])</f>
        <v/>
      </c>
      <c r="CD48" s="42">
        <f>IF(OR(Tasks[[#This Row],[Task Name]]="",Tasks[[#This Row],[_Level]]&lt;=1),0,IFERROR(LOOKUP(2,1/(Tasks[[#Headers],[_Level]]:Tasks[[#This Row],[_Level]]=Tasks[[#This Row],[_Level]]-1),ROW(Tasks[[#Headers],[_Level]]:Tasks[[#This Row],[_Level]])),0))</f>
        <v/>
      </c>
      <c r="CE48" s="42">
        <f>IFERROR(N(INDEX(Tasks[_Level],Tasks[[#This Row],[_Row]]+1)),0)</f>
        <v/>
      </c>
      <c r="CF48" s="42">
        <f>AND(Tasks[[#This Row],[Task Name]]&lt;&gt;"",Tasks[[#This Row],[_NextLevel]]&gt;Tasks[[#This Row],[_Level]])</f>
        <v/>
      </c>
      <c r="CG48" s="42">
        <f>IF(Tasks[[#This Row],[_IsSummary]],COUNTIF(Tasks[WBS],Tasks[[#This Row],[WBS]]&amp;".*"),0)</f>
        <v/>
      </c>
      <c r="CH48" s="42">
        <f>IF(AND(Tasks[[#This Row],[Task Name]]&lt;&gt;"",NOT(Tasks[[#This Row],[_IsSummary]])),1,0)</f>
        <v/>
      </c>
      <c r="CI48" s="42">
        <f>IF(N(Tasks[[#This Row],[_Pred1UID]])=0,0,IFERROR(MATCH(Tasks[[#This Row],[_Pred1UID]],Tasks[UID],0),-1))</f>
        <v/>
      </c>
      <c r="CJ48" s="42">
        <f>IF(N(Tasks[[#This Row],[_Pred2UID]])=0,0,IFERROR(MATCH(Tasks[[#This Row],[_Pred2UID]],Tasks[UID],0),-1))</f>
        <v/>
      </c>
      <c r="CK48" s="42">
        <f>IF(N(Tasks[[#This Row],[_Pred3UID]])=0,0,IFERROR(MATCH(Tasks[[#This Row],[_Pred3UID]],Tasks[UID],0),-1))</f>
        <v/>
      </c>
      <c r="CL48" s="42">
        <f>IF(N(Tasks[[#This Row],[_Pred4UID]])=0,0,IFERROR(MATCH(Tasks[[#This Row],[_Pred4UID]],Tasks[UID],0),-1))</f>
        <v/>
      </c>
      <c r="CM4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8" s="88">
        <f>IF(N(Tasks[[#This Row],[Constraint Date]])=0,0,IF(AND(OR(Tasks[[#This Row],[_ConstraintCode]]=3,Tasks[[#This Row],[_ConstraintCode]]=6,Tasks[[#This Row],[_ConstraintCode]]=7),N(Tasks[[#This Row],[_Days]])&gt;1),WORKDAY.INTL(N(Tasks[[#This Row],[Constraint Date]]),-(N(Tasks[[#This Row],[_Days]])-1),WorkWeek,Holidays),N(Tasks[[#This Row],[Constraint Date]])))</f>
        <v/>
      </c>
      <c r="CO48" s="88">
        <f>IF(OR(Tasks[[#This Row],[_ConstraintCode]]=2,Tasks[[#This Row],[_ConstraintCode]]=3,Tasks[[#This Row],[_ConstraintCode]]=4,Tasks[[#This Row],[_ConstraintCode]]=6),Tasks[[#This Row],[_ConstraintStart]],0)</f>
        <v/>
      </c>
      <c r="CP48" s="88">
        <f>IF(OR(Tasks[[#This Row],[_ConstraintCode]]=2,Tasks[[#This Row],[_ConstraintCode]]=3,Tasks[[#This Row],[_ConstraintCode]]=5,Tasks[[#This Row],[_ConstraintCode]]=7),Tasks[[#This Row],[_ConstraintStart]],2958465)</f>
        <v/>
      </c>
      <c r="CQ4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8" s="88">
        <f>IF(NOT(Tasks[[#This Row],[_IsLeaf]]=1),"",IF(N(Tasks[[#This Row],[_Days]])&lt;=0,Tasks[[#This Row],[_LeafCalcStart]],WORKDAY.INTL(Tasks[[#This Row],[_LeafCalcStart]],Tasks[[#This Row],[_Days]]-1,WorkWeek,Holidays)))</f>
        <v/>
      </c>
      <c r="CS4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8" s="42">
        <f>IF(Tasks[[#This Row],[_Predecessors]]="","",TRIM(MID(SUBSTITUTE(SUBSTITUTE(SUBSTITUTE(UPPER(Tasks[[#This Row],[_Predecessors]]),";",",")," ",""),",",REPT(" ",99)),1,99)))</f>
        <v/>
      </c>
      <c r="CV48" s="42">
        <f>IF(Tasks[[#This Row],[_Pred1Text]]="","",IFERROR(VALUE(LEFT(Tasks[[#This Row],[_Pred1Text]],MIN(FIND("F",Tasks[[#This Row],[_Pred1Text]]&amp;"F"),FIND("S",Tasks[[#This Row],[_Pred1Text]]&amp;"S"),FIND("+",Tasks[[#This Row],[_Pred1Text]]&amp;"+"),FIND("-",Tasks[[#This Row],[_Pred1Text]]&amp;"-"))-1)),""))</f>
        <v/>
      </c>
      <c r="CW4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8" s="42">
        <f>IF(Tasks[[#This Row],[_Pred1Text]]="","",TRIM(MID(SUBSTITUTE(SUBSTITUTE(SUBSTITUTE(UPPER(Tasks[[#This Row],[_Predecessors]]),";",",")," ",""),",",REPT(" ",99)),100,99)))</f>
        <v/>
      </c>
      <c r="CZ48" s="42">
        <f>IF(Tasks[[#This Row],[_Pred2Text]]="","",IFERROR(VALUE(LEFT(Tasks[[#This Row],[_Pred2Text]],MIN(FIND("F",Tasks[[#This Row],[_Pred2Text]]&amp;"F"),FIND("S",Tasks[[#This Row],[_Pred2Text]]&amp;"S"),FIND("+",Tasks[[#This Row],[_Pred2Text]]&amp;"+"),FIND("-",Tasks[[#This Row],[_Pred2Text]]&amp;"-"))-1)),""))</f>
        <v/>
      </c>
      <c r="DA4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8" s="42">
        <f>IF(Tasks[[#This Row],[_Pred2Text]]="","",TRIM(MID(SUBSTITUTE(SUBSTITUTE(SUBSTITUTE(UPPER(Tasks[[#This Row],[_Predecessors]]),";",",")," ",""),",",REPT(" ",99)),199,99)))</f>
        <v/>
      </c>
      <c r="DD48" s="42">
        <f>IF(Tasks[[#This Row],[_Pred3Text]]="","",IFERROR(VALUE(LEFT(Tasks[[#This Row],[_Pred3Text]],MIN(FIND("F",Tasks[[#This Row],[_Pred3Text]]&amp;"F"),FIND("S",Tasks[[#This Row],[_Pred3Text]]&amp;"S"),FIND("+",Tasks[[#This Row],[_Pred3Text]]&amp;"+"),FIND("-",Tasks[[#This Row],[_Pred3Text]]&amp;"-"))-1)),""))</f>
        <v/>
      </c>
      <c r="DE4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8" s="42">
        <f>IF(Tasks[[#This Row],[_Pred3Text]]="","",TRIM(MID(SUBSTITUTE(SUBSTITUTE(SUBSTITUTE(UPPER(Tasks[[#This Row],[_Predecessors]]),";",",")," ",""),",",REPT(" ",99)),298,99)))</f>
        <v/>
      </c>
      <c r="DH48" s="42">
        <f>IF(Tasks[[#This Row],[_Pred4Text]]="","",IFERROR(VALUE(LEFT(Tasks[[#This Row],[_Pred4Text]],MIN(FIND("F",Tasks[[#This Row],[_Pred4Text]]&amp;"F"),FIND("S",Tasks[[#This Row],[_Pred4Text]]&amp;"S"),FIND("+",Tasks[[#This Row],[_Pred4Text]]&amp;"+"),FIND("-",Tasks[[#This Row],[_Pred4Text]]&amp;"-"))-1)),""))</f>
        <v/>
      </c>
      <c r="DI4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8" s="42">
        <f>IF(OR(Tasks[[#This Row],[Task Name]]="",Tasks[[#This Row],[_Resources]]=""),"",TRIM(MID(SUBSTITUTE(Tasks[[#This Row],[_Resources]],",",REPT(" ",99)),1,99)))</f>
        <v/>
      </c>
      <c r="DL48" s="42">
        <f>IF(Tasks[[#This Row],[_Res1Text]]="","",TRIM(MID(SUBSTITUTE(Tasks[[#This Row],[_Resources]],",",REPT(" ",99)),100,99)))</f>
        <v/>
      </c>
      <c r="DM48" s="42">
        <f>IF(Tasks[[#This Row],[_Res2Text]]="","",TRIM(MID(SUBSTITUTE(Tasks[[#This Row],[_Resources]],",",REPT(" ",99)),199,99)))</f>
        <v/>
      </c>
      <c r="DN48" s="42">
        <f>IF(Tasks[[#This Row],[_Res3Text]]="","",TRIM(MID(SUBSTITUTE(Tasks[[#This Row],[_Resources]],",",REPT(" ",99)),298,99)))</f>
        <v/>
      </c>
      <c r="DO48" s="42">
        <f>IF(Tasks[[#This Row],[_Res1Text]]="",0,IFERROR(MATCH(TRIM(LEFT(Tasks[[#This Row],[_Res1Text]],FIND("[",Tasks[[#This Row],[_Res1Text]]&amp;"[")-1)),res_Name,0),IFERROR(MATCH(TRIM(LEFT(Tasks[[#This Row],[_Res1Text]],FIND("[",Tasks[[#This Row],[_Res1Text]]&amp;"[")-1)),res_Initials,0),0)))</f>
        <v/>
      </c>
      <c r="DP48" s="42">
        <f>IF(Tasks[[#This Row],[_Res2Text]]="",0,IFERROR(MATCH(TRIM(LEFT(Tasks[[#This Row],[_Res2Text]],FIND("[",Tasks[[#This Row],[_Res2Text]]&amp;"[")-1)),res_Name,0),IFERROR(MATCH(TRIM(LEFT(Tasks[[#This Row],[_Res2Text]],FIND("[",Tasks[[#This Row],[_Res2Text]]&amp;"[")-1)),res_Initials,0),0)))</f>
        <v/>
      </c>
      <c r="DQ48" s="42">
        <f>IF(Tasks[[#This Row],[_Res3Text]]="",0,IFERROR(MATCH(TRIM(LEFT(Tasks[[#This Row],[_Res3Text]],FIND("[",Tasks[[#This Row],[_Res3Text]]&amp;"[")-1)),res_Name,0),IFERROR(MATCH(TRIM(LEFT(Tasks[[#This Row],[_Res3Text]],FIND("[",Tasks[[#This Row],[_Res3Text]]&amp;"[")-1)),res_Initials,0),0)))</f>
        <v/>
      </c>
      <c r="DR48" s="42">
        <f>IF(Tasks[[#This Row],[_Res4Text]]="",0,IFERROR(MATCH(TRIM(LEFT(Tasks[[#This Row],[_Res4Text]],FIND("[",Tasks[[#This Row],[_Res4Text]]&amp;"[")-1)),res_Name,0),IFERROR(MATCH(TRIM(LEFT(Tasks[[#This Row],[_Res4Text]],FIND("[",Tasks[[#This Row],[_Res4Text]]&amp;"[")-1)),res_Initials,0),0)))</f>
        <v/>
      </c>
      <c r="DS48" s="42">
        <f>IF(Tasks[[#This Row],[_Res1Text]]="","",IF(Tasks[[#This Row],[_Res1Row]]&gt;0,INDEX(res_Name,Tasks[[#This Row],[_Res1Row]]),TRIM(LEFT(Tasks[[#This Row],[_Res1Text]],FIND("[",Tasks[[#This Row],[_Res1Text]]&amp;"[")-1))))</f>
        <v/>
      </c>
      <c r="DT4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8" s="42">
        <f>IF(NOT(Tasks[[#This Row],[_IsLeaf]]=1),0,(Tasks[[#This Row],[_Resource1]]&lt;&gt;"")+(Tasks[[#This Row],[_Res2]]&lt;&gt;"")+(Tasks[[#This Row],[_Res3]]&lt;&gt;"")+(Tasks[[#This Row],[_Res4]]&lt;&gt;""))</f>
        <v/>
      </c>
      <c r="DV48" s="42">
        <f>IF(Tasks[[#This Row],[_Res2Text]]="","",IF(Tasks[[#This Row],[_Res2Row]]&gt;0,INDEX(res_Name,Tasks[[#This Row],[_Res2Row]]),TRIM(LEFT(Tasks[[#This Row],[_Res2Text]],FIND("[",Tasks[[#This Row],[_Res2Text]]&amp;"[")-1))))</f>
        <v/>
      </c>
      <c r="DW4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8" s="42">
        <f>IF(OR(NOT(Tasks[[#This Row],[_IsLeaf]]=1),Tasks[[#This Row],[_Res2Row]]=0),0,N(Tasks[[#This Row],[_Days]])*HoursPerDay*IF(Tasks[[#This Row],[_Res2Units]]="",DefaultUnits,Tasks[[#This Row],[_Res2Units]]))</f>
        <v/>
      </c>
      <c r="DY48" s="42">
        <f>IF(AND(AND(Tasks[[#This Row],[_IsLeaf]]=1,Tasks[[#This Row],[_LeafTotalWork]]&gt;0),Tasks[[#This Row],[_Res2Work]]&gt;0),Tasks[[#This Row],[_Res2Work]]/(Tasks[[#This Row],[_FinishWorkday]]-Tasks[[#This Row],[_StartWorkday]]+1),0)</f>
        <v/>
      </c>
      <c r="DZ48" s="42">
        <f>Tasks[[#This Row],[_Res2WorkPerWD]]*MAX(0,Tasks[[#This Row],[_StartWorkday]]-1)</f>
        <v/>
      </c>
      <c r="EA48" s="42">
        <f>Tasks[[#This Row],[_Res2Work]]*Tasks[[#This Row],[_LeafProgress]]</f>
        <v/>
      </c>
      <c r="EB48" s="42">
        <f>IF(Tasks[[#This Row],[_Res3Text]]="","",IF(Tasks[[#This Row],[_Res3Row]]&gt;0,INDEX(res_Name,Tasks[[#This Row],[_Res3Row]]),TRIM(LEFT(Tasks[[#This Row],[_Res3Text]],FIND("[",Tasks[[#This Row],[_Res3Text]]&amp;"[")-1))))</f>
        <v/>
      </c>
      <c r="EC4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8" s="42">
        <f>IF(OR(NOT(Tasks[[#This Row],[_IsLeaf]]=1),Tasks[[#This Row],[_Res3Row]]=0),0,N(Tasks[[#This Row],[_Days]])*HoursPerDay*IF(Tasks[[#This Row],[_Res3Units]]="",DefaultUnits,Tasks[[#This Row],[_Res3Units]]))</f>
        <v/>
      </c>
      <c r="EE48" s="42">
        <f>IF(AND(AND(Tasks[[#This Row],[_IsLeaf]]=1,Tasks[[#This Row],[_LeafTotalWork]]&gt;0),Tasks[[#This Row],[_Res3Work]]&gt;0),Tasks[[#This Row],[_Res3Work]]/(Tasks[[#This Row],[_FinishWorkday]]-Tasks[[#This Row],[_StartWorkday]]+1),0)</f>
        <v/>
      </c>
      <c r="EF48" s="42">
        <f>Tasks[[#This Row],[_Res3WorkPerWD]]*MAX(0,Tasks[[#This Row],[_StartWorkday]]-1)</f>
        <v/>
      </c>
      <c r="EG48" s="42">
        <f>Tasks[[#This Row],[_Res3Work]]*Tasks[[#This Row],[_LeafProgress]]</f>
        <v/>
      </c>
      <c r="EH48" s="42">
        <f>IF(Tasks[[#This Row],[_Res4Text]]="","",IF(Tasks[[#This Row],[_Res4Row]]&gt;0,INDEX(res_Name,Tasks[[#This Row],[_Res4Row]]),TRIM(LEFT(Tasks[[#This Row],[_Res4Text]],FIND("[",Tasks[[#This Row],[_Res4Text]]&amp;"[")-1))))</f>
        <v/>
      </c>
      <c r="EI4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8" s="42">
        <f>IF(OR(NOT(Tasks[[#This Row],[_IsLeaf]]=1),Tasks[[#This Row],[_Res4Row]]=0),0,N(Tasks[[#This Row],[_Days]])*HoursPerDay*IF(Tasks[[#This Row],[_Res4Units]]="",DefaultUnits,Tasks[[#This Row],[_Res4Units]]))</f>
        <v/>
      </c>
      <c r="EK48" s="42">
        <f>IF(AND(AND(Tasks[[#This Row],[_IsLeaf]]=1,Tasks[[#This Row],[_LeafTotalWork]]&gt;0),Tasks[[#This Row],[_Res4Work]]&gt;0),Tasks[[#This Row],[_Res4Work]]/(Tasks[[#This Row],[_FinishWorkday]]-Tasks[[#This Row],[_StartWorkday]]+1),0)</f>
        <v/>
      </c>
      <c r="EL48" s="42">
        <f>Tasks[[#This Row],[_Res4WorkPerWD]]*MAX(0,Tasks[[#This Row],[_StartWorkday]]-1)</f>
        <v/>
      </c>
      <c r="EM48" s="42">
        <f>Tasks[[#This Row],[_Res4Work]]*Tasks[[#This Row],[_LeafProgress]]</f>
        <v/>
      </c>
      <c r="EN48" s="42">
        <f>IF(ISNUMBER(Tasks[[#This Row],[% Complete]]),Tasks[[#This Row],[% Complete]],IF(Tasks[[#This Row],[Stage]]="",0,IFERROR(INDEX(stg_Pct,MATCH(Tasks[[#This Row],[Stage]],stg_Name,0)),0)))</f>
        <v/>
      </c>
      <c r="EO48" s="42">
        <f>IF(NOT(Tasks[[#This Row],[_IsLeaf]]=1),0,IF(N(Tasks[[#This Row],[Actual Finish]])&gt;0,1,MIN(1,Tasks[[#This Row],[_Pct]])))</f>
        <v/>
      </c>
      <c r="EP48" s="42">
        <f>IF(OR(NOT(Tasks[[#This Row],[_IsLeaf]]=1),Tasks[[#This Row],[_Res1Row]]=0),0,N(Tasks[[#This Row],[_Days]])*HoursPerDay*IF(Tasks[[#This Row],[_Units1]]="",DefaultUnits,Tasks[[#This Row],[_Units1]]))</f>
        <v/>
      </c>
      <c r="EQ48" s="42">
        <f>Tasks[[#This Row],[_LeafWork]]+Tasks[[#This Row],[_Res2Work]]+Tasks[[#This Row],[_Res3Work]]+Tasks[[#This Row],[_Res4Work]]</f>
        <v/>
      </c>
      <c r="ER4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8" s="42">
        <f>IF(NOT(Tasks[[#This Row],[_IsLeaf]]=1),0,MAX(_xlfn.MAXIFS(Tasks[_Row],Tasks[_Pred1UID],Tasks[[#This Row],[UID]]),_xlfn.MAXIFS(Tasks[_Row],Tasks[_Pred2UID],Tasks[[#This Row],[UID]]),_xlfn.MAXIFS(Tasks[_Row],Tasks[_Pred3UID],Tasks[[#This Row],[UID]]),_xlfn.MAXIFS(Tasks[_Row],Tasks[_Pred4UID],Tasks[[#This Row],[UID]])))</f>
        <v/>
      </c>
      <c r="FA4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8" s="88">
        <f>IF(NOT(Tasks[[#This Row],[_IsLeaf]]=1),"",IF(N(Tasks[[#This Row],[_Days]])&lt;=0,Tasks[[#This Row],[_LeafLateFinish]],WORKDAY.INTL(Tasks[[#This Row],[_LeafLateFinish]],-(Tasks[[#This Row],[_Days]]-1),WorkWeek,Holidays)))</f>
        <v/>
      </c>
      <c r="FD4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8" s="42">
        <f>AND(Tasks[[#This Row],[_IsLeaf]]=1,Tasks[[#This Row],[_LeafProgress]]&lt;1,N(Tasks[[#This Row],[_LeafTotalSlack]])&lt;=CriticalSlackDays)</f>
        <v/>
      </c>
      <c r="FF48" s="42">
        <f>IF(AND(Tasks[[#This Row],[_IsLeaf]]=1,Tasks[[#This Row],[_ConstraintCode]]=1,Tasks[[#This Row],[Mode]]&lt;&gt;"Manual",N(Tasks[[#This Row],[Actual Start]])=0),MAX(0,N(Tasks[[#This Row],[Free Slack]])),0)</f>
        <v/>
      </c>
      <c r="FG48" s="88">
        <f>IF(NOT(Tasks[[#This Row],[_IsLeaf]]=1),"",IF(Tasks[[#This Row],[_AlapShift]]=0,Tasks[[#This Row],[_LeafCalcStart]],WORKDAY.INTL(Tasks[[#This Row],[_LeafCalcStart]],Tasks[[#This Row],[_AlapShift]],WorkWeek,Holidays)))</f>
        <v/>
      </c>
      <c r="FH48" s="88">
        <f>IF(NOT(Tasks[[#This Row],[_IsLeaf]]=1),"",IF(Tasks[[#This Row],[_AlapShift]]=0,Tasks[[#This Row],[_LeafCalcFinish]],WORKDAY.INTL(Tasks[[#This Row],[_LeafCalcFinish]],Tasks[[#This Row],[_AlapShift]],WorkWeek,Holidays)))</f>
        <v/>
      </c>
      <c r="FI48" s="88">
        <f>IF(NOT(Tasks[[#This Row],[_IsLeaf]]=1),"",IF(Tasks[[#This Row],[_AlapShift]]=0,Tasks[[#This Row],[_LeafFcstStart]],WORKDAY.INTL(Tasks[[#This Row],[_LeafFcstStart]],Tasks[[#This Row],[_AlapShift]],WorkWeek,Holidays)))</f>
        <v/>
      </c>
      <c r="FJ48" s="88">
        <f>IF(NOT(Tasks[[#This Row],[_IsLeaf]]=1),"",IF(Tasks[[#This Row],[_AlapShift]]=0,Tasks[[#This Row],[_LeafFcstFinish]],WORKDAY.INTL(Tasks[[#This Row],[_LeafFcstFinish]],Tasks[[#This Row],[_AlapShift]],WorkWeek,Holidays)))</f>
        <v/>
      </c>
      <c r="FK48" s="88">
        <f>IF(Tasks[[#This Row],[Task Name]]="","",IF(Tasks[[#This Row],[_IsSummary]],MIN(INDEX(Tasks[_ShownCalcStart],Tasks[[#This Row],[_Row]]+1):INDEX(Tasks[_ShownCalcStart],Tasks[[#This Row],[_Row]]+Tasks[[#This Row],[_Descendants]])),Tasks[[#This Row],[_ShownCalcStart]]))</f>
        <v/>
      </c>
      <c r="FL48" s="88">
        <f>IF(Tasks[[#This Row],[Task Name]]="","",IF(Tasks[[#This Row],[_IsSummary]],MAX(INDEX(Tasks[_ShownCalcFinish],Tasks[[#This Row],[_Row]]+1):INDEX(Tasks[_ShownCalcFinish],Tasks[[#This Row],[_Row]]+Tasks[[#This Row],[_Descendants]])),Tasks[[#This Row],[_ShownCalcFinish]]))</f>
        <v/>
      </c>
      <c r="FM4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8" s="42">
        <f>IF(AND(Tasks[[#This Row],[_IsLeaf]]=1,Tasks[[#This Row],[_LeafTotalWork]]&gt;0),NETWORKDAYS.INTL(ProjectStart,Tasks[[#This Row],[_ShownFcstStart]],WorkWeek,Holidays),0)</f>
        <v/>
      </c>
      <c r="FZ48" s="42">
        <f>IF(AND(Tasks[[#This Row],[_IsLeaf]]=1,Tasks[[#This Row],[_LeafTotalWork]]&gt;0),MAX(Tasks[[#This Row],[_StartWorkday]],NETWORKDAYS.INTL(ProjectStart,Tasks[[#This Row],[_ShownFcstFinish]],WorkWeek,Holidays)),0)</f>
        <v/>
      </c>
      <c r="GA48" s="42">
        <f>IF(AND(Tasks[[#This Row],[_IsLeaf]]=1,Tasks[[#This Row],[_LeafTotalWork]]&gt;0),Tasks[[#This Row],[_LeafWork]]/(Tasks[[#This Row],[_FinishWorkday]]-Tasks[[#This Row],[_StartWorkday]]+1),0)</f>
        <v/>
      </c>
      <c r="GB48" s="42">
        <f>Tasks[[#This Row],[_WorkPerWorkday]]*(Tasks[[#This Row],[_StartWorkday]]-1)</f>
        <v/>
      </c>
      <c r="GC48" s="42">
        <f>IF(Tasks[[#This Row],[_IsLeaf]]=1,MAX(N(Tasks[[#This Row],[_Days]]),0.1),0)</f>
        <v/>
      </c>
      <c r="GD48" s="42">
        <f>Tasks[[#This Row],[_WeightDur]]*Tasks[[#This Row],[_LeafProgress]]</f>
        <v/>
      </c>
      <c r="GE48" s="42">
        <f>Tasks[[#This Row],[_WeightDur]]*Tasks[[#This Row],[_PlannedPct]]</f>
        <v/>
      </c>
      <c r="GF4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8" s="42">
        <f>IF(AND(Tasks[[#This Row],[_IsLeaf]]=1,N(Tasks[[#This Row],[_Days]])=0,Tasks[[#This Row],[_LeafProgress]]&lt;1),Tasks[[#This Row],[_ShownFcstFinish]]+Tasks[[#This Row],[_Row]]/100000,"")</f>
        <v/>
      </c>
      <c r="GH4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8" s="42">
        <f>IF(Tasks[[#This Row],[Task Name]]="","",LEFT(Tasks[[#This Row],[WBS]],FIND(".",Tasks[[#This Row],[WBS]]&amp;".")-1))</f>
        <v/>
      </c>
      <c r="GJ48" s="42">
        <f>IF(AND(Tasks[[#This Row],[Task Name]]&lt;&gt;"",Tasks[[#This Row],[_Level]]=1),Tasks[[#This Row],[_Row]],"")</f>
        <v/>
      </c>
      <c r="GK48" s="42">
        <f>IF(AND(Tasks[[#This Row],[_IsLeaf]]=1,N(Tasks[[#This Row],[_Days]])=0),Tasks[[#This Row],[Planned Finish]]+Tasks[[#This Row],[_Row]]/100000,"")</f>
        <v/>
      </c>
      <c r="GL48" s="42">
        <f>IF(AND(Tasks[[#This Row],[_IsLeaf]]=1,Tasks[[#This Row],[_LeafProgress]]&lt;1,OR(N(Tasks[[#This Row],[Finish Var]])&gt;0,Tasks[[#This Row],[Status]]="Late Start")),MAX(0,Tasks[[#This Row],[Finish Var]])+1-Tasks[[#This Row],[_Row]]/1000000,"")</f>
        <v/>
      </c>
      <c r="GM48" s="42">
        <f>IF(AND(Tasks[[#This Row],[_IsLeaf]]=1,N(Tasks[[#This Row],[Actual Start]])=0,Tasks[[#This Row],[_ShownFcstStart]]&gt;=StatusDate,Tasks[[#This Row],[_ShownFcstStart]]&lt;=LookaheadEnd),Tasks[[#This Row],[_ShownFcstStart]]+Tasks[[#This Row],[_Row]]/100000,"")</f>
        <v/>
      </c>
      <c r="GN48" s="42">
        <f>IF(AND(Tasks[[#This Row],[_IsLeaf]]=1,Tasks[[#This Row],[_LeafProgress]]&lt;1,Tasks[[#This Row],[_ShownFcstFinish]]&gt;=StatusDate,Tasks[[#This Row],[_ShownFcstFinish]]&lt;=LookaheadEnd),Tasks[[#This Row],[_ShownFcstFinish]]+Tasks[[#This Row],[_Row]]/100000,"")</f>
        <v/>
      </c>
      <c r="GO48" s="42">
        <f>IF(Tasks[[#This Row],[_LeafCritical]],Tasks[[#This Row],[_ShownFcstStart]]+Tasks[[#This Row],[_Row]]/100000,"")</f>
        <v/>
      </c>
      <c r="GP48" s="42">
        <f>Tasks[[#This Row],[_LeafWork]]*Tasks[[#This Row],[_LeafProgress]]</f>
        <v/>
      </c>
      <c r="GQ48" s="88">
        <f>IF(AND(Tasks[[#This Row],[_IsLeaf]]=1,Tasks[[#This Row],[_LeafProgress]]&gt;=1),IF(N(Tasks[[#This Row],[Actual Finish]])&gt;0,Tasks[[#This Row],[Actual Finish]],Tasks[[#This Row],[_ShownFcstFinish]]),"")</f>
        <v/>
      </c>
      <c r="GR48" s="42">
        <f>IF(Tasks[[#This Row],[_IsLeaf]]=1,N(Tasks[[#This Row],[Story Points]]),0)</f>
        <v/>
      </c>
      <c r="GS48" s="42">
        <f>""</f>
        <v/>
      </c>
      <c r="GT48" s="42">
        <f>IF(Tasks[[#This Row],[Task Name]]="",FALSE(),AND(Tasks[[#This Row],[_IsLeaf]]=1,N(Tasks[[#This Row],[_Days]])=0))</f>
        <v/>
      </c>
      <c r="GU48" s="88">
        <f>IF(Tasks[[#This Row],[Task Name]]="",0,IF(AND(Tasks[[#This Row],[_IsLeaf]]=1,NOT(Tasks[[#This Row],[_IsMilestone]]),N(Tasks[[#This Row],[Progress]])&gt;0),Tasks[[#This Row],[Start]],0))</f>
        <v/>
      </c>
      <c r="GV48" s="88">
        <f>IF(Tasks[[#This Row],[_DoneFrom]]=0,0,IF(Tasks[[#This Row],[Progress]]&gt;=1,Tasks[[#This Row],[Finish]],MAX(Tasks[[#This Row],[_DoneFrom]],Tasks[[#This Row],[Start]]+ROUND((Tasks[[#This Row],[Finish]]-Tasks[[#This Row],[Start]]+1)*Tasks[[#This Row],[Progress]],0)-1)))</f>
        <v/>
      </c>
      <c r="GW48" s="88">
        <f>IF(Tasks[[#This Row],[Task Name]]="",0,IF(OR(NOT(Tasks[[#This Row],[_IsLeaf]]=1),Tasks[[#This Row],[_IsMilestone]],N(Tasks[[#This Row],[Progress]])&gt;=1),0,IF(Tasks[[#This Row],[_DoneTo]]&gt;0,Tasks[[#This Row],[_DoneTo]]+1,Tasks[[#This Row],[Start]])))</f>
        <v/>
      </c>
      <c r="GX48" s="88">
        <f>IF(Tasks[[#This Row],[_RemFrom]]=0,0,Tasks[[#This Row],[Finish]])</f>
        <v/>
      </c>
      <c r="GY48" s="42">
        <f>IF(Tasks[[#This Row],[Task Name]]="",FALSE(),OR(NOT(BaselineSet),N(Tasks[[#This Row],[Baseline Start]])&gt;0))</f>
        <v/>
      </c>
      <c r="GZ48" s="42">
        <f>IF(AND(Sandbox="Yes",L_PARSE_DURATION(Tasks[[#This Row],[Sandbox Duration]])&lt;&gt;""),L_PARSE_DURATION(Tasks[[#This Row],[Sandbox Duration]]),L_PARSE_DURATION(Tasks[[#This Row],[Duration]]))</f>
        <v/>
      </c>
      <c r="HA4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8" s="42">
        <f>IF(Tasks[[#This Row],[_IsLeaf]]=1,Tasks[[#This Row],[_Row]],"")</f>
        <v/>
      </c>
      <c r="HD48" s="42">
        <f>IFERROR(INDEX(Tasks[UID],SMALL(Tasks[_PickKey],Tasks[[#This Row],[_Row]]))&amp;" "&amp;INDEX(Tasks[Task Name],SMALL(Tasks[_PickKey],Tasks[[#This Row],[_Row]])),"")</f>
        <v/>
      </c>
      <c r="HE48" s="42">
        <f>IF(Tasks[[#This Row],[Task Name]]="","",IF(Tasks[[#This Row],[_IsSummary]],NETWORKDAYS.INTL(Tasks[[#This Row],[Start]],Tasks[[#This Row],[Finish]],WorkWeek,Holidays),N(Tasks[[#This Row],[_Days]])))</f>
        <v/>
      </c>
      <c r="HF48" s="42">
        <f>IF(Tasks[[#This Row],[Expected]]="",0,((Tasks[[#This Row],[Pessimistic]]-Tasks[[#This Row],[Optimistic]])/6)^2)</f>
        <v/>
      </c>
      <c r="HG48" s="42">
        <f>IF(Tasks[[#This Row],[Expected]]="",0,Tasks[[#This Row],[Expected]]-N(Tasks[[#This Row],[_Days]]))</f>
        <v/>
      </c>
    </row>
    <row r="49">
      <c r="A49" s="21">
        <f>IF(Tasks[[#This Row],[Task Name]]="","",COUNTA(Tasks[[#Headers],[Task Name]]:Tasks[[#This Row],[Task Name]])-1)</f>
        <v/>
      </c>
      <c r="B49" s="22" t="n">
        <v>57</v>
      </c>
      <c r="C49" s="22" t="n"/>
      <c r="D49" s="23" t="n"/>
      <c r="E49" s="22" t="n"/>
      <c r="F49" s="23" t="n"/>
      <c r="G49" s="22" t="n"/>
      <c r="H49" s="22" t="n"/>
      <c r="I49" s="23" t="n"/>
      <c r="J49" s="22" t="n"/>
      <c r="K49" s="22" t="n"/>
      <c r="L49" s="23" t="n"/>
      <c r="M49" s="22" t="n"/>
      <c r="N49" s="22" t="n"/>
      <c r="O49" s="23" t="n"/>
      <c r="P49" s="22" t="n"/>
      <c r="Q49" s="22" t="n"/>
      <c r="R49" s="23" t="n"/>
      <c r="S49" s="23" t="n"/>
      <c r="T49" s="82" t="n"/>
      <c r="U49" s="23" t="n"/>
      <c r="V49" s="82" t="n"/>
      <c r="W49" s="23" t="n"/>
      <c r="X49" s="82" t="n"/>
      <c r="Y49" s="23" t="n"/>
      <c r="Z49" s="82" t="n"/>
      <c r="AA49" s="23" t="n"/>
      <c r="AB49" s="23" t="n"/>
      <c r="AC49" s="7" t="n"/>
      <c r="AD49" s="7" t="n"/>
      <c r="AE49" s="61">
        <f>IF(Tasks[[#This Row],[Task Name]]="","",IF(Tasks[[#This Row],[_IsSummary]],MIN(INDEX(Tasks[_ShownFcstStart],Tasks[[#This Row],[_Row]]+1):INDEX(Tasks[_ShownFcstStart],Tasks[[#This Row],[_Row]]+Tasks[[#This Row],[_Descendants]])),Tasks[[#This Row],[_ShownFcstStart]]))</f>
        <v/>
      </c>
      <c r="AF49" s="61">
        <f>IF(Tasks[[#This Row],[Task Name]]="","",IF(Tasks[[#This Row],[_IsSummary]],MAX(INDEX(Tasks[_ShownFcstFinish],Tasks[[#This Row],[_Row]]+1):INDEX(Tasks[_ShownFcstFinish],Tasks[[#This Row],[_Row]]+Tasks[[#This Row],[_Descendants]])),Tasks[[#This Row],[_ShownFcstFinish]]))</f>
        <v/>
      </c>
      <c r="AG49" s="21">
        <f>""</f>
        <v/>
      </c>
      <c r="AH49" s="23" t="n"/>
      <c r="AI4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49" s="7" t="n"/>
      <c r="AK49" s="22" t="n"/>
      <c r="AL49" s="23" t="n"/>
      <c r="AM49" s="7" t="n"/>
      <c r="AN49" s="21">
        <f>IF(Tasks[[#This Row],[Task Name]]="","",IF(Tasks[[#This Row],[Finish]]&gt;=Tasks[[#This Row],[Planned Finish]],NETWORKDAYS.INTL(Tasks[[#This Row],[Planned Finish]],Tasks[[#This Row],[Finish]],WorkWeek,Holidays)-1,1-NETWORKDAYS.INTL(Tasks[[#This Row],[Finish]],Tasks[[#This Row],[Planned Finish]],WorkWeek,Holidays)))</f>
        <v/>
      </c>
      <c r="AO49" s="21">
        <f>IF(Tasks[[#This Row],[Task Name]]="","",IF(Tasks[[#This Row],[Progress]]&gt;=1,"Complete",IF(OR(N(Tasks[[#This Row],[Actual Start]])&gt;0,Tasks[[#This Row],[Progress]]&gt;0),IF(Tasks[[#This Row],[Finish Var]]&gt;0,"Behind","In Progress"),IF(Tasks[[#This Row],[Planned Start]]&lt;StatusDate,"Late Start","Not Started"))))</f>
        <v/>
      </c>
      <c r="AP49" s="21">
        <f>IF(Tasks[[#This Row],[Task Name]]="","",IF(IF(Tasks[[#This Row],[_IsSummary]],COUNTIF(INDEX(Tasks[_LeafCritical],Tasks[[#This Row],[_Row]]+1):INDEX(Tasks[_LeafCritical],Tasks[[#This Row],[_Row]]+Tasks[[#This Row],[_Descendants]]),TRUE())&gt;0,Tasks[[#This Row],[_LeafCritical]]),"Yes",""))</f>
        <v/>
      </c>
      <c r="AQ49" s="61">
        <f>IF(Tasks[[#This Row],[Task Name]]="","",IF(N(Tasks[[#This Row],[Baseline Start]])&gt;0,Tasks[[#This Row],[Baseline Start]],Tasks[[#This Row],[_CalcStart]]))</f>
        <v/>
      </c>
      <c r="AR49" s="61">
        <f>IF(Tasks[[#This Row],[Task Name]]="","",IF(N(Tasks[[#This Row],[Baseline Finish]])&gt;0,Tasks[[#This Row],[Baseline Finish]],Tasks[[#This Row],[_CalcFinish]]))</f>
        <v/>
      </c>
      <c r="AS49" s="21">
        <f>IF(Tasks[[#This Row],[Task Name]]="","",IF(Tasks[[#This Row],[Start]]&gt;=Tasks[[#This Row],[Planned Start]],NETWORKDAYS.INTL(Tasks[[#This Row],[Planned Start]],Tasks[[#This Row],[Start]],WorkWeek,Holidays)-1,1-NETWORKDAYS.INTL(Tasks[[#This Row],[Start]],Tasks[[#This Row],[Planned Start]],WorkWeek,Holidays)))</f>
        <v/>
      </c>
      <c r="AT49" s="61">
        <f>IF(Tasks[[#This Row],[Task Name]]="","",IF(Tasks[[#This Row],[_IsSummary]],MIN(INDEX(Tasks[_LeafLateStart],Tasks[[#This Row],[_Row]]+1):INDEX(Tasks[_LeafLateStart],Tasks[[#This Row],[_Row]]+Tasks[[#This Row],[_Descendants]])),Tasks[[#This Row],[_LeafLateStart]]))</f>
        <v/>
      </c>
      <c r="AU49" s="61">
        <f>IF(Tasks[[#This Row],[Task Name]]="","",IF(Tasks[[#This Row],[_IsSummary]],MAX(INDEX(Tasks[_LeafLateFinish],Tasks[[#This Row],[_Row]]+1):INDEX(Tasks[_LeafLateFinish],Tasks[[#This Row],[_Row]]+Tasks[[#This Row],[_Descendants]])),Tasks[[#This Row],[_LeafLateFinish]]))</f>
        <v/>
      </c>
      <c r="AV49" s="21">
        <f>IF(Tasks[[#This Row],[Task Name]]="","",IF(Tasks[[#This Row],[_IsSummary]],MIN(INDEX(Tasks[_LeafTotalSlack],Tasks[[#This Row],[_Row]]+1):INDEX(Tasks[_LeafTotalSlack],Tasks[[#This Row],[_Row]]+Tasks[[#This Row],[_Descendants]])),Tasks[[#This Row],[_LeafTotalSlack]]))</f>
        <v/>
      </c>
      <c r="AW4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3" t="n"/>
      <c r="BA4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f>IF(Tasks[[#This Row],[Task Name]]="","",IF(Tasks[[#This Row],[_Level]]&lt;=OutlineShowLevel,"Yes","No"))</f>
        <v/>
      </c>
      <c r="BE49" s="84">
        <f>IF(Tasks[[#This Row],[Task Name]]="","",IF(Tasks[[#This Row],[_IsSummary]],SUM(INDEX(Tasks[_LeafTotalWork],Tasks[[#This Row],[_Row]]+1):INDEX(Tasks[_LeafTotalWork],Tasks[[#This Row],[_Row]]+Tasks[[#This Row],[_Descendants]])),Tasks[[#This Row],[_LeafTotalWork]]))</f>
        <v/>
      </c>
      <c r="BF49" s="23" t="n"/>
      <c r="BG4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f>""</f>
        <v/>
      </c>
      <c r="BI49" s="85" t="n"/>
      <c r="BJ49" s="22" t="n"/>
      <c r="BK49" s="21">
        <f>IF(OR(Tasks[[#This Row],[Task Name]]="",Tasks[[#This Row],[Baseline Duration]]=""),"",Tasks[[#This Row],[_SpanDays]]-N(Tasks[[#This Row],[Baseline Duration]]))</f>
        <v/>
      </c>
      <c r="BL49" s="84">
        <f>IF(OR(Tasks[[#This Row],[Task Name]]="",Tasks[[#This Row],[Baseline Work]]=""),"",Tasks[[#This Row],[Work]]-N(Tasks[[#This Row],[Baseline Work]]))</f>
        <v/>
      </c>
      <c r="BM49" s="61">
        <f>IF(Tasks[[#This Row],[Task Name]]="","",IF(OR(TakeBaseline="Yes",N(Tasks[[#This Row],[Baseline Start]])=0),Tasks[[#This Row],[Start]],Tasks[[#This Row],[Baseline Start]]))</f>
        <v/>
      </c>
      <c r="BN49" s="61">
        <f>IF(Tasks[[#This Row],[Task Name]]="","",IF(OR(TakeBaseline="Yes",N(Tasks[[#This Row],[Baseline Finish]])=0),Tasks[[#This Row],[Finish]],Tasks[[#This Row],[Baseline Finish]]))</f>
        <v/>
      </c>
      <c r="BO49" s="21">
        <f>IF(Tasks[[#This Row],[Task Name]]="","",IF(OR(TakeBaseline="Yes",N(Tasks[[#This Row],[Baseline Duration]])=0),Tasks[[#This Row],[_SpanDays]],Tasks[[#This Row],[Baseline Duration]]))</f>
        <v/>
      </c>
      <c r="BP49" s="84">
        <f>IF(Tasks[[#This Row],[Task Name]]="","",IF(OR(TakeBaseline="Yes",N(Tasks[[#This Row],[Baseline Work]])=0),Tasks[[#This Row],[Work]],Tasks[[#This Row],[Baseline Work]]))</f>
        <v/>
      </c>
      <c r="BQ49" s="7" t="n"/>
      <c r="BR49" s="7" t="n"/>
      <c r="BS49" s="22" t="n"/>
      <c r="BT49" s="86" t="n"/>
      <c r="BU49" s="23" t="n"/>
      <c r="BV49" s="23" t="n"/>
      <c r="BW49" s="23" t="n"/>
      <c r="BX49" s="87">
        <f>IF(AND(Tasks[[#This Row],[_IsLeaf]]=1,ISNUMBER(Tasks[[#This Row],[Optimistic]]),ISNUMBER(Tasks[[#This Row],[Pessimistic]])),ROUND((Tasks[[#This Row],[Optimistic]]+4*N(Tasks[[#This Row],[_Days]])+Tasks[[#This Row],[Pessimistic]])/6,1),"")</f>
        <v/>
      </c>
      <c r="BY49" s="85" t="n"/>
      <c r="BZ49" s="85" t="n"/>
      <c r="CA49" s="22" t="n"/>
      <c r="CB49" s="42">
        <f>IF(Tasks[[#This Row],[Task Name]]="","",MAX(1,N(Tasks[[#This Row],[Level]])))</f>
        <v/>
      </c>
      <c r="CC49" s="42">
        <f>ROW()-ROW(Tasks[[#Headers],[ID]])</f>
        <v/>
      </c>
      <c r="CD49" s="42">
        <f>IF(OR(Tasks[[#This Row],[Task Name]]="",Tasks[[#This Row],[_Level]]&lt;=1),0,IFERROR(LOOKUP(2,1/(Tasks[[#Headers],[_Level]]:Tasks[[#This Row],[_Level]]=Tasks[[#This Row],[_Level]]-1),ROW(Tasks[[#Headers],[_Level]]:Tasks[[#This Row],[_Level]])),0))</f>
        <v/>
      </c>
      <c r="CE49" s="42">
        <f>IFERROR(N(INDEX(Tasks[_Level],Tasks[[#This Row],[_Row]]+1)),0)</f>
        <v/>
      </c>
      <c r="CF49" s="42">
        <f>AND(Tasks[[#This Row],[Task Name]]&lt;&gt;"",Tasks[[#This Row],[_NextLevel]]&gt;Tasks[[#This Row],[_Level]])</f>
        <v/>
      </c>
      <c r="CG49" s="42">
        <f>IF(Tasks[[#This Row],[_IsSummary]],COUNTIF(Tasks[WBS],Tasks[[#This Row],[WBS]]&amp;".*"),0)</f>
        <v/>
      </c>
      <c r="CH49" s="42">
        <f>IF(AND(Tasks[[#This Row],[Task Name]]&lt;&gt;"",NOT(Tasks[[#This Row],[_IsSummary]])),1,0)</f>
        <v/>
      </c>
      <c r="CI49" s="42">
        <f>IF(N(Tasks[[#This Row],[_Pred1UID]])=0,0,IFERROR(MATCH(Tasks[[#This Row],[_Pred1UID]],Tasks[UID],0),-1))</f>
        <v/>
      </c>
      <c r="CJ49" s="42">
        <f>IF(N(Tasks[[#This Row],[_Pred2UID]])=0,0,IFERROR(MATCH(Tasks[[#This Row],[_Pred2UID]],Tasks[UID],0),-1))</f>
        <v/>
      </c>
      <c r="CK49" s="42">
        <f>IF(N(Tasks[[#This Row],[_Pred3UID]])=0,0,IFERROR(MATCH(Tasks[[#This Row],[_Pred3UID]],Tasks[UID],0),-1))</f>
        <v/>
      </c>
      <c r="CL49" s="42">
        <f>IF(N(Tasks[[#This Row],[_Pred4UID]])=0,0,IFERROR(MATCH(Tasks[[#This Row],[_Pred4UID]],Tasks[UID],0),-1))</f>
        <v/>
      </c>
      <c r="CM4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9" s="88">
        <f>IF(N(Tasks[[#This Row],[Constraint Date]])=0,0,IF(AND(OR(Tasks[[#This Row],[_ConstraintCode]]=3,Tasks[[#This Row],[_ConstraintCode]]=6,Tasks[[#This Row],[_ConstraintCode]]=7),N(Tasks[[#This Row],[_Days]])&gt;1),WORKDAY.INTL(N(Tasks[[#This Row],[Constraint Date]]),-(N(Tasks[[#This Row],[_Days]])-1),WorkWeek,Holidays),N(Tasks[[#This Row],[Constraint Date]])))</f>
        <v/>
      </c>
      <c r="CO49" s="88">
        <f>IF(OR(Tasks[[#This Row],[_ConstraintCode]]=2,Tasks[[#This Row],[_ConstraintCode]]=3,Tasks[[#This Row],[_ConstraintCode]]=4,Tasks[[#This Row],[_ConstraintCode]]=6),Tasks[[#This Row],[_ConstraintStart]],0)</f>
        <v/>
      </c>
      <c r="CP49" s="88">
        <f>IF(OR(Tasks[[#This Row],[_ConstraintCode]]=2,Tasks[[#This Row],[_ConstraintCode]]=3,Tasks[[#This Row],[_ConstraintCode]]=5,Tasks[[#This Row],[_ConstraintCode]]=7),Tasks[[#This Row],[_ConstraintStart]],2958465)</f>
        <v/>
      </c>
      <c r="CQ4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9" s="88">
        <f>IF(NOT(Tasks[[#This Row],[_IsLeaf]]=1),"",IF(N(Tasks[[#This Row],[_Days]])&lt;=0,Tasks[[#This Row],[_LeafCalcStart]],WORKDAY.INTL(Tasks[[#This Row],[_LeafCalcStart]],Tasks[[#This Row],[_Days]]-1,WorkWeek,Holidays)))</f>
        <v/>
      </c>
      <c r="CS4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9" s="42">
        <f>IF(Tasks[[#This Row],[_Predecessors]]="","",TRIM(MID(SUBSTITUTE(SUBSTITUTE(SUBSTITUTE(UPPER(Tasks[[#This Row],[_Predecessors]]),";",",")," ",""),",",REPT(" ",99)),1,99)))</f>
        <v/>
      </c>
      <c r="CV49" s="42">
        <f>IF(Tasks[[#This Row],[_Pred1Text]]="","",IFERROR(VALUE(LEFT(Tasks[[#This Row],[_Pred1Text]],MIN(FIND("F",Tasks[[#This Row],[_Pred1Text]]&amp;"F"),FIND("S",Tasks[[#This Row],[_Pred1Text]]&amp;"S"),FIND("+",Tasks[[#This Row],[_Pred1Text]]&amp;"+"),FIND("-",Tasks[[#This Row],[_Pred1Text]]&amp;"-"))-1)),""))</f>
        <v/>
      </c>
      <c r="CW4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9" s="42">
        <f>IF(Tasks[[#This Row],[_Pred1Text]]="","",TRIM(MID(SUBSTITUTE(SUBSTITUTE(SUBSTITUTE(UPPER(Tasks[[#This Row],[_Predecessors]]),";",",")," ",""),",",REPT(" ",99)),100,99)))</f>
        <v/>
      </c>
      <c r="CZ49" s="42">
        <f>IF(Tasks[[#This Row],[_Pred2Text]]="","",IFERROR(VALUE(LEFT(Tasks[[#This Row],[_Pred2Text]],MIN(FIND("F",Tasks[[#This Row],[_Pred2Text]]&amp;"F"),FIND("S",Tasks[[#This Row],[_Pred2Text]]&amp;"S"),FIND("+",Tasks[[#This Row],[_Pred2Text]]&amp;"+"),FIND("-",Tasks[[#This Row],[_Pred2Text]]&amp;"-"))-1)),""))</f>
        <v/>
      </c>
      <c r="DA4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9" s="42">
        <f>IF(Tasks[[#This Row],[_Pred2Text]]="","",TRIM(MID(SUBSTITUTE(SUBSTITUTE(SUBSTITUTE(UPPER(Tasks[[#This Row],[_Predecessors]]),";",",")," ",""),",",REPT(" ",99)),199,99)))</f>
        <v/>
      </c>
      <c r="DD49" s="42">
        <f>IF(Tasks[[#This Row],[_Pred3Text]]="","",IFERROR(VALUE(LEFT(Tasks[[#This Row],[_Pred3Text]],MIN(FIND("F",Tasks[[#This Row],[_Pred3Text]]&amp;"F"),FIND("S",Tasks[[#This Row],[_Pred3Text]]&amp;"S"),FIND("+",Tasks[[#This Row],[_Pred3Text]]&amp;"+"),FIND("-",Tasks[[#This Row],[_Pred3Text]]&amp;"-"))-1)),""))</f>
        <v/>
      </c>
      <c r="DE4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9" s="42">
        <f>IF(Tasks[[#This Row],[_Pred3Text]]="","",TRIM(MID(SUBSTITUTE(SUBSTITUTE(SUBSTITUTE(UPPER(Tasks[[#This Row],[_Predecessors]]),";",",")," ",""),",",REPT(" ",99)),298,99)))</f>
        <v/>
      </c>
      <c r="DH49" s="42">
        <f>IF(Tasks[[#This Row],[_Pred4Text]]="","",IFERROR(VALUE(LEFT(Tasks[[#This Row],[_Pred4Text]],MIN(FIND("F",Tasks[[#This Row],[_Pred4Text]]&amp;"F"),FIND("S",Tasks[[#This Row],[_Pred4Text]]&amp;"S"),FIND("+",Tasks[[#This Row],[_Pred4Text]]&amp;"+"),FIND("-",Tasks[[#This Row],[_Pred4Text]]&amp;"-"))-1)),""))</f>
        <v/>
      </c>
      <c r="DI4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9" s="42">
        <f>IF(OR(Tasks[[#This Row],[Task Name]]="",Tasks[[#This Row],[_Resources]]=""),"",TRIM(MID(SUBSTITUTE(Tasks[[#This Row],[_Resources]],",",REPT(" ",99)),1,99)))</f>
        <v/>
      </c>
      <c r="DL49" s="42">
        <f>IF(Tasks[[#This Row],[_Res1Text]]="","",TRIM(MID(SUBSTITUTE(Tasks[[#This Row],[_Resources]],",",REPT(" ",99)),100,99)))</f>
        <v/>
      </c>
      <c r="DM49" s="42">
        <f>IF(Tasks[[#This Row],[_Res2Text]]="","",TRIM(MID(SUBSTITUTE(Tasks[[#This Row],[_Resources]],",",REPT(" ",99)),199,99)))</f>
        <v/>
      </c>
      <c r="DN49" s="42">
        <f>IF(Tasks[[#This Row],[_Res3Text]]="","",TRIM(MID(SUBSTITUTE(Tasks[[#This Row],[_Resources]],",",REPT(" ",99)),298,99)))</f>
        <v/>
      </c>
      <c r="DO49" s="42">
        <f>IF(Tasks[[#This Row],[_Res1Text]]="",0,IFERROR(MATCH(TRIM(LEFT(Tasks[[#This Row],[_Res1Text]],FIND("[",Tasks[[#This Row],[_Res1Text]]&amp;"[")-1)),res_Name,0),IFERROR(MATCH(TRIM(LEFT(Tasks[[#This Row],[_Res1Text]],FIND("[",Tasks[[#This Row],[_Res1Text]]&amp;"[")-1)),res_Initials,0),0)))</f>
        <v/>
      </c>
      <c r="DP49" s="42">
        <f>IF(Tasks[[#This Row],[_Res2Text]]="",0,IFERROR(MATCH(TRIM(LEFT(Tasks[[#This Row],[_Res2Text]],FIND("[",Tasks[[#This Row],[_Res2Text]]&amp;"[")-1)),res_Name,0),IFERROR(MATCH(TRIM(LEFT(Tasks[[#This Row],[_Res2Text]],FIND("[",Tasks[[#This Row],[_Res2Text]]&amp;"[")-1)),res_Initials,0),0)))</f>
        <v/>
      </c>
      <c r="DQ49" s="42">
        <f>IF(Tasks[[#This Row],[_Res3Text]]="",0,IFERROR(MATCH(TRIM(LEFT(Tasks[[#This Row],[_Res3Text]],FIND("[",Tasks[[#This Row],[_Res3Text]]&amp;"[")-1)),res_Name,0),IFERROR(MATCH(TRIM(LEFT(Tasks[[#This Row],[_Res3Text]],FIND("[",Tasks[[#This Row],[_Res3Text]]&amp;"[")-1)),res_Initials,0),0)))</f>
        <v/>
      </c>
      <c r="DR49" s="42">
        <f>IF(Tasks[[#This Row],[_Res4Text]]="",0,IFERROR(MATCH(TRIM(LEFT(Tasks[[#This Row],[_Res4Text]],FIND("[",Tasks[[#This Row],[_Res4Text]]&amp;"[")-1)),res_Name,0),IFERROR(MATCH(TRIM(LEFT(Tasks[[#This Row],[_Res4Text]],FIND("[",Tasks[[#This Row],[_Res4Text]]&amp;"[")-1)),res_Initials,0),0)))</f>
        <v/>
      </c>
      <c r="DS49" s="42">
        <f>IF(Tasks[[#This Row],[_Res1Text]]="","",IF(Tasks[[#This Row],[_Res1Row]]&gt;0,INDEX(res_Name,Tasks[[#This Row],[_Res1Row]]),TRIM(LEFT(Tasks[[#This Row],[_Res1Text]],FIND("[",Tasks[[#This Row],[_Res1Text]]&amp;"[")-1))))</f>
        <v/>
      </c>
      <c r="DT4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9" s="42">
        <f>IF(NOT(Tasks[[#This Row],[_IsLeaf]]=1),0,(Tasks[[#This Row],[_Resource1]]&lt;&gt;"")+(Tasks[[#This Row],[_Res2]]&lt;&gt;"")+(Tasks[[#This Row],[_Res3]]&lt;&gt;"")+(Tasks[[#This Row],[_Res4]]&lt;&gt;""))</f>
        <v/>
      </c>
      <c r="DV49" s="42">
        <f>IF(Tasks[[#This Row],[_Res2Text]]="","",IF(Tasks[[#This Row],[_Res2Row]]&gt;0,INDEX(res_Name,Tasks[[#This Row],[_Res2Row]]),TRIM(LEFT(Tasks[[#This Row],[_Res2Text]],FIND("[",Tasks[[#This Row],[_Res2Text]]&amp;"[")-1))))</f>
        <v/>
      </c>
      <c r="DW4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9" s="42">
        <f>IF(OR(NOT(Tasks[[#This Row],[_IsLeaf]]=1),Tasks[[#This Row],[_Res2Row]]=0),0,N(Tasks[[#This Row],[_Days]])*HoursPerDay*IF(Tasks[[#This Row],[_Res2Units]]="",DefaultUnits,Tasks[[#This Row],[_Res2Units]]))</f>
        <v/>
      </c>
      <c r="DY49" s="42">
        <f>IF(AND(AND(Tasks[[#This Row],[_IsLeaf]]=1,Tasks[[#This Row],[_LeafTotalWork]]&gt;0),Tasks[[#This Row],[_Res2Work]]&gt;0),Tasks[[#This Row],[_Res2Work]]/(Tasks[[#This Row],[_FinishWorkday]]-Tasks[[#This Row],[_StartWorkday]]+1),0)</f>
        <v/>
      </c>
      <c r="DZ49" s="42">
        <f>Tasks[[#This Row],[_Res2WorkPerWD]]*MAX(0,Tasks[[#This Row],[_StartWorkday]]-1)</f>
        <v/>
      </c>
      <c r="EA49" s="42">
        <f>Tasks[[#This Row],[_Res2Work]]*Tasks[[#This Row],[_LeafProgress]]</f>
        <v/>
      </c>
      <c r="EB49" s="42">
        <f>IF(Tasks[[#This Row],[_Res3Text]]="","",IF(Tasks[[#This Row],[_Res3Row]]&gt;0,INDEX(res_Name,Tasks[[#This Row],[_Res3Row]]),TRIM(LEFT(Tasks[[#This Row],[_Res3Text]],FIND("[",Tasks[[#This Row],[_Res3Text]]&amp;"[")-1))))</f>
        <v/>
      </c>
      <c r="EC4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9" s="42">
        <f>IF(OR(NOT(Tasks[[#This Row],[_IsLeaf]]=1),Tasks[[#This Row],[_Res3Row]]=0),0,N(Tasks[[#This Row],[_Days]])*HoursPerDay*IF(Tasks[[#This Row],[_Res3Units]]="",DefaultUnits,Tasks[[#This Row],[_Res3Units]]))</f>
        <v/>
      </c>
      <c r="EE49" s="42">
        <f>IF(AND(AND(Tasks[[#This Row],[_IsLeaf]]=1,Tasks[[#This Row],[_LeafTotalWork]]&gt;0),Tasks[[#This Row],[_Res3Work]]&gt;0),Tasks[[#This Row],[_Res3Work]]/(Tasks[[#This Row],[_FinishWorkday]]-Tasks[[#This Row],[_StartWorkday]]+1),0)</f>
        <v/>
      </c>
      <c r="EF49" s="42">
        <f>Tasks[[#This Row],[_Res3WorkPerWD]]*MAX(0,Tasks[[#This Row],[_StartWorkday]]-1)</f>
        <v/>
      </c>
      <c r="EG49" s="42">
        <f>Tasks[[#This Row],[_Res3Work]]*Tasks[[#This Row],[_LeafProgress]]</f>
        <v/>
      </c>
      <c r="EH49" s="42">
        <f>IF(Tasks[[#This Row],[_Res4Text]]="","",IF(Tasks[[#This Row],[_Res4Row]]&gt;0,INDEX(res_Name,Tasks[[#This Row],[_Res4Row]]),TRIM(LEFT(Tasks[[#This Row],[_Res4Text]],FIND("[",Tasks[[#This Row],[_Res4Text]]&amp;"[")-1))))</f>
        <v/>
      </c>
      <c r="EI4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9" s="42">
        <f>IF(OR(NOT(Tasks[[#This Row],[_IsLeaf]]=1),Tasks[[#This Row],[_Res4Row]]=0),0,N(Tasks[[#This Row],[_Days]])*HoursPerDay*IF(Tasks[[#This Row],[_Res4Units]]="",DefaultUnits,Tasks[[#This Row],[_Res4Units]]))</f>
        <v/>
      </c>
      <c r="EK49" s="42">
        <f>IF(AND(AND(Tasks[[#This Row],[_IsLeaf]]=1,Tasks[[#This Row],[_LeafTotalWork]]&gt;0),Tasks[[#This Row],[_Res4Work]]&gt;0),Tasks[[#This Row],[_Res4Work]]/(Tasks[[#This Row],[_FinishWorkday]]-Tasks[[#This Row],[_StartWorkday]]+1),0)</f>
        <v/>
      </c>
      <c r="EL49" s="42">
        <f>Tasks[[#This Row],[_Res4WorkPerWD]]*MAX(0,Tasks[[#This Row],[_StartWorkday]]-1)</f>
        <v/>
      </c>
      <c r="EM49" s="42">
        <f>Tasks[[#This Row],[_Res4Work]]*Tasks[[#This Row],[_LeafProgress]]</f>
        <v/>
      </c>
      <c r="EN49" s="42">
        <f>IF(ISNUMBER(Tasks[[#This Row],[% Complete]]),Tasks[[#This Row],[% Complete]],IF(Tasks[[#This Row],[Stage]]="",0,IFERROR(INDEX(stg_Pct,MATCH(Tasks[[#This Row],[Stage]],stg_Name,0)),0)))</f>
        <v/>
      </c>
      <c r="EO49" s="42">
        <f>IF(NOT(Tasks[[#This Row],[_IsLeaf]]=1),0,IF(N(Tasks[[#This Row],[Actual Finish]])&gt;0,1,MIN(1,Tasks[[#This Row],[_Pct]])))</f>
        <v/>
      </c>
      <c r="EP49" s="42">
        <f>IF(OR(NOT(Tasks[[#This Row],[_IsLeaf]]=1),Tasks[[#This Row],[_Res1Row]]=0),0,N(Tasks[[#This Row],[_Days]])*HoursPerDay*IF(Tasks[[#This Row],[_Units1]]="",DefaultUnits,Tasks[[#This Row],[_Units1]]))</f>
        <v/>
      </c>
      <c r="EQ49" s="42">
        <f>Tasks[[#This Row],[_LeafWork]]+Tasks[[#This Row],[_Res2Work]]+Tasks[[#This Row],[_Res3Work]]+Tasks[[#This Row],[_Res4Work]]</f>
        <v/>
      </c>
      <c r="ER4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9" s="42">
        <f>IF(NOT(Tasks[[#This Row],[_IsLeaf]]=1),0,MAX(_xlfn.MAXIFS(Tasks[_Row],Tasks[_Pred1UID],Tasks[[#This Row],[UID]]),_xlfn.MAXIFS(Tasks[_Row],Tasks[_Pred2UID],Tasks[[#This Row],[UID]]),_xlfn.MAXIFS(Tasks[_Row],Tasks[_Pred3UID],Tasks[[#This Row],[UID]]),_xlfn.MAXIFS(Tasks[_Row],Tasks[_Pred4UID],Tasks[[#This Row],[UID]])))</f>
        <v/>
      </c>
      <c r="FA4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9" s="88">
        <f>IF(NOT(Tasks[[#This Row],[_IsLeaf]]=1),"",IF(N(Tasks[[#This Row],[_Days]])&lt;=0,Tasks[[#This Row],[_LeafLateFinish]],WORKDAY.INTL(Tasks[[#This Row],[_LeafLateFinish]],-(Tasks[[#This Row],[_Days]]-1),WorkWeek,Holidays)))</f>
        <v/>
      </c>
      <c r="FD4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9" s="42">
        <f>AND(Tasks[[#This Row],[_IsLeaf]]=1,Tasks[[#This Row],[_LeafProgress]]&lt;1,N(Tasks[[#This Row],[_LeafTotalSlack]])&lt;=CriticalSlackDays)</f>
        <v/>
      </c>
      <c r="FF49" s="42">
        <f>IF(AND(Tasks[[#This Row],[_IsLeaf]]=1,Tasks[[#This Row],[_ConstraintCode]]=1,Tasks[[#This Row],[Mode]]&lt;&gt;"Manual",N(Tasks[[#This Row],[Actual Start]])=0),MAX(0,N(Tasks[[#This Row],[Free Slack]])),0)</f>
        <v/>
      </c>
      <c r="FG49" s="88">
        <f>IF(NOT(Tasks[[#This Row],[_IsLeaf]]=1),"",IF(Tasks[[#This Row],[_AlapShift]]=0,Tasks[[#This Row],[_LeafCalcStart]],WORKDAY.INTL(Tasks[[#This Row],[_LeafCalcStart]],Tasks[[#This Row],[_AlapShift]],WorkWeek,Holidays)))</f>
        <v/>
      </c>
      <c r="FH49" s="88">
        <f>IF(NOT(Tasks[[#This Row],[_IsLeaf]]=1),"",IF(Tasks[[#This Row],[_AlapShift]]=0,Tasks[[#This Row],[_LeafCalcFinish]],WORKDAY.INTL(Tasks[[#This Row],[_LeafCalcFinish]],Tasks[[#This Row],[_AlapShift]],WorkWeek,Holidays)))</f>
        <v/>
      </c>
      <c r="FI49" s="88">
        <f>IF(NOT(Tasks[[#This Row],[_IsLeaf]]=1),"",IF(Tasks[[#This Row],[_AlapShift]]=0,Tasks[[#This Row],[_LeafFcstStart]],WORKDAY.INTL(Tasks[[#This Row],[_LeafFcstStart]],Tasks[[#This Row],[_AlapShift]],WorkWeek,Holidays)))</f>
        <v/>
      </c>
      <c r="FJ49" s="88">
        <f>IF(NOT(Tasks[[#This Row],[_IsLeaf]]=1),"",IF(Tasks[[#This Row],[_AlapShift]]=0,Tasks[[#This Row],[_LeafFcstFinish]],WORKDAY.INTL(Tasks[[#This Row],[_LeafFcstFinish]],Tasks[[#This Row],[_AlapShift]],WorkWeek,Holidays)))</f>
        <v/>
      </c>
      <c r="FK49" s="88">
        <f>IF(Tasks[[#This Row],[Task Name]]="","",IF(Tasks[[#This Row],[_IsSummary]],MIN(INDEX(Tasks[_ShownCalcStart],Tasks[[#This Row],[_Row]]+1):INDEX(Tasks[_ShownCalcStart],Tasks[[#This Row],[_Row]]+Tasks[[#This Row],[_Descendants]])),Tasks[[#This Row],[_ShownCalcStart]]))</f>
        <v/>
      </c>
      <c r="FL49" s="88">
        <f>IF(Tasks[[#This Row],[Task Name]]="","",IF(Tasks[[#This Row],[_IsSummary]],MAX(INDEX(Tasks[_ShownCalcFinish],Tasks[[#This Row],[_Row]]+1):INDEX(Tasks[_ShownCalcFinish],Tasks[[#This Row],[_Row]]+Tasks[[#This Row],[_Descendants]])),Tasks[[#This Row],[_ShownCalcFinish]]))</f>
        <v/>
      </c>
      <c r="FM4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9" s="42">
        <f>IF(AND(Tasks[[#This Row],[_IsLeaf]]=1,Tasks[[#This Row],[_LeafTotalWork]]&gt;0),NETWORKDAYS.INTL(ProjectStart,Tasks[[#This Row],[_ShownFcstStart]],WorkWeek,Holidays),0)</f>
        <v/>
      </c>
      <c r="FZ49" s="42">
        <f>IF(AND(Tasks[[#This Row],[_IsLeaf]]=1,Tasks[[#This Row],[_LeafTotalWork]]&gt;0),MAX(Tasks[[#This Row],[_StartWorkday]],NETWORKDAYS.INTL(ProjectStart,Tasks[[#This Row],[_ShownFcstFinish]],WorkWeek,Holidays)),0)</f>
        <v/>
      </c>
      <c r="GA49" s="42">
        <f>IF(AND(Tasks[[#This Row],[_IsLeaf]]=1,Tasks[[#This Row],[_LeafTotalWork]]&gt;0),Tasks[[#This Row],[_LeafWork]]/(Tasks[[#This Row],[_FinishWorkday]]-Tasks[[#This Row],[_StartWorkday]]+1),0)</f>
        <v/>
      </c>
      <c r="GB49" s="42">
        <f>Tasks[[#This Row],[_WorkPerWorkday]]*(Tasks[[#This Row],[_StartWorkday]]-1)</f>
        <v/>
      </c>
      <c r="GC49" s="42">
        <f>IF(Tasks[[#This Row],[_IsLeaf]]=1,MAX(N(Tasks[[#This Row],[_Days]]),0.1),0)</f>
        <v/>
      </c>
      <c r="GD49" s="42">
        <f>Tasks[[#This Row],[_WeightDur]]*Tasks[[#This Row],[_LeafProgress]]</f>
        <v/>
      </c>
      <c r="GE49" s="42">
        <f>Tasks[[#This Row],[_WeightDur]]*Tasks[[#This Row],[_PlannedPct]]</f>
        <v/>
      </c>
      <c r="GF4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9" s="42">
        <f>IF(AND(Tasks[[#This Row],[_IsLeaf]]=1,N(Tasks[[#This Row],[_Days]])=0,Tasks[[#This Row],[_LeafProgress]]&lt;1),Tasks[[#This Row],[_ShownFcstFinish]]+Tasks[[#This Row],[_Row]]/100000,"")</f>
        <v/>
      </c>
      <c r="GH4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9" s="42">
        <f>IF(Tasks[[#This Row],[Task Name]]="","",LEFT(Tasks[[#This Row],[WBS]],FIND(".",Tasks[[#This Row],[WBS]]&amp;".")-1))</f>
        <v/>
      </c>
      <c r="GJ49" s="42">
        <f>IF(AND(Tasks[[#This Row],[Task Name]]&lt;&gt;"",Tasks[[#This Row],[_Level]]=1),Tasks[[#This Row],[_Row]],"")</f>
        <v/>
      </c>
      <c r="GK49" s="42">
        <f>IF(AND(Tasks[[#This Row],[_IsLeaf]]=1,N(Tasks[[#This Row],[_Days]])=0),Tasks[[#This Row],[Planned Finish]]+Tasks[[#This Row],[_Row]]/100000,"")</f>
        <v/>
      </c>
      <c r="GL49" s="42">
        <f>IF(AND(Tasks[[#This Row],[_IsLeaf]]=1,Tasks[[#This Row],[_LeafProgress]]&lt;1,OR(N(Tasks[[#This Row],[Finish Var]])&gt;0,Tasks[[#This Row],[Status]]="Late Start")),MAX(0,Tasks[[#This Row],[Finish Var]])+1-Tasks[[#This Row],[_Row]]/1000000,"")</f>
        <v/>
      </c>
      <c r="GM49" s="42">
        <f>IF(AND(Tasks[[#This Row],[_IsLeaf]]=1,N(Tasks[[#This Row],[Actual Start]])=0,Tasks[[#This Row],[_ShownFcstStart]]&gt;=StatusDate,Tasks[[#This Row],[_ShownFcstStart]]&lt;=LookaheadEnd),Tasks[[#This Row],[_ShownFcstStart]]+Tasks[[#This Row],[_Row]]/100000,"")</f>
        <v/>
      </c>
      <c r="GN49" s="42">
        <f>IF(AND(Tasks[[#This Row],[_IsLeaf]]=1,Tasks[[#This Row],[_LeafProgress]]&lt;1,Tasks[[#This Row],[_ShownFcstFinish]]&gt;=StatusDate,Tasks[[#This Row],[_ShownFcstFinish]]&lt;=LookaheadEnd),Tasks[[#This Row],[_ShownFcstFinish]]+Tasks[[#This Row],[_Row]]/100000,"")</f>
        <v/>
      </c>
      <c r="GO49" s="42">
        <f>IF(Tasks[[#This Row],[_LeafCritical]],Tasks[[#This Row],[_ShownFcstStart]]+Tasks[[#This Row],[_Row]]/100000,"")</f>
        <v/>
      </c>
      <c r="GP49" s="42">
        <f>Tasks[[#This Row],[_LeafWork]]*Tasks[[#This Row],[_LeafProgress]]</f>
        <v/>
      </c>
      <c r="GQ49" s="88">
        <f>IF(AND(Tasks[[#This Row],[_IsLeaf]]=1,Tasks[[#This Row],[_LeafProgress]]&gt;=1),IF(N(Tasks[[#This Row],[Actual Finish]])&gt;0,Tasks[[#This Row],[Actual Finish]],Tasks[[#This Row],[_ShownFcstFinish]]),"")</f>
        <v/>
      </c>
      <c r="GR49" s="42">
        <f>IF(Tasks[[#This Row],[_IsLeaf]]=1,N(Tasks[[#This Row],[Story Points]]),0)</f>
        <v/>
      </c>
      <c r="GS49" s="42">
        <f>""</f>
        <v/>
      </c>
      <c r="GT49" s="42">
        <f>IF(Tasks[[#This Row],[Task Name]]="",FALSE(),AND(Tasks[[#This Row],[_IsLeaf]]=1,N(Tasks[[#This Row],[_Days]])=0))</f>
        <v/>
      </c>
      <c r="GU49" s="88">
        <f>IF(Tasks[[#This Row],[Task Name]]="",0,IF(AND(Tasks[[#This Row],[_IsLeaf]]=1,NOT(Tasks[[#This Row],[_IsMilestone]]),N(Tasks[[#This Row],[Progress]])&gt;0),Tasks[[#This Row],[Start]],0))</f>
        <v/>
      </c>
      <c r="GV49" s="88">
        <f>IF(Tasks[[#This Row],[_DoneFrom]]=0,0,IF(Tasks[[#This Row],[Progress]]&gt;=1,Tasks[[#This Row],[Finish]],MAX(Tasks[[#This Row],[_DoneFrom]],Tasks[[#This Row],[Start]]+ROUND((Tasks[[#This Row],[Finish]]-Tasks[[#This Row],[Start]]+1)*Tasks[[#This Row],[Progress]],0)-1)))</f>
        <v/>
      </c>
      <c r="GW49" s="88">
        <f>IF(Tasks[[#This Row],[Task Name]]="",0,IF(OR(NOT(Tasks[[#This Row],[_IsLeaf]]=1),Tasks[[#This Row],[_IsMilestone]],N(Tasks[[#This Row],[Progress]])&gt;=1),0,IF(Tasks[[#This Row],[_DoneTo]]&gt;0,Tasks[[#This Row],[_DoneTo]]+1,Tasks[[#This Row],[Start]])))</f>
        <v/>
      </c>
      <c r="GX49" s="88">
        <f>IF(Tasks[[#This Row],[_RemFrom]]=0,0,Tasks[[#This Row],[Finish]])</f>
        <v/>
      </c>
      <c r="GY49" s="42">
        <f>IF(Tasks[[#This Row],[Task Name]]="",FALSE(),OR(NOT(BaselineSet),N(Tasks[[#This Row],[Baseline Start]])&gt;0))</f>
        <v/>
      </c>
      <c r="GZ49" s="42">
        <f>IF(AND(Sandbox="Yes",L_PARSE_DURATION(Tasks[[#This Row],[Sandbox Duration]])&lt;&gt;""),L_PARSE_DURATION(Tasks[[#This Row],[Sandbox Duration]]),L_PARSE_DURATION(Tasks[[#This Row],[Duration]]))</f>
        <v/>
      </c>
      <c r="HA4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4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9" s="42">
        <f>IF(Tasks[[#This Row],[_IsLeaf]]=1,Tasks[[#This Row],[_Row]],"")</f>
        <v/>
      </c>
      <c r="HD49" s="42">
        <f>IFERROR(INDEX(Tasks[UID],SMALL(Tasks[_PickKey],Tasks[[#This Row],[_Row]]))&amp;" "&amp;INDEX(Tasks[Task Name],SMALL(Tasks[_PickKey],Tasks[[#This Row],[_Row]])),"")</f>
        <v/>
      </c>
      <c r="HE49" s="42">
        <f>IF(Tasks[[#This Row],[Task Name]]="","",IF(Tasks[[#This Row],[_IsSummary]],NETWORKDAYS.INTL(Tasks[[#This Row],[Start]],Tasks[[#This Row],[Finish]],WorkWeek,Holidays),N(Tasks[[#This Row],[_Days]])))</f>
        <v/>
      </c>
      <c r="HF49" s="42">
        <f>IF(Tasks[[#This Row],[Expected]]="",0,((Tasks[[#This Row],[Pessimistic]]-Tasks[[#This Row],[Optimistic]])/6)^2)</f>
        <v/>
      </c>
      <c r="HG49" s="42">
        <f>IF(Tasks[[#This Row],[Expected]]="",0,Tasks[[#This Row],[Expected]]-N(Tasks[[#This Row],[_Days]]))</f>
        <v/>
      </c>
    </row>
    <row r="50">
      <c r="A50" s="21">
        <f>IF(Tasks[[#This Row],[Task Name]]="","",COUNTA(Tasks[[#Headers],[Task Name]]:Tasks[[#This Row],[Task Name]])-1)</f>
        <v/>
      </c>
      <c r="B50" s="22" t="n">
        <v>58</v>
      </c>
      <c r="C50" s="22" t="n"/>
      <c r="D50" s="23" t="n"/>
      <c r="E50" s="22" t="n"/>
      <c r="F50" s="23" t="n"/>
      <c r="G50" s="22" t="n"/>
      <c r="H50" s="22" t="n"/>
      <c r="I50" s="23" t="n"/>
      <c r="J50" s="22" t="n"/>
      <c r="K50" s="22" t="n"/>
      <c r="L50" s="23" t="n"/>
      <c r="M50" s="22" t="n"/>
      <c r="N50" s="22" t="n"/>
      <c r="O50" s="23" t="n"/>
      <c r="P50" s="22" t="n"/>
      <c r="Q50" s="22" t="n"/>
      <c r="R50" s="23" t="n"/>
      <c r="S50" s="23" t="n"/>
      <c r="T50" s="82" t="n"/>
      <c r="U50" s="23" t="n"/>
      <c r="V50" s="82" t="n"/>
      <c r="W50" s="23" t="n"/>
      <c r="X50" s="82" t="n"/>
      <c r="Y50" s="23" t="n"/>
      <c r="Z50" s="82" t="n"/>
      <c r="AA50" s="23" t="n"/>
      <c r="AB50" s="23" t="n"/>
      <c r="AC50" s="7" t="n"/>
      <c r="AD50" s="7" t="n"/>
      <c r="AE50" s="61">
        <f>IF(Tasks[[#This Row],[Task Name]]="","",IF(Tasks[[#This Row],[_IsSummary]],MIN(INDEX(Tasks[_ShownFcstStart],Tasks[[#This Row],[_Row]]+1):INDEX(Tasks[_ShownFcstStart],Tasks[[#This Row],[_Row]]+Tasks[[#This Row],[_Descendants]])),Tasks[[#This Row],[_ShownFcstStart]]))</f>
        <v/>
      </c>
      <c r="AF50" s="61">
        <f>IF(Tasks[[#This Row],[Task Name]]="","",IF(Tasks[[#This Row],[_IsSummary]],MAX(INDEX(Tasks[_ShownFcstFinish],Tasks[[#This Row],[_Row]]+1):INDEX(Tasks[_ShownFcstFinish],Tasks[[#This Row],[_Row]]+Tasks[[#This Row],[_Descendants]])),Tasks[[#This Row],[_ShownFcstFinish]]))</f>
        <v/>
      </c>
      <c r="AG50" s="21">
        <f>""</f>
        <v/>
      </c>
      <c r="AH50" s="23" t="n"/>
      <c r="AI5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0" s="7" t="n"/>
      <c r="AK50" s="22" t="n"/>
      <c r="AL50" s="23" t="n"/>
      <c r="AM50" s="7" t="n"/>
      <c r="AN50" s="21">
        <f>IF(Tasks[[#This Row],[Task Name]]="","",IF(Tasks[[#This Row],[Finish]]&gt;=Tasks[[#This Row],[Planned Finish]],NETWORKDAYS.INTL(Tasks[[#This Row],[Planned Finish]],Tasks[[#This Row],[Finish]],WorkWeek,Holidays)-1,1-NETWORKDAYS.INTL(Tasks[[#This Row],[Finish]],Tasks[[#This Row],[Planned Finish]],WorkWeek,Holidays)))</f>
        <v/>
      </c>
      <c r="AO50" s="21">
        <f>IF(Tasks[[#This Row],[Task Name]]="","",IF(Tasks[[#This Row],[Progress]]&gt;=1,"Complete",IF(OR(N(Tasks[[#This Row],[Actual Start]])&gt;0,Tasks[[#This Row],[Progress]]&gt;0),IF(Tasks[[#This Row],[Finish Var]]&gt;0,"Behind","In Progress"),IF(Tasks[[#This Row],[Planned Start]]&lt;StatusDate,"Late Start","Not Started"))))</f>
        <v/>
      </c>
      <c r="AP50" s="21">
        <f>IF(Tasks[[#This Row],[Task Name]]="","",IF(IF(Tasks[[#This Row],[_IsSummary]],COUNTIF(INDEX(Tasks[_LeafCritical],Tasks[[#This Row],[_Row]]+1):INDEX(Tasks[_LeafCritical],Tasks[[#This Row],[_Row]]+Tasks[[#This Row],[_Descendants]]),TRUE())&gt;0,Tasks[[#This Row],[_LeafCritical]]),"Yes",""))</f>
        <v/>
      </c>
      <c r="AQ50" s="61">
        <f>IF(Tasks[[#This Row],[Task Name]]="","",IF(N(Tasks[[#This Row],[Baseline Start]])&gt;0,Tasks[[#This Row],[Baseline Start]],Tasks[[#This Row],[_CalcStart]]))</f>
        <v/>
      </c>
      <c r="AR50" s="61">
        <f>IF(Tasks[[#This Row],[Task Name]]="","",IF(N(Tasks[[#This Row],[Baseline Finish]])&gt;0,Tasks[[#This Row],[Baseline Finish]],Tasks[[#This Row],[_CalcFinish]]))</f>
        <v/>
      </c>
      <c r="AS50" s="21">
        <f>IF(Tasks[[#This Row],[Task Name]]="","",IF(Tasks[[#This Row],[Start]]&gt;=Tasks[[#This Row],[Planned Start]],NETWORKDAYS.INTL(Tasks[[#This Row],[Planned Start]],Tasks[[#This Row],[Start]],WorkWeek,Holidays)-1,1-NETWORKDAYS.INTL(Tasks[[#This Row],[Start]],Tasks[[#This Row],[Planned Start]],WorkWeek,Holidays)))</f>
        <v/>
      </c>
      <c r="AT50" s="61">
        <f>IF(Tasks[[#This Row],[Task Name]]="","",IF(Tasks[[#This Row],[_IsSummary]],MIN(INDEX(Tasks[_LeafLateStart],Tasks[[#This Row],[_Row]]+1):INDEX(Tasks[_LeafLateStart],Tasks[[#This Row],[_Row]]+Tasks[[#This Row],[_Descendants]])),Tasks[[#This Row],[_LeafLateStart]]))</f>
        <v/>
      </c>
      <c r="AU50" s="61">
        <f>IF(Tasks[[#This Row],[Task Name]]="","",IF(Tasks[[#This Row],[_IsSummary]],MAX(INDEX(Tasks[_LeafLateFinish],Tasks[[#This Row],[_Row]]+1):INDEX(Tasks[_LeafLateFinish],Tasks[[#This Row],[_Row]]+Tasks[[#This Row],[_Descendants]])),Tasks[[#This Row],[_LeafLateFinish]]))</f>
        <v/>
      </c>
      <c r="AV50" s="21">
        <f>IF(Tasks[[#This Row],[Task Name]]="","",IF(Tasks[[#This Row],[_IsSummary]],MIN(INDEX(Tasks[_LeafTotalSlack],Tasks[[#This Row],[_Row]]+1):INDEX(Tasks[_LeafTotalSlack],Tasks[[#This Row],[_Row]]+Tasks[[#This Row],[_Descendants]])),Tasks[[#This Row],[_LeafTotalSlack]]))</f>
        <v/>
      </c>
      <c r="AW5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3" t="n"/>
      <c r="BA5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f>IF(Tasks[[#This Row],[Task Name]]="","",IF(Tasks[[#This Row],[_Level]]&lt;=OutlineShowLevel,"Yes","No"))</f>
        <v/>
      </c>
      <c r="BE50" s="84">
        <f>IF(Tasks[[#This Row],[Task Name]]="","",IF(Tasks[[#This Row],[_IsSummary]],SUM(INDEX(Tasks[_LeafTotalWork],Tasks[[#This Row],[_Row]]+1):INDEX(Tasks[_LeafTotalWork],Tasks[[#This Row],[_Row]]+Tasks[[#This Row],[_Descendants]])),Tasks[[#This Row],[_LeafTotalWork]]))</f>
        <v/>
      </c>
      <c r="BF50" s="23" t="n"/>
      <c r="BG5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f>""</f>
        <v/>
      </c>
      <c r="BI50" s="85" t="n"/>
      <c r="BJ50" s="22" t="n"/>
      <c r="BK50" s="21">
        <f>IF(OR(Tasks[[#This Row],[Task Name]]="",Tasks[[#This Row],[Baseline Duration]]=""),"",Tasks[[#This Row],[_SpanDays]]-N(Tasks[[#This Row],[Baseline Duration]]))</f>
        <v/>
      </c>
      <c r="BL50" s="84">
        <f>IF(OR(Tasks[[#This Row],[Task Name]]="",Tasks[[#This Row],[Baseline Work]]=""),"",Tasks[[#This Row],[Work]]-N(Tasks[[#This Row],[Baseline Work]]))</f>
        <v/>
      </c>
      <c r="BM50" s="61">
        <f>IF(Tasks[[#This Row],[Task Name]]="","",IF(OR(TakeBaseline="Yes",N(Tasks[[#This Row],[Baseline Start]])=0),Tasks[[#This Row],[Start]],Tasks[[#This Row],[Baseline Start]]))</f>
        <v/>
      </c>
      <c r="BN50" s="61">
        <f>IF(Tasks[[#This Row],[Task Name]]="","",IF(OR(TakeBaseline="Yes",N(Tasks[[#This Row],[Baseline Finish]])=0),Tasks[[#This Row],[Finish]],Tasks[[#This Row],[Baseline Finish]]))</f>
        <v/>
      </c>
      <c r="BO50" s="21">
        <f>IF(Tasks[[#This Row],[Task Name]]="","",IF(OR(TakeBaseline="Yes",N(Tasks[[#This Row],[Baseline Duration]])=0),Tasks[[#This Row],[_SpanDays]],Tasks[[#This Row],[Baseline Duration]]))</f>
        <v/>
      </c>
      <c r="BP50" s="84">
        <f>IF(Tasks[[#This Row],[Task Name]]="","",IF(OR(TakeBaseline="Yes",N(Tasks[[#This Row],[Baseline Work]])=0),Tasks[[#This Row],[Work]],Tasks[[#This Row],[Baseline Work]]))</f>
        <v/>
      </c>
      <c r="BQ50" s="7" t="n"/>
      <c r="BR50" s="7" t="n"/>
      <c r="BS50" s="22" t="n"/>
      <c r="BT50" s="86" t="n"/>
      <c r="BU50" s="23" t="n"/>
      <c r="BV50" s="23" t="n"/>
      <c r="BW50" s="23" t="n"/>
      <c r="BX50" s="87">
        <f>IF(AND(Tasks[[#This Row],[_IsLeaf]]=1,ISNUMBER(Tasks[[#This Row],[Optimistic]]),ISNUMBER(Tasks[[#This Row],[Pessimistic]])),ROUND((Tasks[[#This Row],[Optimistic]]+4*N(Tasks[[#This Row],[_Days]])+Tasks[[#This Row],[Pessimistic]])/6,1),"")</f>
        <v/>
      </c>
      <c r="BY50" s="85" t="n"/>
      <c r="BZ50" s="85" t="n"/>
      <c r="CA50" s="22" t="n"/>
      <c r="CB50" s="42">
        <f>IF(Tasks[[#This Row],[Task Name]]="","",MAX(1,N(Tasks[[#This Row],[Level]])))</f>
        <v/>
      </c>
      <c r="CC50" s="42">
        <f>ROW()-ROW(Tasks[[#Headers],[ID]])</f>
        <v/>
      </c>
      <c r="CD50" s="42">
        <f>IF(OR(Tasks[[#This Row],[Task Name]]="",Tasks[[#This Row],[_Level]]&lt;=1),0,IFERROR(LOOKUP(2,1/(Tasks[[#Headers],[_Level]]:Tasks[[#This Row],[_Level]]=Tasks[[#This Row],[_Level]]-1),ROW(Tasks[[#Headers],[_Level]]:Tasks[[#This Row],[_Level]])),0))</f>
        <v/>
      </c>
      <c r="CE50" s="42">
        <f>IFERROR(N(INDEX(Tasks[_Level],Tasks[[#This Row],[_Row]]+1)),0)</f>
        <v/>
      </c>
      <c r="CF50" s="42">
        <f>AND(Tasks[[#This Row],[Task Name]]&lt;&gt;"",Tasks[[#This Row],[_NextLevel]]&gt;Tasks[[#This Row],[_Level]])</f>
        <v/>
      </c>
      <c r="CG50" s="42">
        <f>IF(Tasks[[#This Row],[_IsSummary]],COUNTIF(Tasks[WBS],Tasks[[#This Row],[WBS]]&amp;".*"),0)</f>
        <v/>
      </c>
      <c r="CH50" s="42">
        <f>IF(AND(Tasks[[#This Row],[Task Name]]&lt;&gt;"",NOT(Tasks[[#This Row],[_IsSummary]])),1,0)</f>
        <v/>
      </c>
      <c r="CI50" s="42">
        <f>IF(N(Tasks[[#This Row],[_Pred1UID]])=0,0,IFERROR(MATCH(Tasks[[#This Row],[_Pred1UID]],Tasks[UID],0),-1))</f>
        <v/>
      </c>
      <c r="CJ50" s="42">
        <f>IF(N(Tasks[[#This Row],[_Pred2UID]])=0,0,IFERROR(MATCH(Tasks[[#This Row],[_Pred2UID]],Tasks[UID],0),-1))</f>
        <v/>
      </c>
      <c r="CK50" s="42">
        <f>IF(N(Tasks[[#This Row],[_Pred3UID]])=0,0,IFERROR(MATCH(Tasks[[#This Row],[_Pred3UID]],Tasks[UID],0),-1))</f>
        <v/>
      </c>
      <c r="CL50" s="42">
        <f>IF(N(Tasks[[#This Row],[_Pred4UID]])=0,0,IFERROR(MATCH(Tasks[[#This Row],[_Pred4UID]],Tasks[UID],0),-1))</f>
        <v/>
      </c>
      <c r="CM5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0" s="88">
        <f>IF(N(Tasks[[#This Row],[Constraint Date]])=0,0,IF(AND(OR(Tasks[[#This Row],[_ConstraintCode]]=3,Tasks[[#This Row],[_ConstraintCode]]=6,Tasks[[#This Row],[_ConstraintCode]]=7),N(Tasks[[#This Row],[_Days]])&gt;1),WORKDAY.INTL(N(Tasks[[#This Row],[Constraint Date]]),-(N(Tasks[[#This Row],[_Days]])-1),WorkWeek,Holidays),N(Tasks[[#This Row],[Constraint Date]])))</f>
        <v/>
      </c>
      <c r="CO50" s="88">
        <f>IF(OR(Tasks[[#This Row],[_ConstraintCode]]=2,Tasks[[#This Row],[_ConstraintCode]]=3,Tasks[[#This Row],[_ConstraintCode]]=4,Tasks[[#This Row],[_ConstraintCode]]=6),Tasks[[#This Row],[_ConstraintStart]],0)</f>
        <v/>
      </c>
      <c r="CP50" s="88">
        <f>IF(OR(Tasks[[#This Row],[_ConstraintCode]]=2,Tasks[[#This Row],[_ConstraintCode]]=3,Tasks[[#This Row],[_ConstraintCode]]=5,Tasks[[#This Row],[_ConstraintCode]]=7),Tasks[[#This Row],[_ConstraintStart]],2958465)</f>
        <v/>
      </c>
      <c r="CQ5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0" s="88">
        <f>IF(NOT(Tasks[[#This Row],[_IsLeaf]]=1),"",IF(N(Tasks[[#This Row],[_Days]])&lt;=0,Tasks[[#This Row],[_LeafCalcStart]],WORKDAY.INTL(Tasks[[#This Row],[_LeafCalcStart]],Tasks[[#This Row],[_Days]]-1,WorkWeek,Holidays)))</f>
        <v/>
      </c>
      <c r="CS5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0" s="42">
        <f>IF(Tasks[[#This Row],[_Predecessors]]="","",TRIM(MID(SUBSTITUTE(SUBSTITUTE(SUBSTITUTE(UPPER(Tasks[[#This Row],[_Predecessors]]),";",",")," ",""),",",REPT(" ",99)),1,99)))</f>
        <v/>
      </c>
      <c r="CV50" s="42">
        <f>IF(Tasks[[#This Row],[_Pred1Text]]="","",IFERROR(VALUE(LEFT(Tasks[[#This Row],[_Pred1Text]],MIN(FIND("F",Tasks[[#This Row],[_Pred1Text]]&amp;"F"),FIND("S",Tasks[[#This Row],[_Pred1Text]]&amp;"S"),FIND("+",Tasks[[#This Row],[_Pred1Text]]&amp;"+"),FIND("-",Tasks[[#This Row],[_Pred1Text]]&amp;"-"))-1)),""))</f>
        <v/>
      </c>
      <c r="CW5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0" s="42">
        <f>IF(Tasks[[#This Row],[_Pred1Text]]="","",TRIM(MID(SUBSTITUTE(SUBSTITUTE(SUBSTITUTE(UPPER(Tasks[[#This Row],[_Predecessors]]),";",",")," ",""),",",REPT(" ",99)),100,99)))</f>
        <v/>
      </c>
      <c r="CZ50" s="42">
        <f>IF(Tasks[[#This Row],[_Pred2Text]]="","",IFERROR(VALUE(LEFT(Tasks[[#This Row],[_Pred2Text]],MIN(FIND("F",Tasks[[#This Row],[_Pred2Text]]&amp;"F"),FIND("S",Tasks[[#This Row],[_Pred2Text]]&amp;"S"),FIND("+",Tasks[[#This Row],[_Pred2Text]]&amp;"+"),FIND("-",Tasks[[#This Row],[_Pred2Text]]&amp;"-"))-1)),""))</f>
        <v/>
      </c>
      <c r="DA5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0" s="42">
        <f>IF(Tasks[[#This Row],[_Pred2Text]]="","",TRIM(MID(SUBSTITUTE(SUBSTITUTE(SUBSTITUTE(UPPER(Tasks[[#This Row],[_Predecessors]]),";",",")," ",""),",",REPT(" ",99)),199,99)))</f>
        <v/>
      </c>
      <c r="DD50" s="42">
        <f>IF(Tasks[[#This Row],[_Pred3Text]]="","",IFERROR(VALUE(LEFT(Tasks[[#This Row],[_Pred3Text]],MIN(FIND("F",Tasks[[#This Row],[_Pred3Text]]&amp;"F"),FIND("S",Tasks[[#This Row],[_Pred3Text]]&amp;"S"),FIND("+",Tasks[[#This Row],[_Pred3Text]]&amp;"+"),FIND("-",Tasks[[#This Row],[_Pred3Text]]&amp;"-"))-1)),""))</f>
        <v/>
      </c>
      <c r="DE5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0" s="42">
        <f>IF(Tasks[[#This Row],[_Pred3Text]]="","",TRIM(MID(SUBSTITUTE(SUBSTITUTE(SUBSTITUTE(UPPER(Tasks[[#This Row],[_Predecessors]]),";",",")," ",""),",",REPT(" ",99)),298,99)))</f>
        <v/>
      </c>
      <c r="DH50" s="42">
        <f>IF(Tasks[[#This Row],[_Pred4Text]]="","",IFERROR(VALUE(LEFT(Tasks[[#This Row],[_Pred4Text]],MIN(FIND("F",Tasks[[#This Row],[_Pred4Text]]&amp;"F"),FIND("S",Tasks[[#This Row],[_Pred4Text]]&amp;"S"),FIND("+",Tasks[[#This Row],[_Pred4Text]]&amp;"+"),FIND("-",Tasks[[#This Row],[_Pred4Text]]&amp;"-"))-1)),""))</f>
        <v/>
      </c>
      <c r="DI5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0" s="42">
        <f>IF(OR(Tasks[[#This Row],[Task Name]]="",Tasks[[#This Row],[_Resources]]=""),"",TRIM(MID(SUBSTITUTE(Tasks[[#This Row],[_Resources]],",",REPT(" ",99)),1,99)))</f>
        <v/>
      </c>
      <c r="DL50" s="42">
        <f>IF(Tasks[[#This Row],[_Res1Text]]="","",TRIM(MID(SUBSTITUTE(Tasks[[#This Row],[_Resources]],",",REPT(" ",99)),100,99)))</f>
        <v/>
      </c>
      <c r="DM50" s="42">
        <f>IF(Tasks[[#This Row],[_Res2Text]]="","",TRIM(MID(SUBSTITUTE(Tasks[[#This Row],[_Resources]],",",REPT(" ",99)),199,99)))</f>
        <v/>
      </c>
      <c r="DN50" s="42">
        <f>IF(Tasks[[#This Row],[_Res3Text]]="","",TRIM(MID(SUBSTITUTE(Tasks[[#This Row],[_Resources]],",",REPT(" ",99)),298,99)))</f>
        <v/>
      </c>
      <c r="DO50" s="42">
        <f>IF(Tasks[[#This Row],[_Res1Text]]="",0,IFERROR(MATCH(TRIM(LEFT(Tasks[[#This Row],[_Res1Text]],FIND("[",Tasks[[#This Row],[_Res1Text]]&amp;"[")-1)),res_Name,0),IFERROR(MATCH(TRIM(LEFT(Tasks[[#This Row],[_Res1Text]],FIND("[",Tasks[[#This Row],[_Res1Text]]&amp;"[")-1)),res_Initials,0),0)))</f>
        <v/>
      </c>
      <c r="DP50" s="42">
        <f>IF(Tasks[[#This Row],[_Res2Text]]="",0,IFERROR(MATCH(TRIM(LEFT(Tasks[[#This Row],[_Res2Text]],FIND("[",Tasks[[#This Row],[_Res2Text]]&amp;"[")-1)),res_Name,0),IFERROR(MATCH(TRIM(LEFT(Tasks[[#This Row],[_Res2Text]],FIND("[",Tasks[[#This Row],[_Res2Text]]&amp;"[")-1)),res_Initials,0),0)))</f>
        <v/>
      </c>
      <c r="DQ50" s="42">
        <f>IF(Tasks[[#This Row],[_Res3Text]]="",0,IFERROR(MATCH(TRIM(LEFT(Tasks[[#This Row],[_Res3Text]],FIND("[",Tasks[[#This Row],[_Res3Text]]&amp;"[")-1)),res_Name,0),IFERROR(MATCH(TRIM(LEFT(Tasks[[#This Row],[_Res3Text]],FIND("[",Tasks[[#This Row],[_Res3Text]]&amp;"[")-1)),res_Initials,0),0)))</f>
        <v/>
      </c>
      <c r="DR50" s="42">
        <f>IF(Tasks[[#This Row],[_Res4Text]]="",0,IFERROR(MATCH(TRIM(LEFT(Tasks[[#This Row],[_Res4Text]],FIND("[",Tasks[[#This Row],[_Res4Text]]&amp;"[")-1)),res_Name,0),IFERROR(MATCH(TRIM(LEFT(Tasks[[#This Row],[_Res4Text]],FIND("[",Tasks[[#This Row],[_Res4Text]]&amp;"[")-1)),res_Initials,0),0)))</f>
        <v/>
      </c>
      <c r="DS50" s="42">
        <f>IF(Tasks[[#This Row],[_Res1Text]]="","",IF(Tasks[[#This Row],[_Res1Row]]&gt;0,INDEX(res_Name,Tasks[[#This Row],[_Res1Row]]),TRIM(LEFT(Tasks[[#This Row],[_Res1Text]],FIND("[",Tasks[[#This Row],[_Res1Text]]&amp;"[")-1))))</f>
        <v/>
      </c>
      <c r="DT5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0" s="42">
        <f>IF(NOT(Tasks[[#This Row],[_IsLeaf]]=1),0,(Tasks[[#This Row],[_Resource1]]&lt;&gt;"")+(Tasks[[#This Row],[_Res2]]&lt;&gt;"")+(Tasks[[#This Row],[_Res3]]&lt;&gt;"")+(Tasks[[#This Row],[_Res4]]&lt;&gt;""))</f>
        <v/>
      </c>
      <c r="DV50" s="42">
        <f>IF(Tasks[[#This Row],[_Res2Text]]="","",IF(Tasks[[#This Row],[_Res2Row]]&gt;0,INDEX(res_Name,Tasks[[#This Row],[_Res2Row]]),TRIM(LEFT(Tasks[[#This Row],[_Res2Text]],FIND("[",Tasks[[#This Row],[_Res2Text]]&amp;"[")-1))))</f>
        <v/>
      </c>
      <c r="DW5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0" s="42">
        <f>IF(OR(NOT(Tasks[[#This Row],[_IsLeaf]]=1),Tasks[[#This Row],[_Res2Row]]=0),0,N(Tasks[[#This Row],[_Days]])*HoursPerDay*IF(Tasks[[#This Row],[_Res2Units]]="",DefaultUnits,Tasks[[#This Row],[_Res2Units]]))</f>
        <v/>
      </c>
      <c r="DY50" s="42">
        <f>IF(AND(AND(Tasks[[#This Row],[_IsLeaf]]=1,Tasks[[#This Row],[_LeafTotalWork]]&gt;0),Tasks[[#This Row],[_Res2Work]]&gt;0),Tasks[[#This Row],[_Res2Work]]/(Tasks[[#This Row],[_FinishWorkday]]-Tasks[[#This Row],[_StartWorkday]]+1),0)</f>
        <v/>
      </c>
      <c r="DZ50" s="42">
        <f>Tasks[[#This Row],[_Res2WorkPerWD]]*MAX(0,Tasks[[#This Row],[_StartWorkday]]-1)</f>
        <v/>
      </c>
      <c r="EA50" s="42">
        <f>Tasks[[#This Row],[_Res2Work]]*Tasks[[#This Row],[_LeafProgress]]</f>
        <v/>
      </c>
      <c r="EB50" s="42">
        <f>IF(Tasks[[#This Row],[_Res3Text]]="","",IF(Tasks[[#This Row],[_Res3Row]]&gt;0,INDEX(res_Name,Tasks[[#This Row],[_Res3Row]]),TRIM(LEFT(Tasks[[#This Row],[_Res3Text]],FIND("[",Tasks[[#This Row],[_Res3Text]]&amp;"[")-1))))</f>
        <v/>
      </c>
      <c r="EC5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0" s="42">
        <f>IF(OR(NOT(Tasks[[#This Row],[_IsLeaf]]=1),Tasks[[#This Row],[_Res3Row]]=0),0,N(Tasks[[#This Row],[_Days]])*HoursPerDay*IF(Tasks[[#This Row],[_Res3Units]]="",DefaultUnits,Tasks[[#This Row],[_Res3Units]]))</f>
        <v/>
      </c>
      <c r="EE50" s="42">
        <f>IF(AND(AND(Tasks[[#This Row],[_IsLeaf]]=1,Tasks[[#This Row],[_LeafTotalWork]]&gt;0),Tasks[[#This Row],[_Res3Work]]&gt;0),Tasks[[#This Row],[_Res3Work]]/(Tasks[[#This Row],[_FinishWorkday]]-Tasks[[#This Row],[_StartWorkday]]+1),0)</f>
        <v/>
      </c>
      <c r="EF50" s="42">
        <f>Tasks[[#This Row],[_Res3WorkPerWD]]*MAX(0,Tasks[[#This Row],[_StartWorkday]]-1)</f>
        <v/>
      </c>
      <c r="EG50" s="42">
        <f>Tasks[[#This Row],[_Res3Work]]*Tasks[[#This Row],[_LeafProgress]]</f>
        <v/>
      </c>
      <c r="EH50" s="42">
        <f>IF(Tasks[[#This Row],[_Res4Text]]="","",IF(Tasks[[#This Row],[_Res4Row]]&gt;0,INDEX(res_Name,Tasks[[#This Row],[_Res4Row]]),TRIM(LEFT(Tasks[[#This Row],[_Res4Text]],FIND("[",Tasks[[#This Row],[_Res4Text]]&amp;"[")-1))))</f>
        <v/>
      </c>
      <c r="EI5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0" s="42">
        <f>IF(OR(NOT(Tasks[[#This Row],[_IsLeaf]]=1),Tasks[[#This Row],[_Res4Row]]=0),0,N(Tasks[[#This Row],[_Days]])*HoursPerDay*IF(Tasks[[#This Row],[_Res4Units]]="",DefaultUnits,Tasks[[#This Row],[_Res4Units]]))</f>
        <v/>
      </c>
      <c r="EK50" s="42">
        <f>IF(AND(AND(Tasks[[#This Row],[_IsLeaf]]=1,Tasks[[#This Row],[_LeafTotalWork]]&gt;0),Tasks[[#This Row],[_Res4Work]]&gt;0),Tasks[[#This Row],[_Res4Work]]/(Tasks[[#This Row],[_FinishWorkday]]-Tasks[[#This Row],[_StartWorkday]]+1),0)</f>
        <v/>
      </c>
      <c r="EL50" s="42">
        <f>Tasks[[#This Row],[_Res4WorkPerWD]]*MAX(0,Tasks[[#This Row],[_StartWorkday]]-1)</f>
        <v/>
      </c>
      <c r="EM50" s="42">
        <f>Tasks[[#This Row],[_Res4Work]]*Tasks[[#This Row],[_LeafProgress]]</f>
        <v/>
      </c>
      <c r="EN50" s="42">
        <f>IF(ISNUMBER(Tasks[[#This Row],[% Complete]]),Tasks[[#This Row],[% Complete]],IF(Tasks[[#This Row],[Stage]]="",0,IFERROR(INDEX(stg_Pct,MATCH(Tasks[[#This Row],[Stage]],stg_Name,0)),0)))</f>
        <v/>
      </c>
      <c r="EO50" s="42">
        <f>IF(NOT(Tasks[[#This Row],[_IsLeaf]]=1),0,IF(N(Tasks[[#This Row],[Actual Finish]])&gt;0,1,MIN(1,Tasks[[#This Row],[_Pct]])))</f>
        <v/>
      </c>
      <c r="EP50" s="42">
        <f>IF(OR(NOT(Tasks[[#This Row],[_IsLeaf]]=1),Tasks[[#This Row],[_Res1Row]]=0),0,N(Tasks[[#This Row],[_Days]])*HoursPerDay*IF(Tasks[[#This Row],[_Units1]]="",DefaultUnits,Tasks[[#This Row],[_Units1]]))</f>
        <v/>
      </c>
      <c r="EQ50" s="42">
        <f>Tasks[[#This Row],[_LeafWork]]+Tasks[[#This Row],[_Res2Work]]+Tasks[[#This Row],[_Res3Work]]+Tasks[[#This Row],[_Res4Work]]</f>
        <v/>
      </c>
      <c r="ER5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0" s="42">
        <f>IF(NOT(Tasks[[#This Row],[_IsLeaf]]=1),0,MAX(_xlfn.MAXIFS(Tasks[_Row],Tasks[_Pred1UID],Tasks[[#This Row],[UID]]),_xlfn.MAXIFS(Tasks[_Row],Tasks[_Pred2UID],Tasks[[#This Row],[UID]]),_xlfn.MAXIFS(Tasks[_Row],Tasks[_Pred3UID],Tasks[[#This Row],[UID]]),_xlfn.MAXIFS(Tasks[_Row],Tasks[_Pred4UID],Tasks[[#This Row],[UID]])))</f>
        <v/>
      </c>
      <c r="FA5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0" s="88">
        <f>IF(NOT(Tasks[[#This Row],[_IsLeaf]]=1),"",IF(N(Tasks[[#This Row],[_Days]])&lt;=0,Tasks[[#This Row],[_LeafLateFinish]],WORKDAY.INTL(Tasks[[#This Row],[_LeafLateFinish]],-(Tasks[[#This Row],[_Days]]-1),WorkWeek,Holidays)))</f>
        <v/>
      </c>
      <c r="FD5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0" s="42">
        <f>AND(Tasks[[#This Row],[_IsLeaf]]=1,Tasks[[#This Row],[_LeafProgress]]&lt;1,N(Tasks[[#This Row],[_LeafTotalSlack]])&lt;=CriticalSlackDays)</f>
        <v/>
      </c>
      <c r="FF50" s="42">
        <f>IF(AND(Tasks[[#This Row],[_IsLeaf]]=1,Tasks[[#This Row],[_ConstraintCode]]=1,Tasks[[#This Row],[Mode]]&lt;&gt;"Manual",N(Tasks[[#This Row],[Actual Start]])=0),MAX(0,N(Tasks[[#This Row],[Free Slack]])),0)</f>
        <v/>
      </c>
      <c r="FG50" s="88">
        <f>IF(NOT(Tasks[[#This Row],[_IsLeaf]]=1),"",IF(Tasks[[#This Row],[_AlapShift]]=0,Tasks[[#This Row],[_LeafCalcStart]],WORKDAY.INTL(Tasks[[#This Row],[_LeafCalcStart]],Tasks[[#This Row],[_AlapShift]],WorkWeek,Holidays)))</f>
        <v/>
      </c>
      <c r="FH50" s="88">
        <f>IF(NOT(Tasks[[#This Row],[_IsLeaf]]=1),"",IF(Tasks[[#This Row],[_AlapShift]]=0,Tasks[[#This Row],[_LeafCalcFinish]],WORKDAY.INTL(Tasks[[#This Row],[_LeafCalcFinish]],Tasks[[#This Row],[_AlapShift]],WorkWeek,Holidays)))</f>
        <v/>
      </c>
      <c r="FI50" s="88">
        <f>IF(NOT(Tasks[[#This Row],[_IsLeaf]]=1),"",IF(Tasks[[#This Row],[_AlapShift]]=0,Tasks[[#This Row],[_LeafFcstStart]],WORKDAY.INTL(Tasks[[#This Row],[_LeafFcstStart]],Tasks[[#This Row],[_AlapShift]],WorkWeek,Holidays)))</f>
        <v/>
      </c>
      <c r="FJ50" s="88">
        <f>IF(NOT(Tasks[[#This Row],[_IsLeaf]]=1),"",IF(Tasks[[#This Row],[_AlapShift]]=0,Tasks[[#This Row],[_LeafFcstFinish]],WORKDAY.INTL(Tasks[[#This Row],[_LeafFcstFinish]],Tasks[[#This Row],[_AlapShift]],WorkWeek,Holidays)))</f>
        <v/>
      </c>
      <c r="FK50" s="88">
        <f>IF(Tasks[[#This Row],[Task Name]]="","",IF(Tasks[[#This Row],[_IsSummary]],MIN(INDEX(Tasks[_ShownCalcStart],Tasks[[#This Row],[_Row]]+1):INDEX(Tasks[_ShownCalcStart],Tasks[[#This Row],[_Row]]+Tasks[[#This Row],[_Descendants]])),Tasks[[#This Row],[_ShownCalcStart]]))</f>
        <v/>
      </c>
      <c r="FL50" s="88">
        <f>IF(Tasks[[#This Row],[Task Name]]="","",IF(Tasks[[#This Row],[_IsSummary]],MAX(INDEX(Tasks[_ShownCalcFinish],Tasks[[#This Row],[_Row]]+1):INDEX(Tasks[_ShownCalcFinish],Tasks[[#This Row],[_Row]]+Tasks[[#This Row],[_Descendants]])),Tasks[[#This Row],[_ShownCalcFinish]]))</f>
        <v/>
      </c>
      <c r="FM5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0" s="42">
        <f>IF(AND(Tasks[[#This Row],[_IsLeaf]]=1,Tasks[[#This Row],[_LeafTotalWork]]&gt;0),NETWORKDAYS.INTL(ProjectStart,Tasks[[#This Row],[_ShownFcstStart]],WorkWeek,Holidays),0)</f>
        <v/>
      </c>
      <c r="FZ50" s="42">
        <f>IF(AND(Tasks[[#This Row],[_IsLeaf]]=1,Tasks[[#This Row],[_LeafTotalWork]]&gt;0),MAX(Tasks[[#This Row],[_StartWorkday]],NETWORKDAYS.INTL(ProjectStart,Tasks[[#This Row],[_ShownFcstFinish]],WorkWeek,Holidays)),0)</f>
        <v/>
      </c>
      <c r="GA50" s="42">
        <f>IF(AND(Tasks[[#This Row],[_IsLeaf]]=1,Tasks[[#This Row],[_LeafTotalWork]]&gt;0),Tasks[[#This Row],[_LeafWork]]/(Tasks[[#This Row],[_FinishWorkday]]-Tasks[[#This Row],[_StartWorkday]]+1),0)</f>
        <v/>
      </c>
      <c r="GB50" s="42">
        <f>Tasks[[#This Row],[_WorkPerWorkday]]*(Tasks[[#This Row],[_StartWorkday]]-1)</f>
        <v/>
      </c>
      <c r="GC50" s="42">
        <f>IF(Tasks[[#This Row],[_IsLeaf]]=1,MAX(N(Tasks[[#This Row],[_Days]]),0.1),0)</f>
        <v/>
      </c>
      <c r="GD50" s="42">
        <f>Tasks[[#This Row],[_WeightDur]]*Tasks[[#This Row],[_LeafProgress]]</f>
        <v/>
      </c>
      <c r="GE50" s="42">
        <f>Tasks[[#This Row],[_WeightDur]]*Tasks[[#This Row],[_PlannedPct]]</f>
        <v/>
      </c>
      <c r="GF5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0" s="42">
        <f>IF(AND(Tasks[[#This Row],[_IsLeaf]]=1,N(Tasks[[#This Row],[_Days]])=0,Tasks[[#This Row],[_LeafProgress]]&lt;1),Tasks[[#This Row],[_ShownFcstFinish]]+Tasks[[#This Row],[_Row]]/100000,"")</f>
        <v/>
      </c>
      <c r="GH5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0" s="42">
        <f>IF(Tasks[[#This Row],[Task Name]]="","",LEFT(Tasks[[#This Row],[WBS]],FIND(".",Tasks[[#This Row],[WBS]]&amp;".")-1))</f>
        <v/>
      </c>
      <c r="GJ50" s="42">
        <f>IF(AND(Tasks[[#This Row],[Task Name]]&lt;&gt;"",Tasks[[#This Row],[_Level]]=1),Tasks[[#This Row],[_Row]],"")</f>
        <v/>
      </c>
      <c r="GK50" s="42">
        <f>IF(AND(Tasks[[#This Row],[_IsLeaf]]=1,N(Tasks[[#This Row],[_Days]])=0),Tasks[[#This Row],[Planned Finish]]+Tasks[[#This Row],[_Row]]/100000,"")</f>
        <v/>
      </c>
      <c r="GL50" s="42">
        <f>IF(AND(Tasks[[#This Row],[_IsLeaf]]=1,Tasks[[#This Row],[_LeafProgress]]&lt;1,OR(N(Tasks[[#This Row],[Finish Var]])&gt;0,Tasks[[#This Row],[Status]]="Late Start")),MAX(0,Tasks[[#This Row],[Finish Var]])+1-Tasks[[#This Row],[_Row]]/1000000,"")</f>
        <v/>
      </c>
      <c r="GM50" s="42">
        <f>IF(AND(Tasks[[#This Row],[_IsLeaf]]=1,N(Tasks[[#This Row],[Actual Start]])=0,Tasks[[#This Row],[_ShownFcstStart]]&gt;=StatusDate,Tasks[[#This Row],[_ShownFcstStart]]&lt;=LookaheadEnd),Tasks[[#This Row],[_ShownFcstStart]]+Tasks[[#This Row],[_Row]]/100000,"")</f>
        <v/>
      </c>
      <c r="GN50" s="42">
        <f>IF(AND(Tasks[[#This Row],[_IsLeaf]]=1,Tasks[[#This Row],[_LeafProgress]]&lt;1,Tasks[[#This Row],[_ShownFcstFinish]]&gt;=StatusDate,Tasks[[#This Row],[_ShownFcstFinish]]&lt;=LookaheadEnd),Tasks[[#This Row],[_ShownFcstFinish]]+Tasks[[#This Row],[_Row]]/100000,"")</f>
        <v/>
      </c>
      <c r="GO50" s="42">
        <f>IF(Tasks[[#This Row],[_LeafCritical]],Tasks[[#This Row],[_ShownFcstStart]]+Tasks[[#This Row],[_Row]]/100000,"")</f>
        <v/>
      </c>
      <c r="GP50" s="42">
        <f>Tasks[[#This Row],[_LeafWork]]*Tasks[[#This Row],[_LeafProgress]]</f>
        <v/>
      </c>
      <c r="GQ50" s="88">
        <f>IF(AND(Tasks[[#This Row],[_IsLeaf]]=1,Tasks[[#This Row],[_LeafProgress]]&gt;=1),IF(N(Tasks[[#This Row],[Actual Finish]])&gt;0,Tasks[[#This Row],[Actual Finish]],Tasks[[#This Row],[_ShownFcstFinish]]),"")</f>
        <v/>
      </c>
      <c r="GR50" s="42">
        <f>IF(Tasks[[#This Row],[_IsLeaf]]=1,N(Tasks[[#This Row],[Story Points]]),0)</f>
        <v/>
      </c>
      <c r="GS50" s="42">
        <f>""</f>
        <v/>
      </c>
      <c r="GT50" s="42">
        <f>IF(Tasks[[#This Row],[Task Name]]="",FALSE(),AND(Tasks[[#This Row],[_IsLeaf]]=1,N(Tasks[[#This Row],[_Days]])=0))</f>
        <v/>
      </c>
      <c r="GU50" s="88">
        <f>IF(Tasks[[#This Row],[Task Name]]="",0,IF(AND(Tasks[[#This Row],[_IsLeaf]]=1,NOT(Tasks[[#This Row],[_IsMilestone]]),N(Tasks[[#This Row],[Progress]])&gt;0),Tasks[[#This Row],[Start]],0))</f>
        <v/>
      </c>
      <c r="GV50" s="88">
        <f>IF(Tasks[[#This Row],[_DoneFrom]]=0,0,IF(Tasks[[#This Row],[Progress]]&gt;=1,Tasks[[#This Row],[Finish]],MAX(Tasks[[#This Row],[_DoneFrom]],Tasks[[#This Row],[Start]]+ROUND((Tasks[[#This Row],[Finish]]-Tasks[[#This Row],[Start]]+1)*Tasks[[#This Row],[Progress]],0)-1)))</f>
        <v/>
      </c>
      <c r="GW50" s="88">
        <f>IF(Tasks[[#This Row],[Task Name]]="",0,IF(OR(NOT(Tasks[[#This Row],[_IsLeaf]]=1),Tasks[[#This Row],[_IsMilestone]],N(Tasks[[#This Row],[Progress]])&gt;=1),0,IF(Tasks[[#This Row],[_DoneTo]]&gt;0,Tasks[[#This Row],[_DoneTo]]+1,Tasks[[#This Row],[Start]])))</f>
        <v/>
      </c>
      <c r="GX50" s="88">
        <f>IF(Tasks[[#This Row],[_RemFrom]]=0,0,Tasks[[#This Row],[Finish]])</f>
        <v/>
      </c>
      <c r="GY50" s="42">
        <f>IF(Tasks[[#This Row],[Task Name]]="",FALSE(),OR(NOT(BaselineSet),N(Tasks[[#This Row],[Baseline Start]])&gt;0))</f>
        <v/>
      </c>
      <c r="GZ50" s="42">
        <f>IF(AND(Sandbox="Yes",L_PARSE_DURATION(Tasks[[#This Row],[Sandbox Duration]])&lt;&gt;""),L_PARSE_DURATION(Tasks[[#This Row],[Sandbox Duration]]),L_PARSE_DURATION(Tasks[[#This Row],[Duration]]))</f>
        <v/>
      </c>
      <c r="HA5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0" s="42">
        <f>IF(Tasks[[#This Row],[_IsLeaf]]=1,Tasks[[#This Row],[_Row]],"")</f>
        <v/>
      </c>
      <c r="HD50" s="42">
        <f>IFERROR(INDEX(Tasks[UID],SMALL(Tasks[_PickKey],Tasks[[#This Row],[_Row]]))&amp;" "&amp;INDEX(Tasks[Task Name],SMALL(Tasks[_PickKey],Tasks[[#This Row],[_Row]])),"")</f>
        <v/>
      </c>
      <c r="HE50" s="42">
        <f>IF(Tasks[[#This Row],[Task Name]]="","",IF(Tasks[[#This Row],[_IsSummary]],NETWORKDAYS.INTL(Tasks[[#This Row],[Start]],Tasks[[#This Row],[Finish]],WorkWeek,Holidays),N(Tasks[[#This Row],[_Days]])))</f>
        <v/>
      </c>
      <c r="HF50" s="42">
        <f>IF(Tasks[[#This Row],[Expected]]="",0,((Tasks[[#This Row],[Pessimistic]]-Tasks[[#This Row],[Optimistic]])/6)^2)</f>
        <v/>
      </c>
      <c r="HG50" s="42">
        <f>IF(Tasks[[#This Row],[Expected]]="",0,Tasks[[#This Row],[Expected]]-N(Tasks[[#This Row],[_Days]]))</f>
        <v/>
      </c>
    </row>
    <row r="51">
      <c r="A51" s="21">
        <f>IF(Tasks[[#This Row],[Task Name]]="","",COUNTA(Tasks[[#Headers],[Task Name]]:Tasks[[#This Row],[Task Name]])-1)</f>
        <v/>
      </c>
      <c r="B51" s="22" t="n">
        <v>59</v>
      </c>
      <c r="C51" s="22" t="n"/>
      <c r="D51" s="23" t="n"/>
      <c r="E51" s="22" t="n"/>
      <c r="F51" s="23" t="n"/>
      <c r="G51" s="22" t="n"/>
      <c r="H51" s="22" t="n"/>
      <c r="I51" s="23" t="n"/>
      <c r="J51" s="22" t="n"/>
      <c r="K51" s="22" t="n"/>
      <c r="L51" s="23" t="n"/>
      <c r="M51" s="22" t="n"/>
      <c r="N51" s="22" t="n"/>
      <c r="O51" s="23" t="n"/>
      <c r="P51" s="22" t="n"/>
      <c r="Q51" s="22" t="n"/>
      <c r="R51" s="23" t="n"/>
      <c r="S51" s="23" t="n"/>
      <c r="T51" s="82" t="n"/>
      <c r="U51" s="23" t="n"/>
      <c r="V51" s="82" t="n"/>
      <c r="W51" s="23" t="n"/>
      <c r="X51" s="82" t="n"/>
      <c r="Y51" s="23" t="n"/>
      <c r="Z51" s="82" t="n"/>
      <c r="AA51" s="23" t="n"/>
      <c r="AB51" s="23" t="n"/>
      <c r="AC51" s="7" t="n"/>
      <c r="AD51" s="7" t="n"/>
      <c r="AE51" s="61">
        <f>IF(Tasks[[#This Row],[Task Name]]="","",IF(Tasks[[#This Row],[_IsSummary]],MIN(INDEX(Tasks[_ShownFcstStart],Tasks[[#This Row],[_Row]]+1):INDEX(Tasks[_ShownFcstStart],Tasks[[#This Row],[_Row]]+Tasks[[#This Row],[_Descendants]])),Tasks[[#This Row],[_ShownFcstStart]]))</f>
        <v/>
      </c>
      <c r="AF51" s="61">
        <f>IF(Tasks[[#This Row],[Task Name]]="","",IF(Tasks[[#This Row],[_IsSummary]],MAX(INDEX(Tasks[_ShownFcstFinish],Tasks[[#This Row],[_Row]]+1):INDEX(Tasks[_ShownFcstFinish],Tasks[[#This Row],[_Row]]+Tasks[[#This Row],[_Descendants]])),Tasks[[#This Row],[_ShownFcstFinish]]))</f>
        <v/>
      </c>
      <c r="AG51" s="21">
        <f>""</f>
        <v/>
      </c>
      <c r="AH51" s="23" t="n"/>
      <c r="AI5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1" s="7" t="n"/>
      <c r="AK51" s="22" t="n"/>
      <c r="AL51" s="23" t="n"/>
      <c r="AM51" s="7" t="n"/>
      <c r="AN51" s="21">
        <f>IF(Tasks[[#This Row],[Task Name]]="","",IF(Tasks[[#This Row],[Finish]]&gt;=Tasks[[#This Row],[Planned Finish]],NETWORKDAYS.INTL(Tasks[[#This Row],[Planned Finish]],Tasks[[#This Row],[Finish]],WorkWeek,Holidays)-1,1-NETWORKDAYS.INTL(Tasks[[#This Row],[Finish]],Tasks[[#This Row],[Planned Finish]],WorkWeek,Holidays)))</f>
        <v/>
      </c>
      <c r="AO51" s="21">
        <f>IF(Tasks[[#This Row],[Task Name]]="","",IF(Tasks[[#This Row],[Progress]]&gt;=1,"Complete",IF(OR(N(Tasks[[#This Row],[Actual Start]])&gt;0,Tasks[[#This Row],[Progress]]&gt;0),IF(Tasks[[#This Row],[Finish Var]]&gt;0,"Behind","In Progress"),IF(Tasks[[#This Row],[Planned Start]]&lt;StatusDate,"Late Start","Not Started"))))</f>
        <v/>
      </c>
      <c r="AP51" s="21">
        <f>IF(Tasks[[#This Row],[Task Name]]="","",IF(IF(Tasks[[#This Row],[_IsSummary]],COUNTIF(INDEX(Tasks[_LeafCritical],Tasks[[#This Row],[_Row]]+1):INDEX(Tasks[_LeafCritical],Tasks[[#This Row],[_Row]]+Tasks[[#This Row],[_Descendants]]),TRUE())&gt;0,Tasks[[#This Row],[_LeafCritical]]),"Yes",""))</f>
        <v/>
      </c>
      <c r="AQ51" s="61">
        <f>IF(Tasks[[#This Row],[Task Name]]="","",IF(N(Tasks[[#This Row],[Baseline Start]])&gt;0,Tasks[[#This Row],[Baseline Start]],Tasks[[#This Row],[_CalcStart]]))</f>
        <v/>
      </c>
      <c r="AR51" s="61">
        <f>IF(Tasks[[#This Row],[Task Name]]="","",IF(N(Tasks[[#This Row],[Baseline Finish]])&gt;0,Tasks[[#This Row],[Baseline Finish]],Tasks[[#This Row],[_CalcFinish]]))</f>
        <v/>
      </c>
      <c r="AS51" s="21">
        <f>IF(Tasks[[#This Row],[Task Name]]="","",IF(Tasks[[#This Row],[Start]]&gt;=Tasks[[#This Row],[Planned Start]],NETWORKDAYS.INTL(Tasks[[#This Row],[Planned Start]],Tasks[[#This Row],[Start]],WorkWeek,Holidays)-1,1-NETWORKDAYS.INTL(Tasks[[#This Row],[Start]],Tasks[[#This Row],[Planned Start]],WorkWeek,Holidays)))</f>
        <v/>
      </c>
      <c r="AT51" s="61">
        <f>IF(Tasks[[#This Row],[Task Name]]="","",IF(Tasks[[#This Row],[_IsSummary]],MIN(INDEX(Tasks[_LeafLateStart],Tasks[[#This Row],[_Row]]+1):INDEX(Tasks[_LeafLateStart],Tasks[[#This Row],[_Row]]+Tasks[[#This Row],[_Descendants]])),Tasks[[#This Row],[_LeafLateStart]]))</f>
        <v/>
      </c>
      <c r="AU51" s="61">
        <f>IF(Tasks[[#This Row],[Task Name]]="","",IF(Tasks[[#This Row],[_IsSummary]],MAX(INDEX(Tasks[_LeafLateFinish],Tasks[[#This Row],[_Row]]+1):INDEX(Tasks[_LeafLateFinish],Tasks[[#This Row],[_Row]]+Tasks[[#This Row],[_Descendants]])),Tasks[[#This Row],[_LeafLateFinish]]))</f>
        <v/>
      </c>
      <c r="AV51" s="21">
        <f>IF(Tasks[[#This Row],[Task Name]]="","",IF(Tasks[[#This Row],[_IsSummary]],MIN(INDEX(Tasks[_LeafTotalSlack],Tasks[[#This Row],[_Row]]+1):INDEX(Tasks[_LeafTotalSlack],Tasks[[#This Row],[_Row]]+Tasks[[#This Row],[_Descendants]])),Tasks[[#This Row],[_LeafTotalSlack]]))</f>
        <v/>
      </c>
      <c r="AW5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3" t="n"/>
      <c r="BA5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f>IF(Tasks[[#This Row],[Task Name]]="","",IF(Tasks[[#This Row],[_Level]]&lt;=OutlineShowLevel,"Yes","No"))</f>
        <v/>
      </c>
      <c r="BE51" s="84">
        <f>IF(Tasks[[#This Row],[Task Name]]="","",IF(Tasks[[#This Row],[_IsSummary]],SUM(INDEX(Tasks[_LeafTotalWork],Tasks[[#This Row],[_Row]]+1):INDEX(Tasks[_LeafTotalWork],Tasks[[#This Row],[_Row]]+Tasks[[#This Row],[_Descendants]])),Tasks[[#This Row],[_LeafTotalWork]]))</f>
        <v/>
      </c>
      <c r="BF51" s="23" t="n"/>
      <c r="BG5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f>""</f>
        <v/>
      </c>
      <c r="BI51" s="85" t="n"/>
      <c r="BJ51" s="22" t="n"/>
      <c r="BK51" s="21">
        <f>IF(OR(Tasks[[#This Row],[Task Name]]="",Tasks[[#This Row],[Baseline Duration]]=""),"",Tasks[[#This Row],[_SpanDays]]-N(Tasks[[#This Row],[Baseline Duration]]))</f>
        <v/>
      </c>
      <c r="BL51" s="84">
        <f>IF(OR(Tasks[[#This Row],[Task Name]]="",Tasks[[#This Row],[Baseline Work]]=""),"",Tasks[[#This Row],[Work]]-N(Tasks[[#This Row],[Baseline Work]]))</f>
        <v/>
      </c>
      <c r="BM51" s="61">
        <f>IF(Tasks[[#This Row],[Task Name]]="","",IF(OR(TakeBaseline="Yes",N(Tasks[[#This Row],[Baseline Start]])=0),Tasks[[#This Row],[Start]],Tasks[[#This Row],[Baseline Start]]))</f>
        <v/>
      </c>
      <c r="BN51" s="61">
        <f>IF(Tasks[[#This Row],[Task Name]]="","",IF(OR(TakeBaseline="Yes",N(Tasks[[#This Row],[Baseline Finish]])=0),Tasks[[#This Row],[Finish]],Tasks[[#This Row],[Baseline Finish]]))</f>
        <v/>
      </c>
      <c r="BO51" s="21">
        <f>IF(Tasks[[#This Row],[Task Name]]="","",IF(OR(TakeBaseline="Yes",N(Tasks[[#This Row],[Baseline Duration]])=0),Tasks[[#This Row],[_SpanDays]],Tasks[[#This Row],[Baseline Duration]]))</f>
        <v/>
      </c>
      <c r="BP51" s="84">
        <f>IF(Tasks[[#This Row],[Task Name]]="","",IF(OR(TakeBaseline="Yes",N(Tasks[[#This Row],[Baseline Work]])=0),Tasks[[#This Row],[Work]],Tasks[[#This Row],[Baseline Work]]))</f>
        <v/>
      </c>
      <c r="BQ51" s="7" t="n"/>
      <c r="BR51" s="7" t="n"/>
      <c r="BS51" s="22" t="n"/>
      <c r="BT51" s="86" t="n"/>
      <c r="BU51" s="23" t="n"/>
      <c r="BV51" s="23" t="n"/>
      <c r="BW51" s="23" t="n"/>
      <c r="BX51" s="87">
        <f>IF(AND(Tasks[[#This Row],[_IsLeaf]]=1,ISNUMBER(Tasks[[#This Row],[Optimistic]]),ISNUMBER(Tasks[[#This Row],[Pessimistic]])),ROUND((Tasks[[#This Row],[Optimistic]]+4*N(Tasks[[#This Row],[_Days]])+Tasks[[#This Row],[Pessimistic]])/6,1),"")</f>
        <v/>
      </c>
      <c r="BY51" s="85" t="n"/>
      <c r="BZ51" s="85" t="n"/>
      <c r="CA51" s="22" t="n"/>
      <c r="CB51" s="42">
        <f>IF(Tasks[[#This Row],[Task Name]]="","",MAX(1,N(Tasks[[#This Row],[Level]])))</f>
        <v/>
      </c>
      <c r="CC51" s="42">
        <f>ROW()-ROW(Tasks[[#Headers],[ID]])</f>
        <v/>
      </c>
      <c r="CD51" s="42">
        <f>IF(OR(Tasks[[#This Row],[Task Name]]="",Tasks[[#This Row],[_Level]]&lt;=1),0,IFERROR(LOOKUP(2,1/(Tasks[[#Headers],[_Level]]:Tasks[[#This Row],[_Level]]=Tasks[[#This Row],[_Level]]-1),ROW(Tasks[[#Headers],[_Level]]:Tasks[[#This Row],[_Level]])),0))</f>
        <v/>
      </c>
      <c r="CE51" s="42">
        <f>IFERROR(N(INDEX(Tasks[_Level],Tasks[[#This Row],[_Row]]+1)),0)</f>
        <v/>
      </c>
      <c r="CF51" s="42">
        <f>AND(Tasks[[#This Row],[Task Name]]&lt;&gt;"",Tasks[[#This Row],[_NextLevel]]&gt;Tasks[[#This Row],[_Level]])</f>
        <v/>
      </c>
      <c r="CG51" s="42">
        <f>IF(Tasks[[#This Row],[_IsSummary]],COUNTIF(Tasks[WBS],Tasks[[#This Row],[WBS]]&amp;".*"),0)</f>
        <v/>
      </c>
      <c r="CH51" s="42">
        <f>IF(AND(Tasks[[#This Row],[Task Name]]&lt;&gt;"",NOT(Tasks[[#This Row],[_IsSummary]])),1,0)</f>
        <v/>
      </c>
      <c r="CI51" s="42">
        <f>IF(N(Tasks[[#This Row],[_Pred1UID]])=0,0,IFERROR(MATCH(Tasks[[#This Row],[_Pred1UID]],Tasks[UID],0),-1))</f>
        <v/>
      </c>
      <c r="CJ51" s="42">
        <f>IF(N(Tasks[[#This Row],[_Pred2UID]])=0,0,IFERROR(MATCH(Tasks[[#This Row],[_Pred2UID]],Tasks[UID],0),-1))</f>
        <v/>
      </c>
      <c r="CK51" s="42">
        <f>IF(N(Tasks[[#This Row],[_Pred3UID]])=0,0,IFERROR(MATCH(Tasks[[#This Row],[_Pred3UID]],Tasks[UID],0),-1))</f>
        <v/>
      </c>
      <c r="CL51" s="42">
        <f>IF(N(Tasks[[#This Row],[_Pred4UID]])=0,0,IFERROR(MATCH(Tasks[[#This Row],[_Pred4UID]],Tasks[UID],0),-1))</f>
        <v/>
      </c>
      <c r="CM5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1" s="88">
        <f>IF(N(Tasks[[#This Row],[Constraint Date]])=0,0,IF(AND(OR(Tasks[[#This Row],[_ConstraintCode]]=3,Tasks[[#This Row],[_ConstraintCode]]=6,Tasks[[#This Row],[_ConstraintCode]]=7),N(Tasks[[#This Row],[_Days]])&gt;1),WORKDAY.INTL(N(Tasks[[#This Row],[Constraint Date]]),-(N(Tasks[[#This Row],[_Days]])-1),WorkWeek,Holidays),N(Tasks[[#This Row],[Constraint Date]])))</f>
        <v/>
      </c>
      <c r="CO51" s="88">
        <f>IF(OR(Tasks[[#This Row],[_ConstraintCode]]=2,Tasks[[#This Row],[_ConstraintCode]]=3,Tasks[[#This Row],[_ConstraintCode]]=4,Tasks[[#This Row],[_ConstraintCode]]=6),Tasks[[#This Row],[_ConstraintStart]],0)</f>
        <v/>
      </c>
      <c r="CP51" s="88">
        <f>IF(OR(Tasks[[#This Row],[_ConstraintCode]]=2,Tasks[[#This Row],[_ConstraintCode]]=3,Tasks[[#This Row],[_ConstraintCode]]=5,Tasks[[#This Row],[_ConstraintCode]]=7),Tasks[[#This Row],[_ConstraintStart]],2958465)</f>
        <v/>
      </c>
      <c r="CQ5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1" s="88">
        <f>IF(NOT(Tasks[[#This Row],[_IsLeaf]]=1),"",IF(N(Tasks[[#This Row],[_Days]])&lt;=0,Tasks[[#This Row],[_LeafCalcStart]],WORKDAY.INTL(Tasks[[#This Row],[_LeafCalcStart]],Tasks[[#This Row],[_Days]]-1,WorkWeek,Holidays)))</f>
        <v/>
      </c>
      <c r="CS5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1" s="42">
        <f>IF(Tasks[[#This Row],[_Predecessors]]="","",TRIM(MID(SUBSTITUTE(SUBSTITUTE(SUBSTITUTE(UPPER(Tasks[[#This Row],[_Predecessors]]),";",",")," ",""),",",REPT(" ",99)),1,99)))</f>
        <v/>
      </c>
      <c r="CV51" s="42">
        <f>IF(Tasks[[#This Row],[_Pred1Text]]="","",IFERROR(VALUE(LEFT(Tasks[[#This Row],[_Pred1Text]],MIN(FIND("F",Tasks[[#This Row],[_Pred1Text]]&amp;"F"),FIND("S",Tasks[[#This Row],[_Pred1Text]]&amp;"S"),FIND("+",Tasks[[#This Row],[_Pred1Text]]&amp;"+"),FIND("-",Tasks[[#This Row],[_Pred1Text]]&amp;"-"))-1)),""))</f>
        <v/>
      </c>
      <c r="CW5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1" s="42">
        <f>IF(Tasks[[#This Row],[_Pred1Text]]="","",TRIM(MID(SUBSTITUTE(SUBSTITUTE(SUBSTITUTE(UPPER(Tasks[[#This Row],[_Predecessors]]),";",",")," ",""),",",REPT(" ",99)),100,99)))</f>
        <v/>
      </c>
      <c r="CZ51" s="42">
        <f>IF(Tasks[[#This Row],[_Pred2Text]]="","",IFERROR(VALUE(LEFT(Tasks[[#This Row],[_Pred2Text]],MIN(FIND("F",Tasks[[#This Row],[_Pred2Text]]&amp;"F"),FIND("S",Tasks[[#This Row],[_Pred2Text]]&amp;"S"),FIND("+",Tasks[[#This Row],[_Pred2Text]]&amp;"+"),FIND("-",Tasks[[#This Row],[_Pred2Text]]&amp;"-"))-1)),""))</f>
        <v/>
      </c>
      <c r="DA5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1" s="42">
        <f>IF(Tasks[[#This Row],[_Pred2Text]]="","",TRIM(MID(SUBSTITUTE(SUBSTITUTE(SUBSTITUTE(UPPER(Tasks[[#This Row],[_Predecessors]]),";",",")," ",""),",",REPT(" ",99)),199,99)))</f>
        <v/>
      </c>
      <c r="DD51" s="42">
        <f>IF(Tasks[[#This Row],[_Pred3Text]]="","",IFERROR(VALUE(LEFT(Tasks[[#This Row],[_Pred3Text]],MIN(FIND("F",Tasks[[#This Row],[_Pred3Text]]&amp;"F"),FIND("S",Tasks[[#This Row],[_Pred3Text]]&amp;"S"),FIND("+",Tasks[[#This Row],[_Pred3Text]]&amp;"+"),FIND("-",Tasks[[#This Row],[_Pred3Text]]&amp;"-"))-1)),""))</f>
        <v/>
      </c>
      <c r="DE5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1" s="42">
        <f>IF(Tasks[[#This Row],[_Pred3Text]]="","",TRIM(MID(SUBSTITUTE(SUBSTITUTE(SUBSTITUTE(UPPER(Tasks[[#This Row],[_Predecessors]]),";",",")," ",""),",",REPT(" ",99)),298,99)))</f>
        <v/>
      </c>
      <c r="DH51" s="42">
        <f>IF(Tasks[[#This Row],[_Pred4Text]]="","",IFERROR(VALUE(LEFT(Tasks[[#This Row],[_Pred4Text]],MIN(FIND("F",Tasks[[#This Row],[_Pred4Text]]&amp;"F"),FIND("S",Tasks[[#This Row],[_Pred4Text]]&amp;"S"),FIND("+",Tasks[[#This Row],[_Pred4Text]]&amp;"+"),FIND("-",Tasks[[#This Row],[_Pred4Text]]&amp;"-"))-1)),""))</f>
        <v/>
      </c>
      <c r="DI5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1" s="42">
        <f>IF(OR(Tasks[[#This Row],[Task Name]]="",Tasks[[#This Row],[_Resources]]=""),"",TRIM(MID(SUBSTITUTE(Tasks[[#This Row],[_Resources]],",",REPT(" ",99)),1,99)))</f>
        <v/>
      </c>
      <c r="DL51" s="42">
        <f>IF(Tasks[[#This Row],[_Res1Text]]="","",TRIM(MID(SUBSTITUTE(Tasks[[#This Row],[_Resources]],",",REPT(" ",99)),100,99)))</f>
        <v/>
      </c>
      <c r="DM51" s="42">
        <f>IF(Tasks[[#This Row],[_Res2Text]]="","",TRIM(MID(SUBSTITUTE(Tasks[[#This Row],[_Resources]],",",REPT(" ",99)),199,99)))</f>
        <v/>
      </c>
      <c r="DN51" s="42">
        <f>IF(Tasks[[#This Row],[_Res3Text]]="","",TRIM(MID(SUBSTITUTE(Tasks[[#This Row],[_Resources]],",",REPT(" ",99)),298,99)))</f>
        <v/>
      </c>
      <c r="DO51" s="42">
        <f>IF(Tasks[[#This Row],[_Res1Text]]="",0,IFERROR(MATCH(TRIM(LEFT(Tasks[[#This Row],[_Res1Text]],FIND("[",Tasks[[#This Row],[_Res1Text]]&amp;"[")-1)),res_Name,0),IFERROR(MATCH(TRIM(LEFT(Tasks[[#This Row],[_Res1Text]],FIND("[",Tasks[[#This Row],[_Res1Text]]&amp;"[")-1)),res_Initials,0),0)))</f>
        <v/>
      </c>
      <c r="DP51" s="42">
        <f>IF(Tasks[[#This Row],[_Res2Text]]="",0,IFERROR(MATCH(TRIM(LEFT(Tasks[[#This Row],[_Res2Text]],FIND("[",Tasks[[#This Row],[_Res2Text]]&amp;"[")-1)),res_Name,0),IFERROR(MATCH(TRIM(LEFT(Tasks[[#This Row],[_Res2Text]],FIND("[",Tasks[[#This Row],[_Res2Text]]&amp;"[")-1)),res_Initials,0),0)))</f>
        <v/>
      </c>
      <c r="DQ51" s="42">
        <f>IF(Tasks[[#This Row],[_Res3Text]]="",0,IFERROR(MATCH(TRIM(LEFT(Tasks[[#This Row],[_Res3Text]],FIND("[",Tasks[[#This Row],[_Res3Text]]&amp;"[")-1)),res_Name,0),IFERROR(MATCH(TRIM(LEFT(Tasks[[#This Row],[_Res3Text]],FIND("[",Tasks[[#This Row],[_Res3Text]]&amp;"[")-1)),res_Initials,0),0)))</f>
        <v/>
      </c>
      <c r="DR51" s="42">
        <f>IF(Tasks[[#This Row],[_Res4Text]]="",0,IFERROR(MATCH(TRIM(LEFT(Tasks[[#This Row],[_Res4Text]],FIND("[",Tasks[[#This Row],[_Res4Text]]&amp;"[")-1)),res_Name,0),IFERROR(MATCH(TRIM(LEFT(Tasks[[#This Row],[_Res4Text]],FIND("[",Tasks[[#This Row],[_Res4Text]]&amp;"[")-1)),res_Initials,0),0)))</f>
        <v/>
      </c>
      <c r="DS51" s="42">
        <f>IF(Tasks[[#This Row],[_Res1Text]]="","",IF(Tasks[[#This Row],[_Res1Row]]&gt;0,INDEX(res_Name,Tasks[[#This Row],[_Res1Row]]),TRIM(LEFT(Tasks[[#This Row],[_Res1Text]],FIND("[",Tasks[[#This Row],[_Res1Text]]&amp;"[")-1))))</f>
        <v/>
      </c>
      <c r="DT5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1" s="42">
        <f>IF(NOT(Tasks[[#This Row],[_IsLeaf]]=1),0,(Tasks[[#This Row],[_Resource1]]&lt;&gt;"")+(Tasks[[#This Row],[_Res2]]&lt;&gt;"")+(Tasks[[#This Row],[_Res3]]&lt;&gt;"")+(Tasks[[#This Row],[_Res4]]&lt;&gt;""))</f>
        <v/>
      </c>
      <c r="DV51" s="42">
        <f>IF(Tasks[[#This Row],[_Res2Text]]="","",IF(Tasks[[#This Row],[_Res2Row]]&gt;0,INDEX(res_Name,Tasks[[#This Row],[_Res2Row]]),TRIM(LEFT(Tasks[[#This Row],[_Res2Text]],FIND("[",Tasks[[#This Row],[_Res2Text]]&amp;"[")-1))))</f>
        <v/>
      </c>
      <c r="DW5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1" s="42">
        <f>IF(OR(NOT(Tasks[[#This Row],[_IsLeaf]]=1),Tasks[[#This Row],[_Res2Row]]=0),0,N(Tasks[[#This Row],[_Days]])*HoursPerDay*IF(Tasks[[#This Row],[_Res2Units]]="",DefaultUnits,Tasks[[#This Row],[_Res2Units]]))</f>
        <v/>
      </c>
      <c r="DY51" s="42">
        <f>IF(AND(AND(Tasks[[#This Row],[_IsLeaf]]=1,Tasks[[#This Row],[_LeafTotalWork]]&gt;0),Tasks[[#This Row],[_Res2Work]]&gt;0),Tasks[[#This Row],[_Res2Work]]/(Tasks[[#This Row],[_FinishWorkday]]-Tasks[[#This Row],[_StartWorkday]]+1),0)</f>
        <v/>
      </c>
      <c r="DZ51" s="42">
        <f>Tasks[[#This Row],[_Res2WorkPerWD]]*MAX(0,Tasks[[#This Row],[_StartWorkday]]-1)</f>
        <v/>
      </c>
      <c r="EA51" s="42">
        <f>Tasks[[#This Row],[_Res2Work]]*Tasks[[#This Row],[_LeafProgress]]</f>
        <v/>
      </c>
      <c r="EB51" s="42">
        <f>IF(Tasks[[#This Row],[_Res3Text]]="","",IF(Tasks[[#This Row],[_Res3Row]]&gt;0,INDEX(res_Name,Tasks[[#This Row],[_Res3Row]]),TRIM(LEFT(Tasks[[#This Row],[_Res3Text]],FIND("[",Tasks[[#This Row],[_Res3Text]]&amp;"[")-1))))</f>
        <v/>
      </c>
      <c r="EC5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1" s="42">
        <f>IF(OR(NOT(Tasks[[#This Row],[_IsLeaf]]=1),Tasks[[#This Row],[_Res3Row]]=0),0,N(Tasks[[#This Row],[_Days]])*HoursPerDay*IF(Tasks[[#This Row],[_Res3Units]]="",DefaultUnits,Tasks[[#This Row],[_Res3Units]]))</f>
        <v/>
      </c>
      <c r="EE51" s="42">
        <f>IF(AND(AND(Tasks[[#This Row],[_IsLeaf]]=1,Tasks[[#This Row],[_LeafTotalWork]]&gt;0),Tasks[[#This Row],[_Res3Work]]&gt;0),Tasks[[#This Row],[_Res3Work]]/(Tasks[[#This Row],[_FinishWorkday]]-Tasks[[#This Row],[_StartWorkday]]+1),0)</f>
        <v/>
      </c>
      <c r="EF51" s="42">
        <f>Tasks[[#This Row],[_Res3WorkPerWD]]*MAX(0,Tasks[[#This Row],[_StartWorkday]]-1)</f>
        <v/>
      </c>
      <c r="EG51" s="42">
        <f>Tasks[[#This Row],[_Res3Work]]*Tasks[[#This Row],[_LeafProgress]]</f>
        <v/>
      </c>
      <c r="EH51" s="42">
        <f>IF(Tasks[[#This Row],[_Res4Text]]="","",IF(Tasks[[#This Row],[_Res4Row]]&gt;0,INDEX(res_Name,Tasks[[#This Row],[_Res4Row]]),TRIM(LEFT(Tasks[[#This Row],[_Res4Text]],FIND("[",Tasks[[#This Row],[_Res4Text]]&amp;"[")-1))))</f>
        <v/>
      </c>
      <c r="EI5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1" s="42">
        <f>IF(OR(NOT(Tasks[[#This Row],[_IsLeaf]]=1),Tasks[[#This Row],[_Res4Row]]=0),0,N(Tasks[[#This Row],[_Days]])*HoursPerDay*IF(Tasks[[#This Row],[_Res4Units]]="",DefaultUnits,Tasks[[#This Row],[_Res4Units]]))</f>
        <v/>
      </c>
      <c r="EK51" s="42">
        <f>IF(AND(AND(Tasks[[#This Row],[_IsLeaf]]=1,Tasks[[#This Row],[_LeafTotalWork]]&gt;0),Tasks[[#This Row],[_Res4Work]]&gt;0),Tasks[[#This Row],[_Res4Work]]/(Tasks[[#This Row],[_FinishWorkday]]-Tasks[[#This Row],[_StartWorkday]]+1),0)</f>
        <v/>
      </c>
      <c r="EL51" s="42">
        <f>Tasks[[#This Row],[_Res4WorkPerWD]]*MAX(0,Tasks[[#This Row],[_StartWorkday]]-1)</f>
        <v/>
      </c>
      <c r="EM51" s="42">
        <f>Tasks[[#This Row],[_Res4Work]]*Tasks[[#This Row],[_LeafProgress]]</f>
        <v/>
      </c>
      <c r="EN51" s="42">
        <f>IF(ISNUMBER(Tasks[[#This Row],[% Complete]]),Tasks[[#This Row],[% Complete]],IF(Tasks[[#This Row],[Stage]]="",0,IFERROR(INDEX(stg_Pct,MATCH(Tasks[[#This Row],[Stage]],stg_Name,0)),0)))</f>
        <v/>
      </c>
      <c r="EO51" s="42">
        <f>IF(NOT(Tasks[[#This Row],[_IsLeaf]]=1),0,IF(N(Tasks[[#This Row],[Actual Finish]])&gt;0,1,MIN(1,Tasks[[#This Row],[_Pct]])))</f>
        <v/>
      </c>
      <c r="EP51" s="42">
        <f>IF(OR(NOT(Tasks[[#This Row],[_IsLeaf]]=1),Tasks[[#This Row],[_Res1Row]]=0),0,N(Tasks[[#This Row],[_Days]])*HoursPerDay*IF(Tasks[[#This Row],[_Units1]]="",DefaultUnits,Tasks[[#This Row],[_Units1]]))</f>
        <v/>
      </c>
      <c r="EQ51" s="42">
        <f>Tasks[[#This Row],[_LeafWork]]+Tasks[[#This Row],[_Res2Work]]+Tasks[[#This Row],[_Res3Work]]+Tasks[[#This Row],[_Res4Work]]</f>
        <v/>
      </c>
      <c r="ER5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1" s="42">
        <f>IF(NOT(Tasks[[#This Row],[_IsLeaf]]=1),0,MAX(_xlfn.MAXIFS(Tasks[_Row],Tasks[_Pred1UID],Tasks[[#This Row],[UID]]),_xlfn.MAXIFS(Tasks[_Row],Tasks[_Pred2UID],Tasks[[#This Row],[UID]]),_xlfn.MAXIFS(Tasks[_Row],Tasks[_Pred3UID],Tasks[[#This Row],[UID]]),_xlfn.MAXIFS(Tasks[_Row],Tasks[_Pred4UID],Tasks[[#This Row],[UID]])))</f>
        <v/>
      </c>
      <c r="FA5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1" s="88">
        <f>IF(NOT(Tasks[[#This Row],[_IsLeaf]]=1),"",IF(N(Tasks[[#This Row],[_Days]])&lt;=0,Tasks[[#This Row],[_LeafLateFinish]],WORKDAY.INTL(Tasks[[#This Row],[_LeafLateFinish]],-(Tasks[[#This Row],[_Days]]-1),WorkWeek,Holidays)))</f>
        <v/>
      </c>
      <c r="FD5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1" s="42">
        <f>AND(Tasks[[#This Row],[_IsLeaf]]=1,Tasks[[#This Row],[_LeafProgress]]&lt;1,N(Tasks[[#This Row],[_LeafTotalSlack]])&lt;=CriticalSlackDays)</f>
        <v/>
      </c>
      <c r="FF51" s="42">
        <f>IF(AND(Tasks[[#This Row],[_IsLeaf]]=1,Tasks[[#This Row],[_ConstraintCode]]=1,Tasks[[#This Row],[Mode]]&lt;&gt;"Manual",N(Tasks[[#This Row],[Actual Start]])=0),MAX(0,N(Tasks[[#This Row],[Free Slack]])),0)</f>
        <v/>
      </c>
      <c r="FG51" s="88">
        <f>IF(NOT(Tasks[[#This Row],[_IsLeaf]]=1),"",IF(Tasks[[#This Row],[_AlapShift]]=0,Tasks[[#This Row],[_LeafCalcStart]],WORKDAY.INTL(Tasks[[#This Row],[_LeafCalcStart]],Tasks[[#This Row],[_AlapShift]],WorkWeek,Holidays)))</f>
        <v/>
      </c>
      <c r="FH51" s="88">
        <f>IF(NOT(Tasks[[#This Row],[_IsLeaf]]=1),"",IF(Tasks[[#This Row],[_AlapShift]]=0,Tasks[[#This Row],[_LeafCalcFinish]],WORKDAY.INTL(Tasks[[#This Row],[_LeafCalcFinish]],Tasks[[#This Row],[_AlapShift]],WorkWeek,Holidays)))</f>
        <v/>
      </c>
      <c r="FI51" s="88">
        <f>IF(NOT(Tasks[[#This Row],[_IsLeaf]]=1),"",IF(Tasks[[#This Row],[_AlapShift]]=0,Tasks[[#This Row],[_LeafFcstStart]],WORKDAY.INTL(Tasks[[#This Row],[_LeafFcstStart]],Tasks[[#This Row],[_AlapShift]],WorkWeek,Holidays)))</f>
        <v/>
      </c>
      <c r="FJ51" s="88">
        <f>IF(NOT(Tasks[[#This Row],[_IsLeaf]]=1),"",IF(Tasks[[#This Row],[_AlapShift]]=0,Tasks[[#This Row],[_LeafFcstFinish]],WORKDAY.INTL(Tasks[[#This Row],[_LeafFcstFinish]],Tasks[[#This Row],[_AlapShift]],WorkWeek,Holidays)))</f>
        <v/>
      </c>
      <c r="FK51" s="88">
        <f>IF(Tasks[[#This Row],[Task Name]]="","",IF(Tasks[[#This Row],[_IsSummary]],MIN(INDEX(Tasks[_ShownCalcStart],Tasks[[#This Row],[_Row]]+1):INDEX(Tasks[_ShownCalcStart],Tasks[[#This Row],[_Row]]+Tasks[[#This Row],[_Descendants]])),Tasks[[#This Row],[_ShownCalcStart]]))</f>
        <v/>
      </c>
      <c r="FL51" s="88">
        <f>IF(Tasks[[#This Row],[Task Name]]="","",IF(Tasks[[#This Row],[_IsSummary]],MAX(INDEX(Tasks[_ShownCalcFinish],Tasks[[#This Row],[_Row]]+1):INDEX(Tasks[_ShownCalcFinish],Tasks[[#This Row],[_Row]]+Tasks[[#This Row],[_Descendants]])),Tasks[[#This Row],[_ShownCalcFinish]]))</f>
        <v/>
      </c>
      <c r="FM5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1" s="42">
        <f>IF(AND(Tasks[[#This Row],[_IsLeaf]]=1,Tasks[[#This Row],[_LeafTotalWork]]&gt;0),NETWORKDAYS.INTL(ProjectStart,Tasks[[#This Row],[_ShownFcstStart]],WorkWeek,Holidays),0)</f>
        <v/>
      </c>
      <c r="FZ51" s="42">
        <f>IF(AND(Tasks[[#This Row],[_IsLeaf]]=1,Tasks[[#This Row],[_LeafTotalWork]]&gt;0),MAX(Tasks[[#This Row],[_StartWorkday]],NETWORKDAYS.INTL(ProjectStart,Tasks[[#This Row],[_ShownFcstFinish]],WorkWeek,Holidays)),0)</f>
        <v/>
      </c>
      <c r="GA51" s="42">
        <f>IF(AND(Tasks[[#This Row],[_IsLeaf]]=1,Tasks[[#This Row],[_LeafTotalWork]]&gt;0),Tasks[[#This Row],[_LeafWork]]/(Tasks[[#This Row],[_FinishWorkday]]-Tasks[[#This Row],[_StartWorkday]]+1),0)</f>
        <v/>
      </c>
      <c r="GB51" s="42">
        <f>Tasks[[#This Row],[_WorkPerWorkday]]*(Tasks[[#This Row],[_StartWorkday]]-1)</f>
        <v/>
      </c>
      <c r="GC51" s="42">
        <f>IF(Tasks[[#This Row],[_IsLeaf]]=1,MAX(N(Tasks[[#This Row],[_Days]]),0.1),0)</f>
        <v/>
      </c>
      <c r="GD51" s="42">
        <f>Tasks[[#This Row],[_WeightDur]]*Tasks[[#This Row],[_LeafProgress]]</f>
        <v/>
      </c>
      <c r="GE51" s="42">
        <f>Tasks[[#This Row],[_WeightDur]]*Tasks[[#This Row],[_PlannedPct]]</f>
        <v/>
      </c>
      <c r="GF5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1" s="42">
        <f>IF(AND(Tasks[[#This Row],[_IsLeaf]]=1,N(Tasks[[#This Row],[_Days]])=0,Tasks[[#This Row],[_LeafProgress]]&lt;1),Tasks[[#This Row],[_ShownFcstFinish]]+Tasks[[#This Row],[_Row]]/100000,"")</f>
        <v/>
      </c>
      <c r="GH5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1" s="42">
        <f>IF(Tasks[[#This Row],[Task Name]]="","",LEFT(Tasks[[#This Row],[WBS]],FIND(".",Tasks[[#This Row],[WBS]]&amp;".")-1))</f>
        <v/>
      </c>
      <c r="GJ51" s="42">
        <f>IF(AND(Tasks[[#This Row],[Task Name]]&lt;&gt;"",Tasks[[#This Row],[_Level]]=1),Tasks[[#This Row],[_Row]],"")</f>
        <v/>
      </c>
      <c r="GK51" s="42">
        <f>IF(AND(Tasks[[#This Row],[_IsLeaf]]=1,N(Tasks[[#This Row],[_Days]])=0),Tasks[[#This Row],[Planned Finish]]+Tasks[[#This Row],[_Row]]/100000,"")</f>
        <v/>
      </c>
      <c r="GL51" s="42">
        <f>IF(AND(Tasks[[#This Row],[_IsLeaf]]=1,Tasks[[#This Row],[_LeafProgress]]&lt;1,OR(N(Tasks[[#This Row],[Finish Var]])&gt;0,Tasks[[#This Row],[Status]]="Late Start")),MAX(0,Tasks[[#This Row],[Finish Var]])+1-Tasks[[#This Row],[_Row]]/1000000,"")</f>
        <v/>
      </c>
      <c r="GM51" s="42">
        <f>IF(AND(Tasks[[#This Row],[_IsLeaf]]=1,N(Tasks[[#This Row],[Actual Start]])=0,Tasks[[#This Row],[_ShownFcstStart]]&gt;=StatusDate,Tasks[[#This Row],[_ShownFcstStart]]&lt;=LookaheadEnd),Tasks[[#This Row],[_ShownFcstStart]]+Tasks[[#This Row],[_Row]]/100000,"")</f>
        <v/>
      </c>
      <c r="GN51" s="42">
        <f>IF(AND(Tasks[[#This Row],[_IsLeaf]]=1,Tasks[[#This Row],[_LeafProgress]]&lt;1,Tasks[[#This Row],[_ShownFcstFinish]]&gt;=StatusDate,Tasks[[#This Row],[_ShownFcstFinish]]&lt;=LookaheadEnd),Tasks[[#This Row],[_ShownFcstFinish]]+Tasks[[#This Row],[_Row]]/100000,"")</f>
        <v/>
      </c>
      <c r="GO51" s="42">
        <f>IF(Tasks[[#This Row],[_LeafCritical]],Tasks[[#This Row],[_ShownFcstStart]]+Tasks[[#This Row],[_Row]]/100000,"")</f>
        <v/>
      </c>
      <c r="GP51" s="42">
        <f>Tasks[[#This Row],[_LeafWork]]*Tasks[[#This Row],[_LeafProgress]]</f>
        <v/>
      </c>
      <c r="GQ51" s="88">
        <f>IF(AND(Tasks[[#This Row],[_IsLeaf]]=1,Tasks[[#This Row],[_LeafProgress]]&gt;=1),IF(N(Tasks[[#This Row],[Actual Finish]])&gt;0,Tasks[[#This Row],[Actual Finish]],Tasks[[#This Row],[_ShownFcstFinish]]),"")</f>
        <v/>
      </c>
      <c r="GR51" s="42">
        <f>IF(Tasks[[#This Row],[_IsLeaf]]=1,N(Tasks[[#This Row],[Story Points]]),0)</f>
        <v/>
      </c>
      <c r="GS51" s="42">
        <f>""</f>
        <v/>
      </c>
      <c r="GT51" s="42">
        <f>IF(Tasks[[#This Row],[Task Name]]="",FALSE(),AND(Tasks[[#This Row],[_IsLeaf]]=1,N(Tasks[[#This Row],[_Days]])=0))</f>
        <v/>
      </c>
      <c r="GU51" s="88">
        <f>IF(Tasks[[#This Row],[Task Name]]="",0,IF(AND(Tasks[[#This Row],[_IsLeaf]]=1,NOT(Tasks[[#This Row],[_IsMilestone]]),N(Tasks[[#This Row],[Progress]])&gt;0),Tasks[[#This Row],[Start]],0))</f>
        <v/>
      </c>
      <c r="GV51" s="88">
        <f>IF(Tasks[[#This Row],[_DoneFrom]]=0,0,IF(Tasks[[#This Row],[Progress]]&gt;=1,Tasks[[#This Row],[Finish]],MAX(Tasks[[#This Row],[_DoneFrom]],Tasks[[#This Row],[Start]]+ROUND((Tasks[[#This Row],[Finish]]-Tasks[[#This Row],[Start]]+1)*Tasks[[#This Row],[Progress]],0)-1)))</f>
        <v/>
      </c>
      <c r="GW51" s="88">
        <f>IF(Tasks[[#This Row],[Task Name]]="",0,IF(OR(NOT(Tasks[[#This Row],[_IsLeaf]]=1),Tasks[[#This Row],[_IsMilestone]],N(Tasks[[#This Row],[Progress]])&gt;=1),0,IF(Tasks[[#This Row],[_DoneTo]]&gt;0,Tasks[[#This Row],[_DoneTo]]+1,Tasks[[#This Row],[Start]])))</f>
        <v/>
      </c>
      <c r="GX51" s="88">
        <f>IF(Tasks[[#This Row],[_RemFrom]]=0,0,Tasks[[#This Row],[Finish]])</f>
        <v/>
      </c>
      <c r="GY51" s="42">
        <f>IF(Tasks[[#This Row],[Task Name]]="",FALSE(),OR(NOT(BaselineSet),N(Tasks[[#This Row],[Baseline Start]])&gt;0))</f>
        <v/>
      </c>
      <c r="GZ51" s="42">
        <f>IF(AND(Sandbox="Yes",L_PARSE_DURATION(Tasks[[#This Row],[Sandbox Duration]])&lt;&gt;""),L_PARSE_DURATION(Tasks[[#This Row],[Sandbox Duration]]),L_PARSE_DURATION(Tasks[[#This Row],[Duration]]))</f>
        <v/>
      </c>
      <c r="HA5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1" s="42">
        <f>IF(Tasks[[#This Row],[_IsLeaf]]=1,Tasks[[#This Row],[_Row]],"")</f>
        <v/>
      </c>
      <c r="HD51" s="42">
        <f>IFERROR(INDEX(Tasks[UID],SMALL(Tasks[_PickKey],Tasks[[#This Row],[_Row]]))&amp;" "&amp;INDEX(Tasks[Task Name],SMALL(Tasks[_PickKey],Tasks[[#This Row],[_Row]])),"")</f>
        <v/>
      </c>
      <c r="HE51" s="42">
        <f>IF(Tasks[[#This Row],[Task Name]]="","",IF(Tasks[[#This Row],[_IsSummary]],NETWORKDAYS.INTL(Tasks[[#This Row],[Start]],Tasks[[#This Row],[Finish]],WorkWeek,Holidays),N(Tasks[[#This Row],[_Days]])))</f>
        <v/>
      </c>
      <c r="HF51" s="42">
        <f>IF(Tasks[[#This Row],[Expected]]="",0,((Tasks[[#This Row],[Pessimistic]]-Tasks[[#This Row],[Optimistic]])/6)^2)</f>
        <v/>
      </c>
      <c r="HG51" s="42">
        <f>IF(Tasks[[#This Row],[Expected]]="",0,Tasks[[#This Row],[Expected]]-N(Tasks[[#This Row],[_Days]]))</f>
        <v/>
      </c>
    </row>
    <row r="52">
      <c r="A52" s="21">
        <f>IF(Tasks[[#This Row],[Task Name]]="","",COUNTA(Tasks[[#Headers],[Task Name]]:Tasks[[#This Row],[Task Name]])-1)</f>
        <v/>
      </c>
      <c r="B52" s="22" t="n">
        <v>60</v>
      </c>
      <c r="C52" s="22" t="n"/>
      <c r="D52" s="23" t="n"/>
      <c r="E52" s="22" t="n"/>
      <c r="F52" s="23" t="n"/>
      <c r="G52" s="22" t="n"/>
      <c r="H52" s="22" t="n"/>
      <c r="I52" s="23" t="n"/>
      <c r="J52" s="22" t="n"/>
      <c r="K52" s="22" t="n"/>
      <c r="L52" s="23" t="n"/>
      <c r="M52" s="22" t="n"/>
      <c r="N52" s="22" t="n"/>
      <c r="O52" s="23" t="n"/>
      <c r="P52" s="22" t="n"/>
      <c r="Q52" s="22" t="n"/>
      <c r="R52" s="23" t="n"/>
      <c r="S52" s="23" t="n"/>
      <c r="T52" s="82" t="n"/>
      <c r="U52" s="23" t="n"/>
      <c r="V52" s="82" t="n"/>
      <c r="W52" s="23" t="n"/>
      <c r="X52" s="82" t="n"/>
      <c r="Y52" s="23" t="n"/>
      <c r="Z52" s="82" t="n"/>
      <c r="AA52" s="23" t="n"/>
      <c r="AB52" s="23" t="n"/>
      <c r="AC52" s="7" t="n"/>
      <c r="AD52" s="7" t="n"/>
      <c r="AE52" s="61">
        <f>IF(Tasks[[#This Row],[Task Name]]="","",IF(Tasks[[#This Row],[_IsSummary]],MIN(INDEX(Tasks[_ShownFcstStart],Tasks[[#This Row],[_Row]]+1):INDEX(Tasks[_ShownFcstStart],Tasks[[#This Row],[_Row]]+Tasks[[#This Row],[_Descendants]])),Tasks[[#This Row],[_ShownFcstStart]]))</f>
        <v/>
      </c>
      <c r="AF52" s="61">
        <f>IF(Tasks[[#This Row],[Task Name]]="","",IF(Tasks[[#This Row],[_IsSummary]],MAX(INDEX(Tasks[_ShownFcstFinish],Tasks[[#This Row],[_Row]]+1):INDEX(Tasks[_ShownFcstFinish],Tasks[[#This Row],[_Row]]+Tasks[[#This Row],[_Descendants]])),Tasks[[#This Row],[_ShownFcstFinish]]))</f>
        <v/>
      </c>
      <c r="AG52" s="21">
        <f>""</f>
        <v/>
      </c>
      <c r="AH52" s="23" t="n"/>
      <c r="AI5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2" s="7" t="n"/>
      <c r="AK52" s="22" t="n"/>
      <c r="AL52" s="23" t="n"/>
      <c r="AM52" s="7" t="n"/>
      <c r="AN52" s="21">
        <f>IF(Tasks[[#This Row],[Task Name]]="","",IF(Tasks[[#This Row],[Finish]]&gt;=Tasks[[#This Row],[Planned Finish]],NETWORKDAYS.INTL(Tasks[[#This Row],[Planned Finish]],Tasks[[#This Row],[Finish]],WorkWeek,Holidays)-1,1-NETWORKDAYS.INTL(Tasks[[#This Row],[Finish]],Tasks[[#This Row],[Planned Finish]],WorkWeek,Holidays)))</f>
        <v/>
      </c>
      <c r="AO52" s="21">
        <f>IF(Tasks[[#This Row],[Task Name]]="","",IF(Tasks[[#This Row],[Progress]]&gt;=1,"Complete",IF(OR(N(Tasks[[#This Row],[Actual Start]])&gt;0,Tasks[[#This Row],[Progress]]&gt;0),IF(Tasks[[#This Row],[Finish Var]]&gt;0,"Behind","In Progress"),IF(Tasks[[#This Row],[Planned Start]]&lt;StatusDate,"Late Start","Not Started"))))</f>
        <v/>
      </c>
      <c r="AP52" s="21">
        <f>IF(Tasks[[#This Row],[Task Name]]="","",IF(IF(Tasks[[#This Row],[_IsSummary]],COUNTIF(INDEX(Tasks[_LeafCritical],Tasks[[#This Row],[_Row]]+1):INDEX(Tasks[_LeafCritical],Tasks[[#This Row],[_Row]]+Tasks[[#This Row],[_Descendants]]),TRUE())&gt;0,Tasks[[#This Row],[_LeafCritical]]),"Yes",""))</f>
        <v/>
      </c>
      <c r="AQ52" s="61">
        <f>IF(Tasks[[#This Row],[Task Name]]="","",IF(N(Tasks[[#This Row],[Baseline Start]])&gt;0,Tasks[[#This Row],[Baseline Start]],Tasks[[#This Row],[_CalcStart]]))</f>
        <v/>
      </c>
      <c r="AR52" s="61">
        <f>IF(Tasks[[#This Row],[Task Name]]="","",IF(N(Tasks[[#This Row],[Baseline Finish]])&gt;0,Tasks[[#This Row],[Baseline Finish]],Tasks[[#This Row],[_CalcFinish]]))</f>
        <v/>
      </c>
      <c r="AS52" s="21">
        <f>IF(Tasks[[#This Row],[Task Name]]="","",IF(Tasks[[#This Row],[Start]]&gt;=Tasks[[#This Row],[Planned Start]],NETWORKDAYS.INTL(Tasks[[#This Row],[Planned Start]],Tasks[[#This Row],[Start]],WorkWeek,Holidays)-1,1-NETWORKDAYS.INTL(Tasks[[#This Row],[Start]],Tasks[[#This Row],[Planned Start]],WorkWeek,Holidays)))</f>
        <v/>
      </c>
      <c r="AT52" s="61">
        <f>IF(Tasks[[#This Row],[Task Name]]="","",IF(Tasks[[#This Row],[_IsSummary]],MIN(INDEX(Tasks[_LeafLateStart],Tasks[[#This Row],[_Row]]+1):INDEX(Tasks[_LeafLateStart],Tasks[[#This Row],[_Row]]+Tasks[[#This Row],[_Descendants]])),Tasks[[#This Row],[_LeafLateStart]]))</f>
        <v/>
      </c>
      <c r="AU52" s="61">
        <f>IF(Tasks[[#This Row],[Task Name]]="","",IF(Tasks[[#This Row],[_IsSummary]],MAX(INDEX(Tasks[_LeafLateFinish],Tasks[[#This Row],[_Row]]+1):INDEX(Tasks[_LeafLateFinish],Tasks[[#This Row],[_Row]]+Tasks[[#This Row],[_Descendants]])),Tasks[[#This Row],[_LeafLateFinish]]))</f>
        <v/>
      </c>
      <c r="AV52" s="21">
        <f>IF(Tasks[[#This Row],[Task Name]]="","",IF(Tasks[[#This Row],[_IsSummary]],MIN(INDEX(Tasks[_LeafTotalSlack],Tasks[[#This Row],[_Row]]+1):INDEX(Tasks[_LeafTotalSlack],Tasks[[#This Row],[_Row]]+Tasks[[#This Row],[_Descendants]])),Tasks[[#This Row],[_LeafTotalSlack]]))</f>
        <v/>
      </c>
      <c r="AW5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3" t="n"/>
      <c r="BA5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f>IF(Tasks[[#This Row],[Task Name]]="","",IF(Tasks[[#This Row],[_Level]]&lt;=OutlineShowLevel,"Yes","No"))</f>
        <v/>
      </c>
      <c r="BE52" s="84">
        <f>IF(Tasks[[#This Row],[Task Name]]="","",IF(Tasks[[#This Row],[_IsSummary]],SUM(INDEX(Tasks[_LeafTotalWork],Tasks[[#This Row],[_Row]]+1):INDEX(Tasks[_LeafTotalWork],Tasks[[#This Row],[_Row]]+Tasks[[#This Row],[_Descendants]])),Tasks[[#This Row],[_LeafTotalWork]]))</f>
        <v/>
      </c>
      <c r="BF52" s="23" t="n"/>
      <c r="BG5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f>""</f>
        <v/>
      </c>
      <c r="BI52" s="85" t="n"/>
      <c r="BJ52" s="22" t="n"/>
      <c r="BK52" s="21">
        <f>IF(OR(Tasks[[#This Row],[Task Name]]="",Tasks[[#This Row],[Baseline Duration]]=""),"",Tasks[[#This Row],[_SpanDays]]-N(Tasks[[#This Row],[Baseline Duration]]))</f>
        <v/>
      </c>
      <c r="BL52" s="84">
        <f>IF(OR(Tasks[[#This Row],[Task Name]]="",Tasks[[#This Row],[Baseline Work]]=""),"",Tasks[[#This Row],[Work]]-N(Tasks[[#This Row],[Baseline Work]]))</f>
        <v/>
      </c>
      <c r="BM52" s="61">
        <f>IF(Tasks[[#This Row],[Task Name]]="","",IF(OR(TakeBaseline="Yes",N(Tasks[[#This Row],[Baseline Start]])=0),Tasks[[#This Row],[Start]],Tasks[[#This Row],[Baseline Start]]))</f>
        <v/>
      </c>
      <c r="BN52" s="61">
        <f>IF(Tasks[[#This Row],[Task Name]]="","",IF(OR(TakeBaseline="Yes",N(Tasks[[#This Row],[Baseline Finish]])=0),Tasks[[#This Row],[Finish]],Tasks[[#This Row],[Baseline Finish]]))</f>
        <v/>
      </c>
      <c r="BO52" s="21">
        <f>IF(Tasks[[#This Row],[Task Name]]="","",IF(OR(TakeBaseline="Yes",N(Tasks[[#This Row],[Baseline Duration]])=0),Tasks[[#This Row],[_SpanDays]],Tasks[[#This Row],[Baseline Duration]]))</f>
        <v/>
      </c>
      <c r="BP52" s="84">
        <f>IF(Tasks[[#This Row],[Task Name]]="","",IF(OR(TakeBaseline="Yes",N(Tasks[[#This Row],[Baseline Work]])=0),Tasks[[#This Row],[Work]],Tasks[[#This Row],[Baseline Work]]))</f>
        <v/>
      </c>
      <c r="BQ52" s="7" t="n"/>
      <c r="BR52" s="7" t="n"/>
      <c r="BS52" s="22" t="n"/>
      <c r="BT52" s="86" t="n"/>
      <c r="BU52" s="23" t="n"/>
      <c r="BV52" s="23" t="n"/>
      <c r="BW52" s="23" t="n"/>
      <c r="BX52" s="87">
        <f>IF(AND(Tasks[[#This Row],[_IsLeaf]]=1,ISNUMBER(Tasks[[#This Row],[Optimistic]]),ISNUMBER(Tasks[[#This Row],[Pessimistic]])),ROUND((Tasks[[#This Row],[Optimistic]]+4*N(Tasks[[#This Row],[_Days]])+Tasks[[#This Row],[Pessimistic]])/6,1),"")</f>
        <v/>
      </c>
      <c r="BY52" s="85" t="n"/>
      <c r="BZ52" s="85" t="n"/>
      <c r="CA52" s="22" t="n"/>
      <c r="CB52" s="42">
        <f>IF(Tasks[[#This Row],[Task Name]]="","",MAX(1,N(Tasks[[#This Row],[Level]])))</f>
        <v/>
      </c>
      <c r="CC52" s="42">
        <f>ROW()-ROW(Tasks[[#Headers],[ID]])</f>
        <v/>
      </c>
      <c r="CD52" s="42">
        <f>IF(OR(Tasks[[#This Row],[Task Name]]="",Tasks[[#This Row],[_Level]]&lt;=1),0,IFERROR(LOOKUP(2,1/(Tasks[[#Headers],[_Level]]:Tasks[[#This Row],[_Level]]=Tasks[[#This Row],[_Level]]-1),ROW(Tasks[[#Headers],[_Level]]:Tasks[[#This Row],[_Level]])),0))</f>
        <v/>
      </c>
      <c r="CE52" s="42">
        <f>IFERROR(N(INDEX(Tasks[_Level],Tasks[[#This Row],[_Row]]+1)),0)</f>
        <v/>
      </c>
      <c r="CF52" s="42">
        <f>AND(Tasks[[#This Row],[Task Name]]&lt;&gt;"",Tasks[[#This Row],[_NextLevel]]&gt;Tasks[[#This Row],[_Level]])</f>
        <v/>
      </c>
      <c r="CG52" s="42">
        <f>IF(Tasks[[#This Row],[_IsSummary]],COUNTIF(Tasks[WBS],Tasks[[#This Row],[WBS]]&amp;".*"),0)</f>
        <v/>
      </c>
      <c r="CH52" s="42">
        <f>IF(AND(Tasks[[#This Row],[Task Name]]&lt;&gt;"",NOT(Tasks[[#This Row],[_IsSummary]])),1,0)</f>
        <v/>
      </c>
      <c r="CI52" s="42">
        <f>IF(N(Tasks[[#This Row],[_Pred1UID]])=0,0,IFERROR(MATCH(Tasks[[#This Row],[_Pred1UID]],Tasks[UID],0),-1))</f>
        <v/>
      </c>
      <c r="CJ52" s="42">
        <f>IF(N(Tasks[[#This Row],[_Pred2UID]])=0,0,IFERROR(MATCH(Tasks[[#This Row],[_Pred2UID]],Tasks[UID],0),-1))</f>
        <v/>
      </c>
      <c r="CK52" s="42">
        <f>IF(N(Tasks[[#This Row],[_Pred3UID]])=0,0,IFERROR(MATCH(Tasks[[#This Row],[_Pred3UID]],Tasks[UID],0),-1))</f>
        <v/>
      </c>
      <c r="CL52" s="42">
        <f>IF(N(Tasks[[#This Row],[_Pred4UID]])=0,0,IFERROR(MATCH(Tasks[[#This Row],[_Pred4UID]],Tasks[UID],0),-1))</f>
        <v/>
      </c>
      <c r="CM5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2" s="88">
        <f>IF(N(Tasks[[#This Row],[Constraint Date]])=0,0,IF(AND(OR(Tasks[[#This Row],[_ConstraintCode]]=3,Tasks[[#This Row],[_ConstraintCode]]=6,Tasks[[#This Row],[_ConstraintCode]]=7),N(Tasks[[#This Row],[_Days]])&gt;1),WORKDAY.INTL(N(Tasks[[#This Row],[Constraint Date]]),-(N(Tasks[[#This Row],[_Days]])-1),WorkWeek,Holidays),N(Tasks[[#This Row],[Constraint Date]])))</f>
        <v/>
      </c>
      <c r="CO52" s="88">
        <f>IF(OR(Tasks[[#This Row],[_ConstraintCode]]=2,Tasks[[#This Row],[_ConstraintCode]]=3,Tasks[[#This Row],[_ConstraintCode]]=4,Tasks[[#This Row],[_ConstraintCode]]=6),Tasks[[#This Row],[_ConstraintStart]],0)</f>
        <v/>
      </c>
      <c r="CP52" s="88">
        <f>IF(OR(Tasks[[#This Row],[_ConstraintCode]]=2,Tasks[[#This Row],[_ConstraintCode]]=3,Tasks[[#This Row],[_ConstraintCode]]=5,Tasks[[#This Row],[_ConstraintCode]]=7),Tasks[[#This Row],[_ConstraintStart]],2958465)</f>
        <v/>
      </c>
      <c r="CQ5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2" s="88">
        <f>IF(NOT(Tasks[[#This Row],[_IsLeaf]]=1),"",IF(N(Tasks[[#This Row],[_Days]])&lt;=0,Tasks[[#This Row],[_LeafCalcStart]],WORKDAY.INTL(Tasks[[#This Row],[_LeafCalcStart]],Tasks[[#This Row],[_Days]]-1,WorkWeek,Holidays)))</f>
        <v/>
      </c>
      <c r="CS5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2" s="42">
        <f>IF(Tasks[[#This Row],[_Predecessors]]="","",TRIM(MID(SUBSTITUTE(SUBSTITUTE(SUBSTITUTE(UPPER(Tasks[[#This Row],[_Predecessors]]),";",",")," ",""),",",REPT(" ",99)),1,99)))</f>
        <v/>
      </c>
      <c r="CV52" s="42">
        <f>IF(Tasks[[#This Row],[_Pred1Text]]="","",IFERROR(VALUE(LEFT(Tasks[[#This Row],[_Pred1Text]],MIN(FIND("F",Tasks[[#This Row],[_Pred1Text]]&amp;"F"),FIND("S",Tasks[[#This Row],[_Pred1Text]]&amp;"S"),FIND("+",Tasks[[#This Row],[_Pred1Text]]&amp;"+"),FIND("-",Tasks[[#This Row],[_Pred1Text]]&amp;"-"))-1)),""))</f>
        <v/>
      </c>
      <c r="CW5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2" s="42">
        <f>IF(Tasks[[#This Row],[_Pred1Text]]="","",TRIM(MID(SUBSTITUTE(SUBSTITUTE(SUBSTITUTE(UPPER(Tasks[[#This Row],[_Predecessors]]),";",",")," ",""),",",REPT(" ",99)),100,99)))</f>
        <v/>
      </c>
      <c r="CZ52" s="42">
        <f>IF(Tasks[[#This Row],[_Pred2Text]]="","",IFERROR(VALUE(LEFT(Tasks[[#This Row],[_Pred2Text]],MIN(FIND("F",Tasks[[#This Row],[_Pred2Text]]&amp;"F"),FIND("S",Tasks[[#This Row],[_Pred2Text]]&amp;"S"),FIND("+",Tasks[[#This Row],[_Pred2Text]]&amp;"+"),FIND("-",Tasks[[#This Row],[_Pred2Text]]&amp;"-"))-1)),""))</f>
        <v/>
      </c>
      <c r="DA5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2" s="42">
        <f>IF(Tasks[[#This Row],[_Pred2Text]]="","",TRIM(MID(SUBSTITUTE(SUBSTITUTE(SUBSTITUTE(UPPER(Tasks[[#This Row],[_Predecessors]]),";",",")," ",""),",",REPT(" ",99)),199,99)))</f>
        <v/>
      </c>
      <c r="DD52" s="42">
        <f>IF(Tasks[[#This Row],[_Pred3Text]]="","",IFERROR(VALUE(LEFT(Tasks[[#This Row],[_Pred3Text]],MIN(FIND("F",Tasks[[#This Row],[_Pred3Text]]&amp;"F"),FIND("S",Tasks[[#This Row],[_Pred3Text]]&amp;"S"),FIND("+",Tasks[[#This Row],[_Pred3Text]]&amp;"+"),FIND("-",Tasks[[#This Row],[_Pred3Text]]&amp;"-"))-1)),""))</f>
        <v/>
      </c>
      <c r="DE5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2" s="42">
        <f>IF(Tasks[[#This Row],[_Pred3Text]]="","",TRIM(MID(SUBSTITUTE(SUBSTITUTE(SUBSTITUTE(UPPER(Tasks[[#This Row],[_Predecessors]]),";",",")," ",""),",",REPT(" ",99)),298,99)))</f>
        <v/>
      </c>
      <c r="DH52" s="42">
        <f>IF(Tasks[[#This Row],[_Pred4Text]]="","",IFERROR(VALUE(LEFT(Tasks[[#This Row],[_Pred4Text]],MIN(FIND("F",Tasks[[#This Row],[_Pred4Text]]&amp;"F"),FIND("S",Tasks[[#This Row],[_Pred4Text]]&amp;"S"),FIND("+",Tasks[[#This Row],[_Pred4Text]]&amp;"+"),FIND("-",Tasks[[#This Row],[_Pred4Text]]&amp;"-"))-1)),""))</f>
        <v/>
      </c>
      <c r="DI5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2" s="42">
        <f>IF(OR(Tasks[[#This Row],[Task Name]]="",Tasks[[#This Row],[_Resources]]=""),"",TRIM(MID(SUBSTITUTE(Tasks[[#This Row],[_Resources]],",",REPT(" ",99)),1,99)))</f>
        <v/>
      </c>
      <c r="DL52" s="42">
        <f>IF(Tasks[[#This Row],[_Res1Text]]="","",TRIM(MID(SUBSTITUTE(Tasks[[#This Row],[_Resources]],",",REPT(" ",99)),100,99)))</f>
        <v/>
      </c>
      <c r="DM52" s="42">
        <f>IF(Tasks[[#This Row],[_Res2Text]]="","",TRIM(MID(SUBSTITUTE(Tasks[[#This Row],[_Resources]],",",REPT(" ",99)),199,99)))</f>
        <v/>
      </c>
      <c r="DN52" s="42">
        <f>IF(Tasks[[#This Row],[_Res3Text]]="","",TRIM(MID(SUBSTITUTE(Tasks[[#This Row],[_Resources]],",",REPT(" ",99)),298,99)))</f>
        <v/>
      </c>
      <c r="DO52" s="42">
        <f>IF(Tasks[[#This Row],[_Res1Text]]="",0,IFERROR(MATCH(TRIM(LEFT(Tasks[[#This Row],[_Res1Text]],FIND("[",Tasks[[#This Row],[_Res1Text]]&amp;"[")-1)),res_Name,0),IFERROR(MATCH(TRIM(LEFT(Tasks[[#This Row],[_Res1Text]],FIND("[",Tasks[[#This Row],[_Res1Text]]&amp;"[")-1)),res_Initials,0),0)))</f>
        <v/>
      </c>
      <c r="DP52" s="42">
        <f>IF(Tasks[[#This Row],[_Res2Text]]="",0,IFERROR(MATCH(TRIM(LEFT(Tasks[[#This Row],[_Res2Text]],FIND("[",Tasks[[#This Row],[_Res2Text]]&amp;"[")-1)),res_Name,0),IFERROR(MATCH(TRIM(LEFT(Tasks[[#This Row],[_Res2Text]],FIND("[",Tasks[[#This Row],[_Res2Text]]&amp;"[")-1)),res_Initials,0),0)))</f>
        <v/>
      </c>
      <c r="DQ52" s="42">
        <f>IF(Tasks[[#This Row],[_Res3Text]]="",0,IFERROR(MATCH(TRIM(LEFT(Tasks[[#This Row],[_Res3Text]],FIND("[",Tasks[[#This Row],[_Res3Text]]&amp;"[")-1)),res_Name,0),IFERROR(MATCH(TRIM(LEFT(Tasks[[#This Row],[_Res3Text]],FIND("[",Tasks[[#This Row],[_Res3Text]]&amp;"[")-1)),res_Initials,0),0)))</f>
        <v/>
      </c>
      <c r="DR52" s="42">
        <f>IF(Tasks[[#This Row],[_Res4Text]]="",0,IFERROR(MATCH(TRIM(LEFT(Tasks[[#This Row],[_Res4Text]],FIND("[",Tasks[[#This Row],[_Res4Text]]&amp;"[")-1)),res_Name,0),IFERROR(MATCH(TRIM(LEFT(Tasks[[#This Row],[_Res4Text]],FIND("[",Tasks[[#This Row],[_Res4Text]]&amp;"[")-1)),res_Initials,0),0)))</f>
        <v/>
      </c>
      <c r="DS52" s="42">
        <f>IF(Tasks[[#This Row],[_Res1Text]]="","",IF(Tasks[[#This Row],[_Res1Row]]&gt;0,INDEX(res_Name,Tasks[[#This Row],[_Res1Row]]),TRIM(LEFT(Tasks[[#This Row],[_Res1Text]],FIND("[",Tasks[[#This Row],[_Res1Text]]&amp;"[")-1))))</f>
        <v/>
      </c>
      <c r="DT5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2" s="42">
        <f>IF(NOT(Tasks[[#This Row],[_IsLeaf]]=1),0,(Tasks[[#This Row],[_Resource1]]&lt;&gt;"")+(Tasks[[#This Row],[_Res2]]&lt;&gt;"")+(Tasks[[#This Row],[_Res3]]&lt;&gt;"")+(Tasks[[#This Row],[_Res4]]&lt;&gt;""))</f>
        <v/>
      </c>
      <c r="DV52" s="42">
        <f>IF(Tasks[[#This Row],[_Res2Text]]="","",IF(Tasks[[#This Row],[_Res2Row]]&gt;0,INDEX(res_Name,Tasks[[#This Row],[_Res2Row]]),TRIM(LEFT(Tasks[[#This Row],[_Res2Text]],FIND("[",Tasks[[#This Row],[_Res2Text]]&amp;"[")-1))))</f>
        <v/>
      </c>
      <c r="DW5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2" s="42">
        <f>IF(OR(NOT(Tasks[[#This Row],[_IsLeaf]]=1),Tasks[[#This Row],[_Res2Row]]=0),0,N(Tasks[[#This Row],[_Days]])*HoursPerDay*IF(Tasks[[#This Row],[_Res2Units]]="",DefaultUnits,Tasks[[#This Row],[_Res2Units]]))</f>
        <v/>
      </c>
      <c r="DY52" s="42">
        <f>IF(AND(AND(Tasks[[#This Row],[_IsLeaf]]=1,Tasks[[#This Row],[_LeafTotalWork]]&gt;0),Tasks[[#This Row],[_Res2Work]]&gt;0),Tasks[[#This Row],[_Res2Work]]/(Tasks[[#This Row],[_FinishWorkday]]-Tasks[[#This Row],[_StartWorkday]]+1),0)</f>
        <v/>
      </c>
      <c r="DZ52" s="42">
        <f>Tasks[[#This Row],[_Res2WorkPerWD]]*MAX(0,Tasks[[#This Row],[_StartWorkday]]-1)</f>
        <v/>
      </c>
      <c r="EA52" s="42">
        <f>Tasks[[#This Row],[_Res2Work]]*Tasks[[#This Row],[_LeafProgress]]</f>
        <v/>
      </c>
      <c r="EB52" s="42">
        <f>IF(Tasks[[#This Row],[_Res3Text]]="","",IF(Tasks[[#This Row],[_Res3Row]]&gt;0,INDEX(res_Name,Tasks[[#This Row],[_Res3Row]]),TRIM(LEFT(Tasks[[#This Row],[_Res3Text]],FIND("[",Tasks[[#This Row],[_Res3Text]]&amp;"[")-1))))</f>
        <v/>
      </c>
      <c r="EC5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2" s="42">
        <f>IF(OR(NOT(Tasks[[#This Row],[_IsLeaf]]=1),Tasks[[#This Row],[_Res3Row]]=0),0,N(Tasks[[#This Row],[_Days]])*HoursPerDay*IF(Tasks[[#This Row],[_Res3Units]]="",DefaultUnits,Tasks[[#This Row],[_Res3Units]]))</f>
        <v/>
      </c>
      <c r="EE52" s="42">
        <f>IF(AND(AND(Tasks[[#This Row],[_IsLeaf]]=1,Tasks[[#This Row],[_LeafTotalWork]]&gt;0),Tasks[[#This Row],[_Res3Work]]&gt;0),Tasks[[#This Row],[_Res3Work]]/(Tasks[[#This Row],[_FinishWorkday]]-Tasks[[#This Row],[_StartWorkday]]+1),0)</f>
        <v/>
      </c>
      <c r="EF52" s="42">
        <f>Tasks[[#This Row],[_Res3WorkPerWD]]*MAX(0,Tasks[[#This Row],[_StartWorkday]]-1)</f>
        <v/>
      </c>
      <c r="EG52" s="42">
        <f>Tasks[[#This Row],[_Res3Work]]*Tasks[[#This Row],[_LeafProgress]]</f>
        <v/>
      </c>
      <c r="EH52" s="42">
        <f>IF(Tasks[[#This Row],[_Res4Text]]="","",IF(Tasks[[#This Row],[_Res4Row]]&gt;0,INDEX(res_Name,Tasks[[#This Row],[_Res4Row]]),TRIM(LEFT(Tasks[[#This Row],[_Res4Text]],FIND("[",Tasks[[#This Row],[_Res4Text]]&amp;"[")-1))))</f>
        <v/>
      </c>
      <c r="EI5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2" s="42">
        <f>IF(OR(NOT(Tasks[[#This Row],[_IsLeaf]]=1),Tasks[[#This Row],[_Res4Row]]=0),0,N(Tasks[[#This Row],[_Days]])*HoursPerDay*IF(Tasks[[#This Row],[_Res4Units]]="",DefaultUnits,Tasks[[#This Row],[_Res4Units]]))</f>
        <v/>
      </c>
      <c r="EK52" s="42">
        <f>IF(AND(AND(Tasks[[#This Row],[_IsLeaf]]=1,Tasks[[#This Row],[_LeafTotalWork]]&gt;0),Tasks[[#This Row],[_Res4Work]]&gt;0),Tasks[[#This Row],[_Res4Work]]/(Tasks[[#This Row],[_FinishWorkday]]-Tasks[[#This Row],[_StartWorkday]]+1),0)</f>
        <v/>
      </c>
      <c r="EL52" s="42">
        <f>Tasks[[#This Row],[_Res4WorkPerWD]]*MAX(0,Tasks[[#This Row],[_StartWorkday]]-1)</f>
        <v/>
      </c>
      <c r="EM52" s="42">
        <f>Tasks[[#This Row],[_Res4Work]]*Tasks[[#This Row],[_LeafProgress]]</f>
        <v/>
      </c>
      <c r="EN52" s="42">
        <f>IF(ISNUMBER(Tasks[[#This Row],[% Complete]]),Tasks[[#This Row],[% Complete]],IF(Tasks[[#This Row],[Stage]]="",0,IFERROR(INDEX(stg_Pct,MATCH(Tasks[[#This Row],[Stage]],stg_Name,0)),0)))</f>
        <v/>
      </c>
      <c r="EO52" s="42">
        <f>IF(NOT(Tasks[[#This Row],[_IsLeaf]]=1),0,IF(N(Tasks[[#This Row],[Actual Finish]])&gt;0,1,MIN(1,Tasks[[#This Row],[_Pct]])))</f>
        <v/>
      </c>
      <c r="EP52" s="42">
        <f>IF(OR(NOT(Tasks[[#This Row],[_IsLeaf]]=1),Tasks[[#This Row],[_Res1Row]]=0),0,N(Tasks[[#This Row],[_Days]])*HoursPerDay*IF(Tasks[[#This Row],[_Units1]]="",DefaultUnits,Tasks[[#This Row],[_Units1]]))</f>
        <v/>
      </c>
      <c r="EQ52" s="42">
        <f>Tasks[[#This Row],[_LeafWork]]+Tasks[[#This Row],[_Res2Work]]+Tasks[[#This Row],[_Res3Work]]+Tasks[[#This Row],[_Res4Work]]</f>
        <v/>
      </c>
      <c r="ER5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2" s="42">
        <f>IF(NOT(Tasks[[#This Row],[_IsLeaf]]=1),0,MAX(_xlfn.MAXIFS(Tasks[_Row],Tasks[_Pred1UID],Tasks[[#This Row],[UID]]),_xlfn.MAXIFS(Tasks[_Row],Tasks[_Pred2UID],Tasks[[#This Row],[UID]]),_xlfn.MAXIFS(Tasks[_Row],Tasks[_Pred3UID],Tasks[[#This Row],[UID]]),_xlfn.MAXIFS(Tasks[_Row],Tasks[_Pred4UID],Tasks[[#This Row],[UID]])))</f>
        <v/>
      </c>
      <c r="FA5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2" s="88">
        <f>IF(NOT(Tasks[[#This Row],[_IsLeaf]]=1),"",IF(N(Tasks[[#This Row],[_Days]])&lt;=0,Tasks[[#This Row],[_LeafLateFinish]],WORKDAY.INTL(Tasks[[#This Row],[_LeafLateFinish]],-(Tasks[[#This Row],[_Days]]-1),WorkWeek,Holidays)))</f>
        <v/>
      </c>
      <c r="FD5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2" s="42">
        <f>AND(Tasks[[#This Row],[_IsLeaf]]=1,Tasks[[#This Row],[_LeafProgress]]&lt;1,N(Tasks[[#This Row],[_LeafTotalSlack]])&lt;=CriticalSlackDays)</f>
        <v/>
      </c>
      <c r="FF52" s="42">
        <f>IF(AND(Tasks[[#This Row],[_IsLeaf]]=1,Tasks[[#This Row],[_ConstraintCode]]=1,Tasks[[#This Row],[Mode]]&lt;&gt;"Manual",N(Tasks[[#This Row],[Actual Start]])=0),MAX(0,N(Tasks[[#This Row],[Free Slack]])),0)</f>
        <v/>
      </c>
      <c r="FG52" s="88">
        <f>IF(NOT(Tasks[[#This Row],[_IsLeaf]]=1),"",IF(Tasks[[#This Row],[_AlapShift]]=0,Tasks[[#This Row],[_LeafCalcStart]],WORKDAY.INTL(Tasks[[#This Row],[_LeafCalcStart]],Tasks[[#This Row],[_AlapShift]],WorkWeek,Holidays)))</f>
        <v/>
      </c>
      <c r="FH52" s="88">
        <f>IF(NOT(Tasks[[#This Row],[_IsLeaf]]=1),"",IF(Tasks[[#This Row],[_AlapShift]]=0,Tasks[[#This Row],[_LeafCalcFinish]],WORKDAY.INTL(Tasks[[#This Row],[_LeafCalcFinish]],Tasks[[#This Row],[_AlapShift]],WorkWeek,Holidays)))</f>
        <v/>
      </c>
      <c r="FI52" s="88">
        <f>IF(NOT(Tasks[[#This Row],[_IsLeaf]]=1),"",IF(Tasks[[#This Row],[_AlapShift]]=0,Tasks[[#This Row],[_LeafFcstStart]],WORKDAY.INTL(Tasks[[#This Row],[_LeafFcstStart]],Tasks[[#This Row],[_AlapShift]],WorkWeek,Holidays)))</f>
        <v/>
      </c>
      <c r="FJ52" s="88">
        <f>IF(NOT(Tasks[[#This Row],[_IsLeaf]]=1),"",IF(Tasks[[#This Row],[_AlapShift]]=0,Tasks[[#This Row],[_LeafFcstFinish]],WORKDAY.INTL(Tasks[[#This Row],[_LeafFcstFinish]],Tasks[[#This Row],[_AlapShift]],WorkWeek,Holidays)))</f>
        <v/>
      </c>
      <c r="FK52" s="88">
        <f>IF(Tasks[[#This Row],[Task Name]]="","",IF(Tasks[[#This Row],[_IsSummary]],MIN(INDEX(Tasks[_ShownCalcStart],Tasks[[#This Row],[_Row]]+1):INDEX(Tasks[_ShownCalcStart],Tasks[[#This Row],[_Row]]+Tasks[[#This Row],[_Descendants]])),Tasks[[#This Row],[_ShownCalcStart]]))</f>
        <v/>
      </c>
      <c r="FL52" s="88">
        <f>IF(Tasks[[#This Row],[Task Name]]="","",IF(Tasks[[#This Row],[_IsSummary]],MAX(INDEX(Tasks[_ShownCalcFinish],Tasks[[#This Row],[_Row]]+1):INDEX(Tasks[_ShownCalcFinish],Tasks[[#This Row],[_Row]]+Tasks[[#This Row],[_Descendants]])),Tasks[[#This Row],[_ShownCalcFinish]]))</f>
        <v/>
      </c>
      <c r="FM5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2" s="42">
        <f>IF(AND(Tasks[[#This Row],[_IsLeaf]]=1,Tasks[[#This Row],[_LeafTotalWork]]&gt;0),NETWORKDAYS.INTL(ProjectStart,Tasks[[#This Row],[_ShownFcstStart]],WorkWeek,Holidays),0)</f>
        <v/>
      </c>
      <c r="FZ52" s="42">
        <f>IF(AND(Tasks[[#This Row],[_IsLeaf]]=1,Tasks[[#This Row],[_LeafTotalWork]]&gt;0),MAX(Tasks[[#This Row],[_StartWorkday]],NETWORKDAYS.INTL(ProjectStart,Tasks[[#This Row],[_ShownFcstFinish]],WorkWeek,Holidays)),0)</f>
        <v/>
      </c>
      <c r="GA52" s="42">
        <f>IF(AND(Tasks[[#This Row],[_IsLeaf]]=1,Tasks[[#This Row],[_LeafTotalWork]]&gt;0),Tasks[[#This Row],[_LeafWork]]/(Tasks[[#This Row],[_FinishWorkday]]-Tasks[[#This Row],[_StartWorkday]]+1),0)</f>
        <v/>
      </c>
      <c r="GB52" s="42">
        <f>Tasks[[#This Row],[_WorkPerWorkday]]*(Tasks[[#This Row],[_StartWorkday]]-1)</f>
        <v/>
      </c>
      <c r="GC52" s="42">
        <f>IF(Tasks[[#This Row],[_IsLeaf]]=1,MAX(N(Tasks[[#This Row],[_Days]]),0.1),0)</f>
        <v/>
      </c>
      <c r="GD52" s="42">
        <f>Tasks[[#This Row],[_WeightDur]]*Tasks[[#This Row],[_LeafProgress]]</f>
        <v/>
      </c>
      <c r="GE52" s="42">
        <f>Tasks[[#This Row],[_WeightDur]]*Tasks[[#This Row],[_PlannedPct]]</f>
        <v/>
      </c>
      <c r="GF5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2" s="42">
        <f>IF(AND(Tasks[[#This Row],[_IsLeaf]]=1,N(Tasks[[#This Row],[_Days]])=0,Tasks[[#This Row],[_LeafProgress]]&lt;1),Tasks[[#This Row],[_ShownFcstFinish]]+Tasks[[#This Row],[_Row]]/100000,"")</f>
        <v/>
      </c>
      <c r="GH5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2" s="42">
        <f>IF(Tasks[[#This Row],[Task Name]]="","",LEFT(Tasks[[#This Row],[WBS]],FIND(".",Tasks[[#This Row],[WBS]]&amp;".")-1))</f>
        <v/>
      </c>
      <c r="GJ52" s="42">
        <f>IF(AND(Tasks[[#This Row],[Task Name]]&lt;&gt;"",Tasks[[#This Row],[_Level]]=1),Tasks[[#This Row],[_Row]],"")</f>
        <v/>
      </c>
      <c r="GK52" s="42">
        <f>IF(AND(Tasks[[#This Row],[_IsLeaf]]=1,N(Tasks[[#This Row],[_Days]])=0),Tasks[[#This Row],[Planned Finish]]+Tasks[[#This Row],[_Row]]/100000,"")</f>
        <v/>
      </c>
      <c r="GL52" s="42">
        <f>IF(AND(Tasks[[#This Row],[_IsLeaf]]=1,Tasks[[#This Row],[_LeafProgress]]&lt;1,OR(N(Tasks[[#This Row],[Finish Var]])&gt;0,Tasks[[#This Row],[Status]]="Late Start")),MAX(0,Tasks[[#This Row],[Finish Var]])+1-Tasks[[#This Row],[_Row]]/1000000,"")</f>
        <v/>
      </c>
      <c r="GM52" s="42">
        <f>IF(AND(Tasks[[#This Row],[_IsLeaf]]=1,N(Tasks[[#This Row],[Actual Start]])=0,Tasks[[#This Row],[_ShownFcstStart]]&gt;=StatusDate,Tasks[[#This Row],[_ShownFcstStart]]&lt;=LookaheadEnd),Tasks[[#This Row],[_ShownFcstStart]]+Tasks[[#This Row],[_Row]]/100000,"")</f>
        <v/>
      </c>
      <c r="GN52" s="42">
        <f>IF(AND(Tasks[[#This Row],[_IsLeaf]]=1,Tasks[[#This Row],[_LeafProgress]]&lt;1,Tasks[[#This Row],[_ShownFcstFinish]]&gt;=StatusDate,Tasks[[#This Row],[_ShownFcstFinish]]&lt;=LookaheadEnd),Tasks[[#This Row],[_ShownFcstFinish]]+Tasks[[#This Row],[_Row]]/100000,"")</f>
        <v/>
      </c>
      <c r="GO52" s="42">
        <f>IF(Tasks[[#This Row],[_LeafCritical]],Tasks[[#This Row],[_ShownFcstStart]]+Tasks[[#This Row],[_Row]]/100000,"")</f>
        <v/>
      </c>
      <c r="GP52" s="42">
        <f>Tasks[[#This Row],[_LeafWork]]*Tasks[[#This Row],[_LeafProgress]]</f>
        <v/>
      </c>
      <c r="GQ52" s="88">
        <f>IF(AND(Tasks[[#This Row],[_IsLeaf]]=1,Tasks[[#This Row],[_LeafProgress]]&gt;=1),IF(N(Tasks[[#This Row],[Actual Finish]])&gt;0,Tasks[[#This Row],[Actual Finish]],Tasks[[#This Row],[_ShownFcstFinish]]),"")</f>
        <v/>
      </c>
      <c r="GR52" s="42">
        <f>IF(Tasks[[#This Row],[_IsLeaf]]=1,N(Tasks[[#This Row],[Story Points]]),0)</f>
        <v/>
      </c>
      <c r="GS52" s="42">
        <f>""</f>
        <v/>
      </c>
      <c r="GT52" s="42">
        <f>IF(Tasks[[#This Row],[Task Name]]="",FALSE(),AND(Tasks[[#This Row],[_IsLeaf]]=1,N(Tasks[[#This Row],[_Days]])=0))</f>
        <v/>
      </c>
      <c r="GU52" s="88">
        <f>IF(Tasks[[#This Row],[Task Name]]="",0,IF(AND(Tasks[[#This Row],[_IsLeaf]]=1,NOT(Tasks[[#This Row],[_IsMilestone]]),N(Tasks[[#This Row],[Progress]])&gt;0),Tasks[[#This Row],[Start]],0))</f>
        <v/>
      </c>
      <c r="GV52" s="88">
        <f>IF(Tasks[[#This Row],[_DoneFrom]]=0,0,IF(Tasks[[#This Row],[Progress]]&gt;=1,Tasks[[#This Row],[Finish]],MAX(Tasks[[#This Row],[_DoneFrom]],Tasks[[#This Row],[Start]]+ROUND((Tasks[[#This Row],[Finish]]-Tasks[[#This Row],[Start]]+1)*Tasks[[#This Row],[Progress]],0)-1)))</f>
        <v/>
      </c>
      <c r="GW52" s="88">
        <f>IF(Tasks[[#This Row],[Task Name]]="",0,IF(OR(NOT(Tasks[[#This Row],[_IsLeaf]]=1),Tasks[[#This Row],[_IsMilestone]],N(Tasks[[#This Row],[Progress]])&gt;=1),0,IF(Tasks[[#This Row],[_DoneTo]]&gt;0,Tasks[[#This Row],[_DoneTo]]+1,Tasks[[#This Row],[Start]])))</f>
        <v/>
      </c>
      <c r="GX52" s="88">
        <f>IF(Tasks[[#This Row],[_RemFrom]]=0,0,Tasks[[#This Row],[Finish]])</f>
        <v/>
      </c>
      <c r="GY52" s="42">
        <f>IF(Tasks[[#This Row],[Task Name]]="",FALSE(),OR(NOT(BaselineSet),N(Tasks[[#This Row],[Baseline Start]])&gt;0))</f>
        <v/>
      </c>
      <c r="GZ52" s="42">
        <f>IF(AND(Sandbox="Yes",L_PARSE_DURATION(Tasks[[#This Row],[Sandbox Duration]])&lt;&gt;""),L_PARSE_DURATION(Tasks[[#This Row],[Sandbox Duration]]),L_PARSE_DURATION(Tasks[[#This Row],[Duration]]))</f>
        <v/>
      </c>
      <c r="HA5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2" s="42">
        <f>IF(Tasks[[#This Row],[_IsLeaf]]=1,Tasks[[#This Row],[_Row]],"")</f>
        <v/>
      </c>
      <c r="HD52" s="42">
        <f>IFERROR(INDEX(Tasks[UID],SMALL(Tasks[_PickKey],Tasks[[#This Row],[_Row]]))&amp;" "&amp;INDEX(Tasks[Task Name],SMALL(Tasks[_PickKey],Tasks[[#This Row],[_Row]])),"")</f>
        <v/>
      </c>
      <c r="HE52" s="42">
        <f>IF(Tasks[[#This Row],[Task Name]]="","",IF(Tasks[[#This Row],[_IsSummary]],NETWORKDAYS.INTL(Tasks[[#This Row],[Start]],Tasks[[#This Row],[Finish]],WorkWeek,Holidays),N(Tasks[[#This Row],[_Days]])))</f>
        <v/>
      </c>
      <c r="HF52" s="42">
        <f>IF(Tasks[[#This Row],[Expected]]="",0,((Tasks[[#This Row],[Pessimistic]]-Tasks[[#This Row],[Optimistic]])/6)^2)</f>
        <v/>
      </c>
      <c r="HG52" s="42">
        <f>IF(Tasks[[#This Row],[Expected]]="",0,Tasks[[#This Row],[Expected]]-N(Tasks[[#This Row],[_Days]]))</f>
        <v/>
      </c>
    </row>
    <row r="53">
      <c r="A53" s="21">
        <f>IF(Tasks[[#This Row],[Task Name]]="","",COUNTA(Tasks[[#Headers],[Task Name]]:Tasks[[#This Row],[Task Name]])-1)</f>
        <v/>
      </c>
      <c r="B53" s="22" t="n">
        <v>61</v>
      </c>
      <c r="C53" s="22" t="n"/>
      <c r="D53" s="23" t="n"/>
      <c r="E53" s="22" t="n"/>
      <c r="F53" s="23" t="n"/>
      <c r="G53" s="22" t="n"/>
      <c r="H53" s="22" t="n"/>
      <c r="I53" s="23" t="n"/>
      <c r="J53" s="22" t="n"/>
      <c r="K53" s="22" t="n"/>
      <c r="L53" s="23" t="n"/>
      <c r="M53" s="22" t="n"/>
      <c r="N53" s="22" t="n"/>
      <c r="O53" s="23" t="n"/>
      <c r="P53" s="22" t="n"/>
      <c r="Q53" s="22" t="n"/>
      <c r="R53" s="23" t="n"/>
      <c r="S53" s="23" t="n"/>
      <c r="T53" s="82" t="n"/>
      <c r="U53" s="23" t="n"/>
      <c r="V53" s="82" t="n"/>
      <c r="W53" s="23" t="n"/>
      <c r="X53" s="82" t="n"/>
      <c r="Y53" s="23" t="n"/>
      <c r="Z53" s="82" t="n"/>
      <c r="AA53" s="23" t="n"/>
      <c r="AB53" s="23" t="n"/>
      <c r="AC53" s="7" t="n"/>
      <c r="AD53" s="7" t="n"/>
      <c r="AE53" s="61">
        <f>IF(Tasks[[#This Row],[Task Name]]="","",IF(Tasks[[#This Row],[_IsSummary]],MIN(INDEX(Tasks[_ShownFcstStart],Tasks[[#This Row],[_Row]]+1):INDEX(Tasks[_ShownFcstStart],Tasks[[#This Row],[_Row]]+Tasks[[#This Row],[_Descendants]])),Tasks[[#This Row],[_ShownFcstStart]]))</f>
        <v/>
      </c>
      <c r="AF53" s="61">
        <f>IF(Tasks[[#This Row],[Task Name]]="","",IF(Tasks[[#This Row],[_IsSummary]],MAX(INDEX(Tasks[_ShownFcstFinish],Tasks[[#This Row],[_Row]]+1):INDEX(Tasks[_ShownFcstFinish],Tasks[[#This Row],[_Row]]+Tasks[[#This Row],[_Descendants]])),Tasks[[#This Row],[_ShownFcstFinish]]))</f>
        <v/>
      </c>
      <c r="AG53" s="21">
        <f>""</f>
        <v/>
      </c>
      <c r="AH53" s="23" t="n"/>
      <c r="AI5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3" s="7" t="n"/>
      <c r="AK53" s="22" t="n"/>
      <c r="AL53" s="23" t="n"/>
      <c r="AM53" s="7" t="n"/>
      <c r="AN53" s="21">
        <f>IF(Tasks[[#This Row],[Task Name]]="","",IF(Tasks[[#This Row],[Finish]]&gt;=Tasks[[#This Row],[Planned Finish]],NETWORKDAYS.INTL(Tasks[[#This Row],[Planned Finish]],Tasks[[#This Row],[Finish]],WorkWeek,Holidays)-1,1-NETWORKDAYS.INTL(Tasks[[#This Row],[Finish]],Tasks[[#This Row],[Planned Finish]],WorkWeek,Holidays)))</f>
        <v/>
      </c>
      <c r="AO53" s="21">
        <f>IF(Tasks[[#This Row],[Task Name]]="","",IF(Tasks[[#This Row],[Progress]]&gt;=1,"Complete",IF(OR(N(Tasks[[#This Row],[Actual Start]])&gt;0,Tasks[[#This Row],[Progress]]&gt;0),IF(Tasks[[#This Row],[Finish Var]]&gt;0,"Behind","In Progress"),IF(Tasks[[#This Row],[Planned Start]]&lt;StatusDate,"Late Start","Not Started"))))</f>
        <v/>
      </c>
      <c r="AP53" s="21">
        <f>IF(Tasks[[#This Row],[Task Name]]="","",IF(IF(Tasks[[#This Row],[_IsSummary]],COUNTIF(INDEX(Tasks[_LeafCritical],Tasks[[#This Row],[_Row]]+1):INDEX(Tasks[_LeafCritical],Tasks[[#This Row],[_Row]]+Tasks[[#This Row],[_Descendants]]),TRUE())&gt;0,Tasks[[#This Row],[_LeafCritical]]),"Yes",""))</f>
        <v/>
      </c>
      <c r="AQ53" s="61">
        <f>IF(Tasks[[#This Row],[Task Name]]="","",IF(N(Tasks[[#This Row],[Baseline Start]])&gt;0,Tasks[[#This Row],[Baseline Start]],Tasks[[#This Row],[_CalcStart]]))</f>
        <v/>
      </c>
      <c r="AR53" s="61">
        <f>IF(Tasks[[#This Row],[Task Name]]="","",IF(N(Tasks[[#This Row],[Baseline Finish]])&gt;0,Tasks[[#This Row],[Baseline Finish]],Tasks[[#This Row],[_CalcFinish]]))</f>
        <v/>
      </c>
      <c r="AS53" s="21">
        <f>IF(Tasks[[#This Row],[Task Name]]="","",IF(Tasks[[#This Row],[Start]]&gt;=Tasks[[#This Row],[Planned Start]],NETWORKDAYS.INTL(Tasks[[#This Row],[Planned Start]],Tasks[[#This Row],[Start]],WorkWeek,Holidays)-1,1-NETWORKDAYS.INTL(Tasks[[#This Row],[Start]],Tasks[[#This Row],[Planned Start]],WorkWeek,Holidays)))</f>
        <v/>
      </c>
      <c r="AT53" s="61">
        <f>IF(Tasks[[#This Row],[Task Name]]="","",IF(Tasks[[#This Row],[_IsSummary]],MIN(INDEX(Tasks[_LeafLateStart],Tasks[[#This Row],[_Row]]+1):INDEX(Tasks[_LeafLateStart],Tasks[[#This Row],[_Row]]+Tasks[[#This Row],[_Descendants]])),Tasks[[#This Row],[_LeafLateStart]]))</f>
        <v/>
      </c>
      <c r="AU53" s="61">
        <f>IF(Tasks[[#This Row],[Task Name]]="","",IF(Tasks[[#This Row],[_IsSummary]],MAX(INDEX(Tasks[_LeafLateFinish],Tasks[[#This Row],[_Row]]+1):INDEX(Tasks[_LeafLateFinish],Tasks[[#This Row],[_Row]]+Tasks[[#This Row],[_Descendants]])),Tasks[[#This Row],[_LeafLateFinish]]))</f>
        <v/>
      </c>
      <c r="AV53" s="21">
        <f>IF(Tasks[[#This Row],[Task Name]]="","",IF(Tasks[[#This Row],[_IsSummary]],MIN(INDEX(Tasks[_LeafTotalSlack],Tasks[[#This Row],[_Row]]+1):INDEX(Tasks[_LeafTotalSlack],Tasks[[#This Row],[_Row]]+Tasks[[#This Row],[_Descendants]])),Tasks[[#This Row],[_LeafTotalSlack]]))</f>
        <v/>
      </c>
      <c r="AW5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3" t="n"/>
      <c r="BA5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f>IF(Tasks[[#This Row],[Task Name]]="","",IF(Tasks[[#This Row],[_Level]]&lt;=OutlineShowLevel,"Yes","No"))</f>
        <v/>
      </c>
      <c r="BE53" s="84">
        <f>IF(Tasks[[#This Row],[Task Name]]="","",IF(Tasks[[#This Row],[_IsSummary]],SUM(INDEX(Tasks[_LeafTotalWork],Tasks[[#This Row],[_Row]]+1):INDEX(Tasks[_LeafTotalWork],Tasks[[#This Row],[_Row]]+Tasks[[#This Row],[_Descendants]])),Tasks[[#This Row],[_LeafTotalWork]]))</f>
        <v/>
      </c>
      <c r="BF53" s="23" t="n"/>
      <c r="BG5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f>""</f>
        <v/>
      </c>
      <c r="BI53" s="85" t="n"/>
      <c r="BJ53" s="22" t="n"/>
      <c r="BK53" s="21">
        <f>IF(OR(Tasks[[#This Row],[Task Name]]="",Tasks[[#This Row],[Baseline Duration]]=""),"",Tasks[[#This Row],[_SpanDays]]-N(Tasks[[#This Row],[Baseline Duration]]))</f>
        <v/>
      </c>
      <c r="BL53" s="84">
        <f>IF(OR(Tasks[[#This Row],[Task Name]]="",Tasks[[#This Row],[Baseline Work]]=""),"",Tasks[[#This Row],[Work]]-N(Tasks[[#This Row],[Baseline Work]]))</f>
        <v/>
      </c>
      <c r="BM53" s="61">
        <f>IF(Tasks[[#This Row],[Task Name]]="","",IF(OR(TakeBaseline="Yes",N(Tasks[[#This Row],[Baseline Start]])=0),Tasks[[#This Row],[Start]],Tasks[[#This Row],[Baseline Start]]))</f>
        <v/>
      </c>
      <c r="BN53" s="61">
        <f>IF(Tasks[[#This Row],[Task Name]]="","",IF(OR(TakeBaseline="Yes",N(Tasks[[#This Row],[Baseline Finish]])=0),Tasks[[#This Row],[Finish]],Tasks[[#This Row],[Baseline Finish]]))</f>
        <v/>
      </c>
      <c r="BO53" s="21">
        <f>IF(Tasks[[#This Row],[Task Name]]="","",IF(OR(TakeBaseline="Yes",N(Tasks[[#This Row],[Baseline Duration]])=0),Tasks[[#This Row],[_SpanDays]],Tasks[[#This Row],[Baseline Duration]]))</f>
        <v/>
      </c>
      <c r="BP53" s="84">
        <f>IF(Tasks[[#This Row],[Task Name]]="","",IF(OR(TakeBaseline="Yes",N(Tasks[[#This Row],[Baseline Work]])=0),Tasks[[#This Row],[Work]],Tasks[[#This Row],[Baseline Work]]))</f>
        <v/>
      </c>
      <c r="BQ53" s="7" t="n"/>
      <c r="BR53" s="7" t="n"/>
      <c r="BS53" s="22" t="n"/>
      <c r="BT53" s="86" t="n"/>
      <c r="BU53" s="23" t="n"/>
      <c r="BV53" s="23" t="n"/>
      <c r="BW53" s="23" t="n"/>
      <c r="BX53" s="87">
        <f>IF(AND(Tasks[[#This Row],[_IsLeaf]]=1,ISNUMBER(Tasks[[#This Row],[Optimistic]]),ISNUMBER(Tasks[[#This Row],[Pessimistic]])),ROUND((Tasks[[#This Row],[Optimistic]]+4*N(Tasks[[#This Row],[_Days]])+Tasks[[#This Row],[Pessimistic]])/6,1),"")</f>
        <v/>
      </c>
      <c r="BY53" s="85" t="n"/>
      <c r="BZ53" s="85" t="n"/>
      <c r="CA53" s="22" t="n"/>
      <c r="CB53" s="42">
        <f>IF(Tasks[[#This Row],[Task Name]]="","",MAX(1,N(Tasks[[#This Row],[Level]])))</f>
        <v/>
      </c>
      <c r="CC53" s="42">
        <f>ROW()-ROW(Tasks[[#Headers],[ID]])</f>
        <v/>
      </c>
      <c r="CD53" s="42">
        <f>IF(OR(Tasks[[#This Row],[Task Name]]="",Tasks[[#This Row],[_Level]]&lt;=1),0,IFERROR(LOOKUP(2,1/(Tasks[[#Headers],[_Level]]:Tasks[[#This Row],[_Level]]=Tasks[[#This Row],[_Level]]-1),ROW(Tasks[[#Headers],[_Level]]:Tasks[[#This Row],[_Level]])),0))</f>
        <v/>
      </c>
      <c r="CE53" s="42">
        <f>IFERROR(N(INDEX(Tasks[_Level],Tasks[[#This Row],[_Row]]+1)),0)</f>
        <v/>
      </c>
      <c r="CF53" s="42">
        <f>AND(Tasks[[#This Row],[Task Name]]&lt;&gt;"",Tasks[[#This Row],[_NextLevel]]&gt;Tasks[[#This Row],[_Level]])</f>
        <v/>
      </c>
      <c r="CG53" s="42">
        <f>IF(Tasks[[#This Row],[_IsSummary]],COUNTIF(Tasks[WBS],Tasks[[#This Row],[WBS]]&amp;".*"),0)</f>
        <v/>
      </c>
      <c r="CH53" s="42">
        <f>IF(AND(Tasks[[#This Row],[Task Name]]&lt;&gt;"",NOT(Tasks[[#This Row],[_IsSummary]])),1,0)</f>
        <v/>
      </c>
      <c r="CI53" s="42">
        <f>IF(N(Tasks[[#This Row],[_Pred1UID]])=0,0,IFERROR(MATCH(Tasks[[#This Row],[_Pred1UID]],Tasks[UID],0),-1))</f>
        <v/>
      </c>
      <c r="CJ53" s="42">
        <f>IF(N(Tasks[[#This Row],[_Pred2UID]])=0,0,IFERROR(MATCH(Tasks[[#This Row],[_Pred2UID]],Tasks[UID],0),-1))</f>
        <v/>
      </c>
      <c r="CK53" s="42">
        <f>IF(N(Tasks[[#This Row],[_Pred3UID]])=0,0,IFERROR(MATCH(Tasks[[#This Row],[_Pred3UID]],Tasks[UID],0),-1))</f>
        <v/>
      </c>
      <c r="CL53" s="42">
        <f>IF(N(Tasks[[#This Row],[_Pred4UID]])=0,0,IFERROR(MATCH(Tasks[[#This Row],[_Pred4UID]],Tasks[UID],0),-1))</f>
        <v/>
      </c>
      <c r="CM5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3" s="88">
        <f>IF(N(Tasks[[#This Row],[Constraint Date]])=0,0,IF(AND(OR(Tasks[[#This Row],[_ConstraintCode]]=3,Tasks[[#This Row],[_ConstraintCode]]=6,Tasks[[#This Row],[_ConstraintCode]]=7),N(Tasks[[#This Row],[_Days]])&gt;1),WORKDAY.INTL(N(Tasks[[#This Row],[Constraint Date]]),-(N(Tasks[[#This Row],[_Days]])-1),WorkWeek,Holidays),N(Tasks[[#This Row],[Constraint Date]])))</f>
        <v/>
      </c>
      <c r="CO53" s="88">
        <f>IF(OR(Tasks[[#This Row],[_ConstraintCode]]=2,Tasks[[#This Row],[_ConstraintCode]]=3,Tasks[[#This Row],[_ConstraintCode]]=4,Tasks[[#This Row],[_ConstraintCode]]=6),Tasks[[#This Row],[_ConstraintStart]],0)</f>
        <v/>
      </c>
      <c r="CP53" s="88">
        <f>IF(OR(Tasks[[#This Row],[_ConstraintCode]]=2,Tasks[[#This Row],[_ConstraintCode]]=3,Tasks[[#This Row],[_ConstraintCode]]=5,Tasks[[#This Row],[_ConstraintCode]]=7),Tasks[[#This Row],[_ConstraintStart]],2958465)</f>
        <v/>
      </c>
      <c r="CQ5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3" s="88">
        <f>IF(NOT(Tasks[[#This Row],[_IsLeaf]]=1),"",IF(N(Tasks[[#This Row],[_Days]])&lt;=0,Tasks[[#This Row],[_LeafCalcStart]],WORKDAY.INTL(Tasks[[#This Row],[_LeafCalcStart]],Tasks[[#This Row],[_Days]]-1,WorkWeek,Holidays)))</f>
        <v/>
      </c>
      <c r="CS5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3" s="42">
        <f>IF(Tasks[[#This Row],[_Predecessors]]="","",TRIM(MID(SUBSTITUTE(SUBSTITUTE(SUBSTITUTE(UPPER(Tasks[[#This Row],[_Predecessors]]),";",",")," ",""),",",REPT(" ",99)),1,99)))</f>
        <v/>
      </c>
      <c r="CV53" s="42">
        <f>IF(Tasks[[#This Row],[_Pred1Text]]="","",IFERROR(VALUE(LEFT(Tasks[[#This Row],[_Pred1Text]],MIN(FIND("F",Tasks[[#This Row],[_Pred1Text]]&amp;"F"),FIND("S",Tasks[[#This Row],[_Pred1Text]]&amp;"S"),FIND("+",Tasks[[#This Row],[_Pred1Text]]&amp;"+"),FIND("-",Tasks[[#This Row],[_Pred1Text]]&amp;"-"))-1)),""))</f>
        <v/>
      </c>
      <c r="CW5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3" s="42">
        <f>IF(Tasks[[#This Row],[_Pred1Text]]="","",TRIM(MID(SUBSTITUTE(SUBSTITUTE(SUBSTITUTE(UPPER(Tasks[[#This Row],[_Predecessors]]),";",",")," ",""),",",REPT(" ",99)),100,99)))</f>
        <v/>
      </c>
      <c r="CZ53" s="42">
        <f>IF(Tasks[[#This Row],[_Pred2Text]]="","",IFERROR(VALUE(LEFT(Tasks[[#This Row],[_Pred2Text]],MIN(FIND("F",Tasks[[#This Row],[_Pred2Text]]&amp;"F"),FIND("S",Tasks[[#This Row],[_Pred2Text]]&amp;"S"),FIND("+",Tasks[[#This Row],[_Pred2Text]]&amp;"+"),FIND("-",Tasks[[#This Row],[_Pred2Text]]&amp;"-"))-1)),""))</f>
        <v/>
      </c>
      <c r="DA5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3" s="42">
        <f>IF(Tasks[[#This Row],[_Pred2Text]]="","",TRIM(MID(SUBSTITUTE(SUBSTITUTE(SUBSTITUTE(UPPER(Tasks[[#This Row],[_Predecessors]]),";",",")," ",""),",",REPT(" ",99)),199,99)))</f>
        <v/>
      </c>
      <c r="DD53" s="42">
        <f>IF(Tasks[[#This Row],[_Pred3Text]]="","",IFERROR(VALUE(LEFT(Tasks[[#This Row],[_Pred3Text]],MIN(FIND("F",Tasks[[#This Row],[_Pred3Text]]&amp;"F"),FIND("S",Tasks[[#This Row],[_Pred3Text]]&amp;"S"),FIND("+",Tasks[[#This Row],[_Pred3Text]]&amp;"+"),FIND("-",Tasks[[#This Row],[_Pred3Text]]&amp;"-"))-1)),""))</f>
        <v/>
      </c>
      <c r="DE5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3" s="42">
        <f>IF(Tasks[[#This Row],[_Pred3Text]]="","",TRIM(MID(SUBSTITUTE(SUBSTITUTE(SUBSTITUTE(UPPER(Tasks[[#This Row],[_Predecessors]]),";",",")," ",""),",",REPT(" ",99)),298,99)))</f>
        <v/>
      </c>
      <c r="DH53" s="42">
        <f>IF(Tasks[[#This Row],[_Pred4Text]]="","",IFERROR(VALUE(LEFT(Tasks[[#This Row],[_Pred4Text]],MIN(FIND("F",Tasks[[#This Row],[_Pred4Text]]&amp;"F"),FIND("S",Tasks[[#This Row],[_Pred4Text]]&amp;"S"),FIND("+",Tasks[[#This Row],[_Pred4Text]]&amp;"+"),FIND("-",Tasks[[#This Row],[_Pred4Text]]&amp;"-"))-1)),""))</f>
        <v/>
      </c>
      <c r="DI5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3" s="42">
        <f>IF(OR(Tasks[[#This Row],[Task Name]]="",Tasks[[#This Row],[_Resources]]=""),"",TRIM(MID(SUBSTITUTE(Tasks[[#This Row],[_Resources]],",",REPT(" ",99)),1,99)))</f>
        <v/>
      </c>
      <c r="DL53" s="42">
        <f>IF(Tasks[[#This Row],[_Res1Text]]="","",TRIM(MID(SUBSTITUTE(Tasks[[#This Row],[_Resources]],",",REPT(" ",99)),100,99)))</f>
        <v/>
      </c>
      <c r="DM53" s="42">
        <f>IF(Tasks[[#This Row],[_Res2Text]]="","",TRIM(MID(SUBSTITUTE(Tasks[[#This Row],[_Resources]],",",REPT(" ",99)),199,99)))</f>
        <v/>
      </c>
      <c r="DN53" s="42">
        <f>IF(Tasks[[#This Row],[_Res3Text]]="","",TRIM(MID(SUBSTITUTE(Tasks[[#This Row],[_Resources]],",",REPT(" ",99)),298,99)))</f>
        <v/>
      </c>
      <c r="DO53" s="42">
        <f>IF(Tasks[[#This Row],[_Res1Text]]="",0,IFERROR(MATCH(TRIM(LEFT(Tasks[[#This Row],[_Res1Text]],FIND("[",Tasks[[#This Row],[_Res1Text]]&amp;"[")-1)),res_Name,0),IFERROR(MATCH(TRIM(LEFT(Tasks[[#This Row],[_Res1Text]],FIND("[",Tasks[[#This Row],[_Res1Text]]&amp;"[")-1)),res_Initials,0),0)))</f>
        <v/>
      </c>
      <c r="DP53" s="42">
        <f>IF(Tasks[[#This Row],[_Res2Text]]="",0,IFERROR(MATCH(TRIM(LEFT(Tasks[[#This Row],[_Res2Text]],FIND("[",Tasks[[#This Row],[_Res2Text]]&amp;"[")-1)),res_Name,0),IFERROR(MATCH(TRIM(LEFT(Tasks[[#This Row],[_Res2Text]],FIND("[",Tasks[[#This Row],[_Res2Text]]&amp;"[")-1)),res_Initials,0),0)))</f>
        <v/>
      </c>
      <c r="DQ53" s="42">
        <f>IF(Tasks[[#This Row],[_Res3Text]]="",0,IFERROR(MATCH(TRIM(LEFT(Tasks[[#This Row],[_Res3Text]],FIND("[",Tasks[[#This Row],[_Res3Text]]&amp;"[")-1)),res_Name,0),IFERROR(MATCH(TRIM(LEFT(Tasks[[#This Row],[_Res3Text]],FIND("[",Tasks[[#This Row],[_Res3Text]]&amp;"[")-1)),res_Initials,0),0)))</f>
        <v/>
      </c>
      <c r="DR53" s="42">
        <f>IF(Tasks[[#This Row],[_Res4Text]]="",0,IFERROR(MATCH(TRIM(LEFT(Tasks[[#This Row],[_Res4Text]],FIND("[",Tasks[[#This Row],[_Res4Text]]&amp;"[")-1)),res_Name,0),IFERROR(MATCH(TRIM(LEFT(Tasks[[#This Row],[_Res4Text]],FIND("[",Tasks[[#This Row],[_Res4Text]]&amp;"[")-1)),res_Initials,0),0)))</f>
        <v/>
      </c>
      <c r="DS53" s="42">
        <f>IF(Tasks[[#This Row],[_Res1Text]]="","",IF(Tasks[[#This Row],[_Res1Row]]&gt;0,INDEX(res_Name,Tasks[[#This Row],[_Res1Row]]),TRIM(LEFT(Tasks[[#This Row],[_Res1Text]],FIND("[",Tasks[[#This Row],[_Res1Text]]&amp;"[")-1))))</f>
        <v/>
      </c>
      <c r="DT5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3" s="42">
        <f>IF(NOT(Tasks[[#This Row],[_IsLeaf]]=1),0,(Tasks[[#This Row],[_Resource1]]&lt;&gt;"")+(Tasks[[#This Row],[_Res2]]&lt;&gt;"")+(Tasks[[#This Row],[_Res3]]&lt;&gt;"")+(Tasks[[#This Row],[_Res4]]&lt;&gt;""))</f>
        <v/>
      </c>
      <c r="DV53" s="42">
        <f>IF(Tasks[[#This Row],[_Res2Text]]="","",IF(Tasks[[#This Row],[_Res2Row]]&gt;0,INDEX(res_Name,Tasks[[#This Row],[_Res2Row]]),TRIM(LEFT(Tasks[[#This Row],[_Res2Text]],FIND("[",Tasks[[#This Row],[_Res2Text]]&amp;"[")-1))))</f>
        <v/>
      </c>
      <c r="DW5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3" s="42">
        <f>IF(OR(NOT(Tasks[[#This Row],[_IsLeaf]]=1),Tasks[[#This Row],[_Res2Row]]=0),0,N(Tasks[[#This Row],[_Days]])*HoursPerDay*IF(Tasks[[#This Row],[_Res2Units]]="",DefaultUnits,Tasks[[#This Row],[_Res2Units]]))</f>
        <v/>
      </c>
      <c r="DY53" s="42">
        <f>IF(AND(AND(Tasks[[#This Row],[_IsLeaf]]=1,Tasks[[#This Row],[_LeafTotalWork]]&gt;0),Tasks[[#This Row],[_Res2Work]]&gt;0),Tasks[[#This Row],[_Res2Work]]/(Tasks[[#This Row],[_FinishWorkday]]-Tasks[[#This Row],[_StartWorkday]]+1),0)</f>
        <v/>
      </c>
      <c r="DZ53" s="42">
        <f>Tasks[[#This Row],[_Res2WorkPerWD]]*MAX(0,Tasks[[#This Row],[_StartWorkday]]-1)</f>
        <v/>
      </c>
      <c r="EA53" s="42">
        <f>Tasks[[#This Row],[_Res2Work]]*Tasks[[#This Row],[_LeafProgress]]</f>
        <v/>
      </c>
      <c r="EB53" s="42">
        <f>IF(Tasks[[#This Row],[_Res3Text]]="","",IF(Tasks[[#This Row],[_Res3Row]]&gt;0,INDEX(res_Name,Tasks[[#This Row],[_Res3Row]]),TRIM(LEFT(Tasks[[#This Row],[_Res3Text]],FIND("[",Tasks[[#This Row],[_Res3Text]]&amp;"[")-1))))</f>
        <v/>
      </c>
      <c r="EC5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3" s="42">
        <f>IF(OR(NOT(Tasks[[#This Row],[_IsLeaf]]=1),Tasks[[#This Row],[_Res3Row]]=0),0,N(Tasks[[#This Row],[_Days]])*HoursPerDay*IF(Tasks[[#This Row],[_Res3Units]]="",DefaultUnits,Tasks[[#This Row],[_Res3Units]]))</f>
        <v/>
      </c>
      <c r="EE53" s="42">
        <f>IF(AND(AND(Tasks[[#This Row],[_IsLeaf]]=1,Tasks[[#This Row],[_LeafTotalWork]]&gt;0),Tasks[[#This Row],[_Res3Work]]&gt;0),Tasks[[#This Row],[_Res3Work]]/(Tasks[[#This Row],[_FinishWorkday]]-Tasks[[#This Row],[_StartWorkday]]+1),0)</f>
        <v/>
      </c>
      <c r="EF53" s="42">
        <f>Tasks[[#This Row],[_Res3WorkPerWD]]*MAX(0,Tasks[[#This Row],[_StartWorkday]]-1)</f>
        <v/>
      </c>
      <c r="EG53" s="42">
        <f>Tasks[[#This Row],[_Res3Work]]*Tasks[[#This Row],[_LeafProgress]]</f>
        <v/>
      </c>
      <c r="EH53" s="42">
        <f>IF(Tasks[[#This Row],[_Res4Text]]="","",IF(Tasks[[#This Row],[_Res4Row]]&gt;0,INDEX(res_Name,Tasks[[#This Row],[_Res4Row]]),TRIM(LEFT(Tasks[[#This Row],[_Res4Text]],FIND("[",Tasks[[#This Row],[_Res4Text]]&amp;"[")-1))))</f>
        <v/>
      </c>
      <c r="EI5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3" s="42">
        <f>IF(OR(NOT(Tasks[[#This Row],[_IsLeaf]]=1),Tasks[[#This Row],[_Res4Row]]=0),0,N(Tasks[[#This Row],[_Days]])*HoursPerDay*IF(Tasks[[#This Row],[_Res4Units]]="",DefaultUnits,Tasks[[#This Row],[_Res4Units]]))</f>
        <v/>
      </c>
      <c r="EK53" s="42">
        <f>IF(AND(AND(Tasks[[#This Row],[_IsLeaf]]=1,Tasks[[#This Row],[_LeafTotalWork]]&gt;0),Tasks[[#This Row],[_Res4Work]]&gt;0),Tasks[[#This Row],[_Res4Work]]/(Tasks[[#This Row],[_FinishWorkday]]-Tasks[[#This Row],[_StartWorkday]]+1),0)</f>
        <v/>
      </c>
      <c r="EL53" s="42">
        <f>Tasks[[#This Row],[_Res4WorkPerWD]]*MAX(0,Tasks[[#This Row],[_StartWorkday]]-1)</f>
        <v/>
      </c>
      <c r="EM53" s="42">
        <f>Tasks[[#This Row],[_Res4Work]]*Tasks[[#This Row],[_LeafProgress]]</f>
        <v/>
      </c>
      <c r="EN53" s="42">
        <f>IF(ISNUMBER(Tasks[[#This Row],[% Complete]]),Tasks[[#This Row],[% Complete]],IF(Tasks[[#This Row],[Stage]]="",0,IFERROR(INDEX(stg_Pct,MATCH(Tasks[[#This Row],[Stage]],stg_Name,0)),0)))</f>
        <v/>
      </c>
      <c r="EO53" s="42">
        <f>IF(NOT(Tasks[[#This Row],[_IsLeaf]]=1),0,IF(N(Tasks[[#This Row],[Actual Finish]])&gt;0,1,MIN(1,Tasks[[#This Row],[_Pct]])))</f>
        <v/>
      </c>
      <c r="EP53" s="42">
        <f>IF(OR(NOT(Tasks[[#This Row],[_IsLeaf]]=1),Tasks[[#This Row],[_Res1Row]]=0),0,N(Tasks[[#This Row],[_Days]])*HoursPerDay*IF(Tasks[[#This Row],[_Units1]]="",DefaultUnits,Tasks[[#This Row],[_Units1]]))</f>
        <v/>
      </c>
      <c r="EQ53" s="42">
        <f>Tasks[[#This Row],[_LeafWork]]+Tasks[[#This Row],[_Res2Work]]+Tasks[[#This Row],[_Res3Work]]+Tasks[[#This Row],[_Res4Work]]</f>
        <v/>
      </c>
      <c r="ER5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3" s="42">
        <f>IF(NOT(Tasks[[#This Row],[_IsLeaf]]=1),0,MAX(_xlfn.MAXIFS(Tasks[_Row],Tasks[_Pred1UID],Tasks[[#This Row],[UID]]),_xlfn.MAXIFS(Tasks[_Row],Tasks[_Pred2UID],Tasks[[#This Row],[UID]]),_xlfn.MAXIFS(Tasks[_Row],Tasks[_Pred3UID],Tasks[[#This Row],[UID]]),_xlfn.MAXIFS(Tasks[_Row],Tasks[_Pred4UID],Tasks[[#This Row],[UID]])))</f>
        <v/>
      </c>
      <c r="FA5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3" s="88">
        <f>IF(NOT(Tasks[[#This Row],[_IsLeaf]]=1),"",IF(N(Tasks[[#This Row],[_Days]])&lt;=0,Tasks[[#This Row],[_LeafLateFinish]],WORKDAY.INTL(Tasks[[#This Row],[_LeafLateFinish]],-(Tasks[[#This Row],[_Days]]-1),WorkWeek,Holidays)))</f>
        <v/>
      </c>
      <c r="FD5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3" s="42">
        <f>AND(Tasks[[#This Row],[_IsLeaf]]=1,Tasks[[#This Row],[_LeafProgress]]&lt;1,N(Tasks[[#This Row],[_LeafTotalSlack]])&lt;=CriticalSlackDays)</f>
        <v/>
      </c>
      <c r="FF53" s="42">
        <f>IF(AND(Tasks[[#This Row],[_IsLeaf]]=1,Tasks[[#This Row],[_ConstraintCode]]=1,Tasks[[#This Row],[Mode]]&lt;&gt;"Manual",N(Tasks[[#This Row],[Actual Start]])=0),MAX(0,N(Tasks[[#This Row],[Free Slack]])),0)</f>
        <v/>
      </c>
      <c r="FG53" s="88">
        <f>IF(NOT(Tasks[[#This Row],[_IsLeaf]]=1),"",IF(Tasks[[#This Row],[_AlapShift]]=0,Tasks[[#This Row],[_LeafCalcStart]],WORKDAY.INTL(Tasks[[#This Row],[_LeafCalcStart]],Tasks[[#This Row],[_AlapShift]],WorkWeek,Holidays)))</f>
        <v/>
      </c>
      <c r="FH53" s="88">
        <f>IF(NOT(Tasks[[#This Row],[_IsLeaf]]=1),"",IF(Tasks[[#This Row],[_AlapShift]]=0,Tasks[[#This Row],[_LeafCalcFinish]],WORKDAY.INTL(Tasks[[#This Row],[_LeafCalcFinish]],Tasks[[#This Row],[_AlapShift]],WorkWeek,Holidays)))</f>
        <v/>
      </c>
      <c r="FI53" s="88">
        <f>IF(NOT(Tasks[[#This Row],[_IsLeaf]]=1),"",IF(Tasks[[#This Row],[_AlapShift]]=0,Tasks[[#This Row],[_LeafFcstStart]],WORKDAY.INTL(Tasks[[#This Row],[_LeafFcstStart]],Tasks[[#This Row],[_AlapShift]],WorkWeek,Holidays)))</f>
        <v/>
      </c>
      <c r="FJ53" s="88">
        <f>IF(NOT(Tasks[[#This Row],[_IsLeaf]]=1),"",IF(Tasks[[#This Row],[_AlapShift]]=0,Tasks[[#This Row],[_LeafFcstFinish]],WORKDAY.INTL(Tasks[[#This Row],[_LeafFcstFinish]],Tasks[[#This Row],[_AlapShift]],WorkWeek,Holidays)))</f>
        <v/>
      </c>
      <c r="FK53" s="88">
        <f>IF(Tasks[[#This Row],[Task Name]]="","",IF(Tasks[[#This Row],[_IsSummary]],MIN(INDEX(Tasks[_ShownCalcStart],Tasks[[#This Row],[_Row]]+1):INDEX(Tasks[_ShownCalcStart],Tasks[[#This Row],[_Row]]+Tasks[[#This Row],[_Descendants]])),Tasks[[#This Row],[_ShownCalcStart]]))</f>
        <v/>
      </c>
      <c r="FL53" s="88">
        <f>IF(Tasks[[#This Row],[Task Name]]="","",IF(Tasks[[#This Row],[_IsSummary]],MAX(INDEX(Tasks[_ShownCalcFinish],Tasks[[#This Row],[_Row]]+1):INDEX(Tasks[_ShownCalcFinish],Tasks[[#This Row],[_Row]]+Tasks[[#This Row],[_Descendants]])),Tasks[[#This Row],[_ShownCalcFinish]]))</f>
        <v/>
      </c>
      <c r="FM5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3" s="42">
        <f>IF(AND(Tasks[[#This Row],[_IsLeaf]]=1,Tasks[[#This Row],[_LeafTotalWork]]&gt;0),NETWORKDAYS.INTL(ProjectStart,Tasks[[#This Row],[_ShownFcstStart]],WorkWeek,Holidays),0)</f>
        <v/>
      </c>
      <c r="FZ53" s="42">
        <f>IF(AND(Tasks[[#This Row],[_IsLeaf]]=1,Tasks[[#This Row],[_LeafTotalWork]]&gt;0),MAX(Tasks[[#This Row],[_StartWorkday]],NETWORKDAYS.INTL(ProjectStart,Tasks[[#This Row],[_ShownFcstFinish]],WorkWeek,Holidays)),0)</f>
        <v/>
      </c>
      <c r="GA53" s="42">
        <f>IF(AND(Tasks[[#This Row],[_IsLeaf]]=1,Tasks[[#This Row],[_LeafTotalWork]]&gt;0),Tasks[[#This Row],[_LeafWork]]/(Tasks[[#This Row],[_FinishWorkday]]-Tasks[[#This Row],[_StartWorkday]]+1),0)</f>
        <v/>
      </c>
      <c r="GB53" s="42">
        <f>Tasks[[#This Row],[_WorkPerWorkday]]*(Tasks[[#This Row],[_StartWorkday]]-1)</f>
        <v/>
      </c>
      <c r="GC53" s="42">
        <f>IF(Tasks[[#This Row],[_IsLeaf]]=1,MAX(N(Tasks[[#This Row],[_Days]]),0.1),0)</f>
        <v/>
      </c>
      <c r="GD53" s="42">
        <f>Tasks[[#This Row],[_WeightDur]]*Tasks[[#This Row],[_LeafProgress]]</f>
        <v/>
      </c>
      <c r="GE53" s="42">
        <f>Tasks[[#This Row],[_WeightDur]]*Tasks[[#This Row],[_PlannedPct]]</f>
        <v/>
      </c>
      <c r="GF5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3" s="42">
        <f>IF(AND(Tasks[[#This Row],[_IsLeaf]]=1,N(Tasks[[#This Row],[_Days]])=0,Tasks[[#This Row],[_LeafProgress]]&lt;1),Tasks[[#This Row],[_ShownFcstFinish]]+Tasks[[#This Row],[_Row]]/100000,"")</f>
        <v/>
      </c>
      <c r="GH5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3" s="42">
        <f>IF(Tasks[[#This Row],[Task Name]]="","",LEFT(Tasks[[#This Row],[WBS]],FIND(".",Tasks[[#This Row],[WBS]]&amp;".")-1))</f>
        <v/>
      </c>
      <c r="GJ53" s="42">
        <f>IF(AND(Tasks[[#This Row],[Task Name]]&lt;&gt;"",Tasks[[#This Row],[_Level]]=1),Tasks[[#This Row],[_Row]],"")</f>
        <v/>
      </c>
      <c r="GK53" s="42">
        <f>IF(AND(Tasks[[#This Row],[_IsLeaf]]=1,N(Tasks[[#This Row],[_Days]])=0),Tasks[[#This Row],[Planned Finish]]+Tasks[[#This Row],[_Row]]/100000,"")</f>
        <v/>
      </c>
      <c r="GL53" s="42">
        <f>IF(AND(Tasks[[#This Row],[_IsLeaf]]=1,Tasks[[#This Row],[_LeafProgress]]&lt;1,OR(N(Tasks[[#This Row],[Finish Var]])&gt;0,Tasks[[#This Row],[Status]]="Late Start")),MAX(0,Tasks[[#This Row],[Finish Var]])+1-Tasks[[#This Row],[_Row]]/1000000,"")</f>
        <v/>
      </c>
      <c r="GM53" s="42">
        <f>IF(AND(Tasks[[#This Row],[_IsLeaf]]=1,N(Tasks[[#This Row],[Actual Start]])=0,Tasks[[#This Row],[_ShownFcstStart]]&gt;=StatusDate,Tasks[[#This Row],[_ShownFcstStart]]&lt;=LookaheadEnd),Tasks[[#This Row],[_ShownFcstStart]]+Tasks[[#This Row],[_Row]]/100000,"")</f>
        <v/>
      </c>
      <c r="GN53" s="42">
        <f>IF(AND(Tasks[[#This Row],[_IsLeaf]]=1,Tasks[[#This Row],[_LeafProgress]]&lt;1,Tasks[[#This Row],[_ShownFcstFinish]]&gt;=StatusDate,Tasks[[#This Row],[_ShownFcstFinish]]&lt;=LookaheadEnd),Tasks[[#This Row],[_ShownFcstFinish]]+Tasks[[#This Row],[_Row]]/100000,"")</f>
        <v/>
      </c>
      <c r="GO53" s="42">
        <f>IF(Tasks[[#This Row],[_LeafCritical]],Tasks[[#This Row],[_ShownFcstStart]]+Tasks[[#This Row],[_Row]]/100000,"")</f>
        <v/>
      </c>
      <c r="GP53" s="42">
        <f>Tasks[[#This Row],[_LeafWork]]*Tasks[[#This Row],[_LeafProgress]]</f>
        <v/>
      </c>
      <c r="GQ53" s="88">
        <f>IF(AND(Tasks[[#This Row],[_IsLeaf]]=1,Tasks[[#This Row],[_LeafProgress]]&gt;=1),IF(N(Tasks[[#This Row],[Actual Finish]])&gt;0,Tasks[[#This Row],[Actual Finish]],Tasks[[#This Row],[_ShownFcstFinish]]),"")</f>
        <v/>
      </c>
      <c r="GR53" s="42">
        <f>IF(Tasks[[#This Row],[_IsLeaf]]=1,N(Tasks[[#This Row],[Story Points]]),0)</f>
        <v/>
      </c>
      <c r="GS53" s="42">
        <f>""</f>
        <v/>
      </c>
      <c r="GT53" s="42">
        <f>IF(Tasks[[#This Row],[Task Name]]="",FALSE(),AND(Tasks[[#This Row],[_IsLeaf]]=1,N(Tasks[[#This Row],[_Days]])=0))</f>
        <v/>
      </c>
      <c r="GU53" s="88">
        <f>IF(Tasks[[#This Row],[Task Name]]="",0,IF(AND(Tasks[[#This Row],[_IsLeaf]]=1,NOT(Tasks[[#This Row],[_IsMilestone]]),N(Tasks[[#This Row],[Progress]])&gt;0),Tasks[[#This Row],[Start]],0))</f>
        <v/>
      </c>
      <c r="GV53" s="88">
        <f>IF(Tasks[[#This Row],[_DoneFrom]]=0,0,IF(Tasks[[#This Row],[Progress]]&gt;=1,Tasks[[#This Row],[Finish]],MAX(Tasks[[#This Row],[_DoneFrom]],Tasks[[#This Row],[Start]]+ROUND((Tasks[[#This Row],[Finish]]-Tasks[[#This Row],[Start]]+1)*Tasks[[#This Row],[Progress]],0)-1)))</f>
        <v/>
      </c>
      <c r="GW53" s="88">
        <f>IF(Tasks[[#This Row],[Task Name]]="",0,IF(OR(NOT(Tasks[[#This Row],[_IsLeaf]]=1),Tasks[[#This Row],[_IsMilestone]],N(Tasks[[#This Row],[Progress]])&gt;=1),0,IF(Tasks[[#This Row],[_DoneTo]]&gt;0,Tasks[[#This Row],[_DoneTo]]+1,Tasks[[#This Row],[Start]])))</f>
        <v/>
      </c>
      <c r="GX53" s="88">
        <f>IF(Tasks[[#This Row],[_RemFrom]]=0,0,Tasks[[#This Row],[Finish]])</f>
        <v/>
      </c>
      <c r="GY53" s="42">
        <f>IF(Tasks[[#This Row],[Task Name]]="",FALSE(),OR(NOT(BaselineSet),N(Tasks[[#This Row],[Baseline Start]])&gt;0))</f>
        <v/>
      </c>
      <c r="GZ53" s="42">
        <f>IF(AND(Sandbox="Yes",L_PARSE_DURATION(Tasks[[#This Row],[Sandbox Duration]])&lt;&gt;""),L_PARSE_DURATION(Tasks[[#This Row],[Sandbox Duration]]),L_PARSE_DURATION(Tasks[[#This Row],[Duration]]))</f>
        <v/>
      </c>
      <c r="HA5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3" s="42">
        <f>IF(Tasks[[#This Row],[_IsLeaf]]=1,Tasks[[#This Row],[_Row]],"")</f>
        <v/>
      </c>
      <c r="HD53" s="42">
        <f>IFERROR(INDEX(Tasks[UID],SMALL(Tasks[_PickKey],Tasks[[#This Row],[_Row]]))&amp;" "&amp;INDEX(Tasks[Task Name],SMALL(Tasks[_PickKey],Tasks[[#This Row],[_Row]])),"")</f>
        <v/>
      </c>
      <c r="HE53" s="42">
        <f>IF(Tasks[[#This Row],[Task Name]]="","",IF(Tasks[[#This Row],[_IsSummary]],NETWORKDAYS.INTL(Tasks[[#This Row],[Start]],Tasks[[#This Row],[Finish]],WorkWeek,Holidays),N(Tasks[[#This Row],[_Days]])))</f>
        <v/>
      </c>
      <c r="HF53" s="42">
        <f>IF(Tasks[[#This Row],[Expected]]="",0,((Tasks[[#This Row],[Pessimistic]]-Tasks[[#This Row],[Optimistic]])/6)^2)</f>
        <v/>
      </c>
      <c r="HG53" s="42">
        <f>IF(Tasks[[#This Row],[Expected]]="",0,Tasks[[#This Row],[Expected]]-N(Tasks[[#This Row],[_Days]]))</f>
        <v/>
      </c>
    </row>
    <row r="54">
      <c r="A54" s="21">
        <f>IF(Tasks[[#This Row],[Task Name]]="","",COUNTA(Tasks[[#Headers],[Task Name]]:Tasks[[#This Row],[Task Name]])-1)</f>
        <v/>
      </c>
      <c r="B54" s="22" t="n">
        <v>62</v>
      </c>
      <c r="C54" s="22" t="n"/>
      <c r="D54" s="23" t="n"/>
      <c r="E54" s="22" t="n"/>
      <c r="F54" s="23" t="n"/>
      <c r="G54" s="22" t="n"/>
      <c r="H54" s="22" t="n"/>
      <c r="I54" s="23" t="n"/>
      <c r="J54" s="22" t="n"/>
      <c r="K54" s="22" t="n"/>
      <c r="L54" s="23" t="n"/>
      <c r="M54" s="22" t="n"/>
      <c r="N54" s="22" t="n"/>
      <c r="O54" s="23" t="n"/>
      <c r="P54" s="22" t="n"/>
      <c r="Q54" s="22" t="n"/>
      <c r="R54" s="23" t="n"/>
      <c r="S54" s="23" t="n"/>
      <c r="T54" s="82" t="n"/>
      <c r="U54" s="23" t="n"/>
      <c r="V54" s="82" t="n"/>
      <c r="W54" s="23" t="n"/>
      <c r="X54" s="82" t="n"/>
      <c r="Y54" s="23" t="n"/>
      <c r="Z54" s="82" t="n"/>
      <c r="AA54" s="23" t="n"/>
      <c r="AB54" s="23" t="n"/>
      <c r="AC54" s="7" t="n"/>
      <c r="AD54" s="7" t="n"/>
      <c r="AE54" s="61">
        <f>IF(Tasks[[#This Row],[Task Name]]="","",IF(Tasks[[#This Row],[_IsSummary]],MIN(INDEX(Tasks[_ShownFcstStart],Tasks[[#This Row],[_Row]]+1):INDEX(Tasks[_ShownFcstStart],Tasks[[#This Row],[_Row]]+Tasks[[#This Row],[_Descendants]])),Tasks[[#This Row],[_ShownFcstStart]]))</f>
        <v/>
      </c>
      <c r="AF54" s="61">
        <f>IF(Tasks[[#This Row],[Task Name]]="","",IF(Tasks[[#This Row],[_IsSummary]],MAX(INDEX(Tasks[_ShownFcstFinish],Tasks[[#This Row],[_Row]]+1):INDEX(Tasks[_ShownFcstFinish],Tasks[[#This Row],[_Row]]+Tasks[[#This Row],[_Descendants]])),Tasks[[#This Row],[_ShownFcstFinish]]))</f>
        <v/>
      </c>
      <c r="AG54" s="21">
        <f>""</f>
        <v/>
      </c>
      <c r="AH54" s="23" t="n"/>
      <c r="AI5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4" s="7" t="n"/>
      <c r="AK54" s="22" t="n"/>
      <c r="AL54" s="23" t="n"/>
      <c r="AM54" s="7" t="n"/>
      <c r="AN54" s="21">
        <f>IF(Tasks[[#This Row],[Task Name]]="","",IF(Tasks[[#This Row],[Finish]]&gt;=Tasks[[#This Row],[Planned Finish]],NETWORKDAYS.INTL(Tasks[[#This Row],[Planned Finish]],Tasks[[#This Row],[Finish]],WorkWeek,Holidays)-1,1-NETWORKDAYS.INTL(Tasks[[#This Row],[Finish]],Tasks[[#This Row],[Planned Finish]],WorkWeek,Holidays)))</f>
        <v/>
      </c>
      <c r="AO54" s="21">
        <f>IF(Tasks[[#This Row],[Task Name]]="","",IF(Tasks[[#This Row],[Progress]]&gt;=1,"Complete",IF(OR(N(Tasks[[#This Row],[Actual Start]])&gt;0,Tasks[[#This Row],[Progress]]&gt;0),IF(Tasks[[#This Row],[Finish Var]]&gt;0,"Behind","In Progress"),IF(Tasks[[#This Row],[Planned Start]]&lt;StatusDate,"Late Start","Not Started"))))</f>
        <v/>
      </c>
      <c r="AP54" s="21">
        <f>IF(Tasks[[#This Row],[Task Name]]="","",IF(IF(Tasks[[#This Row],[_IsSummary]],COUNTIF(INDEX(Tasks[_LeafCritical],Tasks[[#This Row],[_Row]]+1):INDEX(Tasks[_LeafCritical],Tasks[[#This Row],[_Row]]+Tasks[[#This Row],[_Descendants]]),TRUE())&gt;0,Tasks[[#This Row],[_LeafCritical]]),"Yes",""))</f>
        <v/>
      </c>
      <c r="AQ54" s="61">
        <f>IF(Tasks[[#This Row],[Task Name]]="","",IF(N(Tasks[[#This Row],[Baseline Start]])&gt;0,Tasks[[#This Row],[Baseline Start]],Tasks[[#This Row],[_CalcStart]]))</f>
        <v/>
      </c>
      <c r="AR54" s="61">
        <f>IF(Tasks[[#This Row],[Task Name]]="","",IF(N(Tasks[[#This Row],[Baseline Finish]])&gt;0,Tasks[[#This Row],[Baseline Finish]],Tasks[[#This Row],[_CalcFinish]]))</f>
        <v/>
      </c>
      <c r="AS54" s="21">
        <f>IF(Tasks[[#This Row],[Task Name]]="","",IF(Tasks[[#This Row],[Start]]&gt;=Tasks[[#This Row],[Planned Start]],NETWORKDAYS.INTL(Tasks[[#This Row],[Planned Start]],Tasks[[#This Row],[Start]],WorkWeek,Holidays)-1,1-NETWORKDAYS.INTL(Tasks[[#This Row],[Start]],Tasks[[#This Row],[Planned Start]],WorkWeek,Holidays)))</f>
        <v/>
      </c>
      <c r="AT54" s="61">
        <f>IF(Tasks[[#This Row],[Task Name]]="","",IF(Tasks[[#This Row],[_IsSummary]],MIN(INDEX(Tasks[_LeafLateStart],Tasks[[#This Row],[_Row]]+1):INDEX(Tasks[_LeafLateStart],Tasks[[#This Row],[_Row]]+Tasks[[#This Row],[_Descendants]])),Tasks[[#This Row],[_LeafLateStart]]))</f>
        <v/>
      </c>
      <c r="AU54" s="61">
        <f>IF(Tasks[[#This Row],[Task Name]]="","",IF(Tasks[[#This Row],[_IsSummary]],MAX(INDEX(Tasks[_LeafLateFinish],Tasks[[#This Row],[_Row]]+1):INDEX(Tasks[_LeafLateFinish],Tasks[[#This Row],[_Row]]+Tasks[[#This Row],[_Descendants]])),Tasks[[#This Row],[_LeafLateFinish]]))</f>
        <v/>
      </c>
      <c r="AV54" s="21">
        <f>IF(Tasks[[#This Row],[Task Name]]="","",IF(Tasks[[#This Row],[_IsSummary]],MIN(INDEX(Tasks[_LeafTotalSlack],Tasks[[#This Row],[_Row]]+1):INDEX(Tasks[_LeafTotalSlack],Tasks[[#This Row],[_Row]]+Tasks[[#This Row],[_Descendants]])),Tasks[[#This Row],[_LeafTotalSlack]]))</f>
        <v/>
      </c>
      <c r="AW5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3" t="n"/>
      <c r="BA5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f>IF(Tasks[[#This Row],[Task Name]]="","",IF(Tasks[[#This Row],[_Level]]&lt;=OutlineShowLevel,"Yes","No"))</f>
        <v/>
      </c>
      <c r="BE54" s="84">
        <f>IF(Tasks[[#This Row],[Task Name]]="","",IF(Tasks[[#This Row],[_IsSummary]],SUM(INDEX(Tasks[_LeafTotalWork],Tasks[[#This Row],[_Row]]+1):INDEX(Tasks[_LeafTotalWork],Tasks[[#This Row],[_Row]]+Tasks[[#This Row],[_Descendants]])),Tasks[[#This Row],[_LeafTotalWork]]))</f>
        <v/>
      </c>
      <c r="BF54" s="23" t="n"/>
      <c r="BG5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f>""</f>
        <v/>
      </c>
      <c r="BI54" s="85" t="n"/>
      <c r="BJ54" s="22" t="n"/>
      <c r="BK54" s="21">
        <f>IF(OR(Tasks[[#This Row],[Task Name]]="",Tasks[[#This Row],[Baseline Duration]]=""),"",Tasks[[#This Row],[_SpanDays]]-N(Tasks[[#This Row],[Baseline Duration]]))</f>
        <v/>
      </c>
      <c r="BL54" s="84">
        <f>IF(OR(Tasks[[#This Row],[Task Name]]="",Tasks[[#This Row],[Baseline Work]]=""),"",Tasks[[#This Row],[Work]]-N(Tasks[[#This Row],[Baseline Work]]))</f>
        <v/>
      </c>
      <c r="BM54" s="61">
        <f>IF(Tasks[[#This Row],[Task Name]]="","",IF(OR(TakeBaseline="Yes",N(Tasks[[#This Row],[Baseline Start]])=0),Tasks[[#This Row],[Start]],Tasks[[#This Row],[Baseline Start]]))</f>
        <v/>
      </c>
      <c r="BN54" s="61">
        <f>IF(Tasks[[#This Row],[Task Name]]="","",IF(OR(TakeBaseline="Yes",N(Tasks[[#This Row],[Baseline Finish]])=0),Tasks[[#This Row],[Finish]],Tasks[[#This Row],[Baseline Finish]]))</f>
        <v/>
      </c>
      <c r="BO54" s="21">
        <f>IF(Tasks[[#This Row],[Task Name]]="","",IF(OR(TakeBaseline="Yes",N(Tasks[[#This Row],[Baseline Duration]])=0),Tasks[[#This Row],[_SpanDays]],Tasks[[#This Row],[Baseline Duration]]))</f>
        <v/>
      </c>
      <c r="BP54" s="84">
        <f>IF(Tasks[[#This Row],[Task Name]]="","",IF(OR(TakeBaseline="Yes",N(Tasks[[#This Row],[Baseline Work]])=0),Tasks[[#This Row],[Work]],Tasks[[#This Row],[Baseline Work]]))</f>
        <v/>
      </c>
      <c r="BQ54" s="7" t="n"/>
      <c r="BR54" s="7" t="n"/>
      <c r="BS54" s="22" t="n"/>
      <c r="BT54" s="86" t="n"/>
      <c r="BU54" s="23" t="n"/>
      <c r="BV54" s="23" t="n"/>
      <c r="BW54" s="23" t="n"/>
      <c r="BX54" s="87">
        <f>IF(AND(Tasks[[#This Row],[_IsLeaf]]=1,ISNUMBER(Tasks[[#This Row],[Optimistic]]),ISNUMBER(Tasks[[#This Row],[Pessimistic]])),ROUND((Tasks[[#This Row],[Optimistic]]+4*N(Tasks[[#This Row],[_Days]])+Tasks[[#This Row],[Pessimistic]])/6,1),"")</f>
        <v/>
      </c>
      <c r="BY54" s="85" t="n"/>
      <c r="BZ54" s="85" t="n"/>
      <c r="CA54" s="22" t="n"/>
      <c r="CB54" s="42">
        <f>IF(Tasks[[#This Row],[Task Name]]="","",MAX(1,N(Tasks[[#This Row],[Level]])))</f>
        <v/>
      </c>
      <c r="CC54" s="42">
        <f>ROW()-ROW(Tasks[[#Headers],[ID]])</f>
        <v/>
      </c>
      <c r="CD54" s="42">
        <f>IF(OR(Tasks[[#This Row],[Task Name]]="",Tasks[[#This Row],[_Level]]&lt;=1),0,IFERROR(LOOKUP(2,1/(Tasks[[#Headers],[_Level]]:Tasks[[#This Row],[_Level]]=Tasks[[#This Row],[_Level]]-1),ROW(Tasks[[#Headers],[_Level]]:Tasks[[#This Row],[_Level]])),0))</f>
        <v/>
      </c>
      <c r="CE54" s="42">
        <f>IFERROR(N(INDEX(Tasks[_Level],Tasks[[#This Row],[_Row]]+1)),0)</f>
        <v/>
      </c>
      <c r="CF54" s="42">
        <f>AND(Tasks[[#This Row],[Task Name]]&lt;&gt;"",Tasks[[#This Row],[_NextLevel]]&gt;Tasks[[#This Row],[_Level]])</f>
        <v/>
      </c>
      <c r="CG54" s="42">
        <f>IF(Tasks[[#This Row],[_IsSummary]],COUNTIF(Tasks[WBS],Tasks[[#This Row],[WBS]]&amp;".*"),0)</f>
        <v/>
      </c>
      <c r="CH54" s="42">
        <f>IF(AND(Tasks[[#This Row],[Task Name]]&lt;&gt;"",NOT(Tasks[[#This Row],[_IsSummary]])),1,0)</f>
        <v/>
      </c>
      <c r="CI54" s="42">
        <f>IF(N(Tasks[[#This Row],[_Pred1UID]])=0,0,IFERROR(MATCH(Tasks[[#This Row],[_Pred1UID]],Tasks[UID],0),-1))</f>
        <v/>
      </c>
      <c r="CJ54" s="42">
        <f>IF(N(Tasks[[#This Row],[_Pred2UID]])=0,0,IFERROR(MATCH(Tasks[[#This Row],[_Pred2UID]],Tasks[UID],0),-1))</f>
        <v/>
      </c>
      <c r="CK54" s="42">
        <f>IF(N(Tasks[[#This Row],[_Pred3UID]])=0,0,IFERROR(MATCH(Tasks[[#This Row],[_Pred3UID]],Tasks[UID],0),-1))</f>
        <v/>
      </c>
      <c r="CL54" s="42">
        <f>IF(N(Tasks[[#This Row],[_Pred4UID]])=0,0,IFERROR(MATCH(Tasks[[#This Row],[_Pred4UID]],Tasks[UID],0),-1))</f>
        <v/>
      </c>
      <c r="CM5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4" s="88">
        <f>IF(N(Tasks[[#This Row],[Constraint Date]])=0,0,IF(AND(OR(Tasks[[#This Row],[_ConstraintCode]]=3,Tasks[[#This Row],[_ConstraintCode]]=6,Tasks[[#This Row],[_ConstraintCode]]=7),N(Tasks[[#This Row],[_Days]])&gt;1),WORKDAY.INTL(N(Tasks[[#This Row],[Constraint Date]]),-(N(Tasks[[#This Row],[_Days]])-1),WorkWeek,Holidays),N(Tasks[[#This Row],[Constraint Date]])))</f>
        <v/>
      </c>
      <c r="CO54" s="88">
        <f>IF(OR(Tasks[[#This Row],[_ConstraintCode]]=2,Tasks[[#This Row],[_ConstraintCode]]=3,Tasks[[#This Row],[_ConstraintCode]]=4,Tasks[[#This Row],[_ConstraintCode]]=6),Tasks[[#This Row],[_ConstraintStart]],0)</f>
        <v/>
      </c>
      <c r="CP54" s="88">
        <f>IF(OR(Tasks[[#This Row],[_ConstraintCode]]=2,Tasks[[#This Row],[_ConstraintCode]]=3,Tasks[[#This Row],[_ConstraintCode]]=5,Tasks[[#This Row],[_ConstraintCode]]=7),Tasks[[#This Row],[_ConstraintStart]],2958465)</f>
        <v/>
      </c>
      <c r="CQ5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4" s="88">
        <f>IF(NOT(Tasks[[#This Row],[_IsLeaf]]=1),"",IF(N(Tasks[[#This Row],[_Days]])&lt;=0,Tasks[[#This Row],[_LeafCalcStart]],WORKDAY.INTL(Tasks[[#This Row],[_LeafCalcStart]],Tasks[[#This Row],[_Days]]-1,WorkWeek,Holidays)))</f>
        <v/>
      </c>
      <c r="CS5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4" s="42">
        <f>IF(Tasks[[#This Row],[_Predecessors]]="","",TRIM(MID(SUBSTITUTE(SUBSTITUTE(SUBSTITUTE(UPPER(Tasks[[#This Row],[_Predecessors]]),";",",")," ",""),",",REPT(" ",99)),1,99)))</f>
        <v/>
      </c>
      <c r="CV54" s="42">
        <f>IF(Tasks[[#This Row],[_Pred1Text]]="","",IFERROR(VALUE(LEFT(Tasks[[#This Row],[_Pred1Text]],MIN(FIND("F",Tasks[[#This Row],[_Pred1Text]]&amp;"F"),FIND("S",Tasks[[#This Row],[_Pred1Text]]&amp;"S"),FIND("+",Tasks[[#This Row],[_Pred1Text]]&amp;"+"),FIND("-",Tasks[[#This Row],[_Pred1Text]]&amp;"-"))-1)),""))</f>
        <v/>
      </c>
      <c r="CW5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4" s="42">
        <f>IF(Tasks[[#This Row],[_Pred1Text]]="","",TRIM(MID(SUBSTITUTE(SUBSTITUTE(SUBSTITUTE(UPPER(Tasks[[#This Row],[_Predecessors]]),";",",")," ",""),",",REPT(" ",99)),100,99)))</f>
        <v/>
      </c>
      <c r="CZ54" s="42">
        <f>IF(Tasks[[#This Row],[_Pred2Text]]="","",IFERROR(VALUE(LEFT(Tasks[[#This Row],[_Pred2Text]],MIN(FIND("F",Tasks[[#This Row],[_Pred2Text]]&amp;"F"),FIND("S",Tasks[[#This Row],[_Pred2Text]]&amp;"S"),FIND("+",Tasks[[#This Row],[_Pred2Text]]&amp;"+"),FIND("-",Tasks[[#This Row],[_Pred2Text]]&amp;"-"))-1)),""))</f>
        <v/>
      </c>
      <c r="DA5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4" s="42">
        <f>IF(Tasks[[#This Row],[_Pred2Text]]="","",TRIM(MID(SUBSTITUTE(SUBSTITUTE(SUBSTITUTE(UPPER(Tasks[[#This Row],[_Predecessors]]),";",",")," ",""),",",REPT(" ",99)),199,99)))</f>
        <v/>
      </c>
      <c r="DD54" s="42">
        <f>IF(Tasks[[#This Row],[_Pred3Text]]="","",IFERROR(VALUE(LEFT(Tasks[[#This Row],[_Pred3Text]],MIN(FIND("F",Tasks[[#This Row],[_Pred3Text]]&amp;"F"),FIND("S",Tasks[[#This Row],[_Pred3Text]]&amp;"S"),FIND("+",Tasks[[#This Row],[_Pred3Text]]&amp;"+"),FIND("-",Tasks[[#This Row],[_Pred3Text]]&amp;"-"))-1)),""))</f>
        <v/>
      </c>
      <c r="DE5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4" s="42">
        <f>IF(Tasks[[#This Row],[_Pred3Text]]="","",TRIM(MID(SUBSTITUTE(SUBSTITUTE(SUBSTITUTE(UPPER(Tasks[[#This Row],[_Predecessors]]),";",",")," ",""),",",REPT(" ",99)),298,99)))</f>
        <v/>
      </c>
      <c r="DH54" s="42">
        <f>IF(Tasks[[#This Row],[_Pred4Text]]="","",IFERROR(VALUE(LEFT(Tasks[[#This Row],[_Pred4Text]],MIN(FIND("F",Tasks[[#This Row],[_Pred4Text]]&amp;"F"),FIND("S",Tasks[[#This Row],[_Pred4Text]]&amp;"S"),FIND("+",Tasks[[#This Row],[_Pred4Text]]&amp;"+"),FIND("-",Tasks[[#This Row],[_Pred4Text]]&amp;"-"))-1)),""))</f>
        <v/>
      </c>
      <c r="DI5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4" s="42">
        <f>IF(OR(Tasks[[#This Row],[Task Name]]="",Tasks[[#This Row],[_Resources]]=""),"",TRIM(MID(SUBSTITUTE(Tasks[[#This Row],[_Resources]],",",REPT(" ",99)),1,99)))</f>
        <v/>
      </c>
      <c r="DL54" s="42">
        <f>IF(Tasks[[#This Row],[_Res1Text]]="","",TRIM(MID(SUBSTITUTE(Tasks[[#This Row],[_Resources]],",",REPT(" ",99)),100,99)))</f>
        <v/>
      </c>
      <c r="DM54" s="42">
        <f>IF(Tasks[[#This Row],[_Res2Text]]="","",TRIM(MID(SUBSTITUTE(Tasks[[#This Row],[_Resources]],",",REPT(" ",99)),199,99)))</f>
        <v/>
      </c>
      <c r="DN54" s="42">
        <f>IF(Tasks[[#This Row],[_Res3Text]]="","",TRIM(MID(SUBSTITUTE(Tasks[[#This Row],[_Resources]],",",REPT(" ",99)),298,99)))</f>
        <v/>
      </c>
      <c r="DO54" s="42">
        <f>IF(Tasks[[#This Row],[_Res1Text]]="",0,IFERROR(MATCH(TRIM(LEFT(Tasks[[#This Row],[_Res1Text]],FIND("[",Tasks[[#This Row],[_Res1Text]]&amp;"[")-1)),res_Name,0),IFERROR(MATCH(TRIM(LEFT(Tasks[[#This Row],[_Res1Text]],FIND("[",Tasks[[#This Row],[_Res1Text]]&amp;"[")-1)),res_Initials,0),0)))</f>
        <v/>
      </c>
      <c r="DP54" s="42">
        <f>IF(Tasks[[#This Row],[_Res2Text]]="",0,IFERROR(MATCH(TRIM(LEFT(Tasks[[#This Row],[_Res2Text]],FIND("[",Tasks[[#This Row],[_Res2Text]]&amp;"[")-1)),res_Name,0),IFERROR(MATCH(TRIM(LEFT(Tasks[[#This Row],[_Res2Text]],FIND("[",Tasks[[#This Row],[_Res2Text]]&amp;"[")-1)),res_Initials,0),0)))</f>
        <v/>
      </c>
      <c r="DQ54" s="42">
        <f>IF(Tasks[[#This Row],[_Res3Text]]="",0,IFERROR(MATCH(TRIM(LEFT(Tasks[[#This Row],[_Res3Text]],FIND("[",Tasks[[#This Row],[_Res3Text]]&amp;"[")-1)),res_Name,0),IFERROR(MATCH(TRIM(LEFT(Tasks[[#This Row],[_Res3Text]],FIND("[",Tasks[[#This Row],[_Res3Text]]&amp;"[")-1)),res_Initials,0),0)))</f>
        <v/>
      </c>
      <c r="DR54" s="42">
        <f>IF(Tasks[[#This Row],[_Res4Text]]="",0,IFERROR(MATCH(TRIM(LEFT(Tasks[[#This Row],[_Res4Text]],FIND("[",Tasks[[#This Row],[_Res4Text]]&amp;"[")-1)),res_Name,0),IFERROR(MATCH(TRIM(LEFT(Tasks[[#This Row],[_Res4Text]],FIND("[",Tasks[[#This Row],[_Res4Text]]&amp;"[")-1)),res_Initials,0),0)))</f>
        <v/>
      </c>
      <c r="DS54" s="42">
        <f>IF(Tasks[[#This Row],[_Res1Text]]="","",IF(Tasks[[#This Row],[_Res1Row]]&gt;0,INDEX(res_Name,Tasks[[#This Row],[_Res1Row]]),TRIM(LEFT(Tasks[[#This Row],[_Res1Text]],FIND("[",Tasks[[#This Row],[_Res1Text]]&amp;"[")-1))))</f>
        <v/>
      </c>
      <c r="DT5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4" s="42">
        <f>IF(NOT(Tasks[[#This Row],[_IsLeaf]]=1),0,(Tasks[[#This Row],[_Resource1]]&lt;&gt;"")+(Tasks[[#This Row],[_Res2]]&lt;&gt;"")+(Tasks[[#This Row],[_Res3]]&lt;&gt;"")+(Tasks[[#This Row],[_Res4]]&lt;&gt;""))</f>
        <v/>
      </c>
      <c r="DV54" s="42">
        <f>IF(Tasks[[#This Row],[_Res2Text]]="","",IF(Tasks[[#This Row],[_Res2Row]]&gt;0,INDEX(res_Name,Tasks[[#This Row],[_Res2Row]]),TRIM(LEFT(Tasks[[#This Row],[_Res2Text]],FIND("[",Tasks[[#This Row],[_Res2Text]]&amp;"[")-1))))</f>
        <v/>
      </c>
      <c r="DW5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4" s="42">
        <f>IF(OR(NOT(Tasks[[#This Row],[_IsLeaf]]=1),Tasks[[#This Row],[_Res2Row]]=0),0,N(Tasks[[#This Row],[_Days]])*HoursPerDay*IF(Tasks[[#This Row],[_Res2Units]]="",DefaultUnits,Tasks[[#This Row],[_Res2Units]]))</f>
        <v/>
      </c>
      <c r="DY54" s="42">
        <f>IF(AND(AND(Tasks[[#This Row],[_IsLeaf]]=1,Tasks[[#This Row],[_LeafTotalWork]]&gt;0),Tasks[[#This Row],[_Res2Work]]&gt;0),Tasks[[#This Row],[_Res2Work]]/(Tasks[[#This Row],[_FinishWorkday]]-Tasks[[#This Row],[_StartWorkday]]+1),0)</f>
        <v/>
      </c>
      <c r="DZ54" s="42">
        <f>Tasks[[#This Row],[_Res2WorkPerWD]]*MAX(0,Tasks[[#This Row],[_StartWorkday]]-1)</f>
        <v/>
      </c>
      <c r="EA54" s="42">
        <f>Tasks[[#This Row],[_Res2Work]]*Tasks[[#This Row],[_LeafProgress]]</f>
        <v/>
      </c>
      <c r="EB54" s="42">
        <f>IF(Tasks[[#This Row],[_Res3Text]]="","",IF(Tasks[[#This Row],[_Res3Row]]&gt;0,INDEX(res_Name,Tasks[[#This Row],[_Res3Row]]),TRIM(LEFT(Tasks[[#This Row],[_Res3Text]],FIND("[",Tasks[[#This Row],[_Res3Text]]&amp;"[")-1))))</f>
        <v/>
      </c>
      <c r="EC5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4" s="42">
        <f>IF(OR(NOT(Tasks[[#This Row],[_IsLeaf]]=1),Tasks[[#This Row],[_Res3Row]]=0),0,N(Tasks[[#This Row],[_Days]])*HoursPerDay*IF(Tasks[[#This Row],[_Res3Units]]="",DefaultUnits,Tasks[[#This Row],[_Res3Units]]))</f>
        <v/>
      </c>
      <c r="EE54" s="42">
        <f>IF(AND(AND(Tasks[[#This Row],[_IsLeaf]]=1,Tasks[[#This Row],[_LeafTotalWork]]&gt;0),Tasks[[#This Row],[_Res3Work]]&gt;0),Tasks[[#This Row],[_Res3Work]]/(Tasks[[#This Row],[_FinishWorkday]]-Tasks[[#This Row],[_StartWorkday]]+1),0)</f>
        <v/>
      </c>
      <c r="EF54" s="42">
        <f>Tasks[[#This Row],[_Res3WorkPerWD]]*MAX(0,Tasks[[#This Row],[_StartWorkday]]-1)</f>
        <v/>
      </c>
      <c r="EG54" s="42">
        <f>Tasks[[#This Row],[_Res3Work]]*Tasks[[#This Row],[_LeafProgress]]</f>
        <v/>
      </c>
      <c r="EH54" s="42">
        <f>IF(Tasks[[#This Row],[_Res4Text]]="","",IF(Tasks[[#This Row],[_Res4Row]]&gt;0,INDEX(res_Name,Tasks[[#This Row],[_Res4Row]]),TRIM(LEFT(Tasks[[#This Row],[_Res4Text]],FIND("[",Tasks[[#This Row],[_Res4Text]]&amp;"[")-1))))</f>
        <v/>
      </c>
      <c r="EI5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4" s="42">
        <f>IF(OR(NOT(Tasks[[#This Row],[_IsLeaf]]=1),Tasks[[#This Row],[_Res4Row]]=0),0,N(Tasks[[#This Row],[_Days]])*HoursPerDay*IF(Tasks[[#This Row],[_Res4Units]]="",DefaultUnits,Tasks[[#This Row],[_Res4Units]]))</f>
        <v/>
      </c>
      <c r="EK54" s="42">
        <f>IF(AND(AND(Tasks[[#This Row],[_IsLeaf]]=1,Tasks[[#This Row],[_LeafTotalWork]]&gt;0),Tasks[[#This Row],[_Res4Work]]&gt;0),Tasks[[#This Row],[_Res4Work]]/(Tasks[[#This Row],[_FinishWorkday]]-Tasks[[#This Row],[_StartWorkday]]+1),0)</f>
        <v/>
      </c>
      <c r="EL54" s="42">
        <f>Tasks[[#This Row],[_Res4WorkPerWD]]*MAX(0,Tasks[[#This Row],[_StartWorkday]]-1)</f>
        <v/>
      </c>
      <c r="EM54" s="42">
        <f>Tasks[[#This Row],[_Res4Work]]*Tasks[[#This Row],[_LeafProgress]]</f>
        <v/>
      </c>
      <c r="EN54" s="42">
        <f>IF(ISNUMBER(Tasks[[#This Row],[% Complete]]),Tasks[[#This Row],[% Complete]],IF(Tasks[[#This Row],[Stage]]="",0,IFERROR(INDEX(stg_Pct,MATCH(Tasks[[#This Row],[Stage]],stg_Name,0)),0)))</f>
        <v/>
      </c>
      <c r="EO54" s="42">
        <f>IF(NOT(Tasks[[#This Row],[_IsLeaf]]=1),0,IF(N(Tasks[[#This Row],[Actual Finish]])&gt;0,1,MIN(1,Tasks[[#This Row],[_Pct]])))</f>
        <v/>
      </c>
      <c r="EP54" s="42">
        <f>IF(OR(NOT(Tasks[[#This Row],[_IsLeaf]]=1),Tasks[[#This Row],[_Res1Row]]=0),0,N(Tasks[[#This Row],[_Days]])*HoursPerDay*IF(Tasks[[#This Row],[_Units1]]="",DefaultUnits,Tasks[[#This Row],[_Units1]]))</f>
        <v/>
      </c>
      <c r="EQ54" s="42">
        <f>Tasks[[#This Row],[_LeafWork]]+Tasks[[#This Row],[_Res2Work]]+Tasks[[#This Row],[_Res3Work]]+Tasks[[#This Row],[_Res4Work]]</f>
        <v/>
      </c>
      <c r="ER5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4" s="42">
        <f>IF(NOT(Tasks[[#This Row],[_IsLeaf]]=1),0,MAX(_xlfn.MAXIFS(Tasks[_Row],Tasks[_Pred1UID],Tasks[[#This Row],[UID]]),_xlfn.MAXIFS(Tasks[_Row],Tasks[_Pred2UID],Tasks[[#This Row],[UID]]),_xlfn.MAXIFS(Tasks[_Row],Tasks[_Pred3UID],Tasks[[#This Row],[UID]]),_xlfn.MAXIFS(Tasks[_Row],Tasks[_Pred4UID],Tasks[[#This Row],[UID]])))</f>
        <v/>
      </c>
      <c r="FA5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4" s="88">
        <f>IF(NOT(Tasks[[#This Row],[_IsLeaf]]=1),"",IF(N(Tasks[[#This Row],[_Days]])&lt;=0,Tasks[[#This Row],[_LeafLateFinish]],WORKDAY.INTL(Tasks[[#This Row],[_LeafLateFinish]],-(Tasks[[#This Row],[_Days]]-1),WorkWeek,Holidays)))</f>
        <v/>
      </c>
      <c r="FD5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4" s="42">
        <f>AND(Tasks[[#This Row],[_IsLeaf]]=1,Tasks[[#This Row],[_LeafProgress]]&lt;1,N(Tasks[[#This Row],[_LeafTotalSlack]])&lt;=CriticalSlackDays)</f>
        <v/>
      </c>
      <c r="FF54" s="42">
        <f>IF(AND(Tasks[[#This Row],[_IsLeaf]]=1,Tasks[[#This Row],[_ConstraintCode]]=1,Tasks[[#This Row],[Mode]]&lt;&gt;"Manual",N(Tasks[[#This Row],[Actual Start]])=0),MAX(0,N(Tasks[[#This Row],[Free Slack]])),0)</f>
        <v/>
      </c>
      <c r="FG54" s="88">
        <f>IF(NOT(Tasks[[#This Row],[_IsLeaf]]=1),"",IF(Tasks[[#This Row],[_AlapShift]]=0,Tasks[[#This Row],[_LeafCalcStart]],WORKDAY.INTL(Tasks[[#This Row],[_LeafCalcStart]],Tasks[[#This Row],[_AlapShift]],WorkWeek,Holidays)))</f>
        <v/>
      </c>
      <c r="FH54" s="88">
        <f>IF(NOT(Tasks[[#This Row],[_IsLeaf]]=1),"",IF(Tasks[[#This Row],[_AlapShift]]=0,Tasks[[#This Row],[_LeafCalcFinish]],WORKDAY.INTL(Tasks[[#This Row],[_LeafCalcFinish]],Tasks[[#This Row],[_AlapShift]],WorkWeek,Holidays)))</f>
        <v/>
      </c>
      <c r="FI54" s="88">
        <f>IF(NOT(Tasks[[#This Row],[_IsLeaf]]=1),"",IF(Tasks[[#This Row],[_AlapShift]]=0,Tasks[[#This Row],[_LeafFcstStart]],WORKDAY.INTL(Tasks[[#This Row],[_LeafFcstStart]],Tasks[[#This Row],[_AlapShift]],WorkWeek,Holidays)))</f>
        <v/>
      </c>
      <c r="FJ54" s="88">
        <f>IF(NOT(Tasks[[#This Row],[_IsLeaf]]=1),"",IF(Tasks[[#This Row],[_AlapShift]]=0,Tasks[[#This Row],[_LeafFcstFinish]],WORKDAY.INTL(Tasks[[#This Row],[_LeafFcstFinish]],Tasks[[#This Row],[_AlapShift]],WorkWeek,Holidays)))</f>
        <v/>
      </c>
      <c r="FK54" s="88">
        <f>IF(Tasks[[#This Row],[Task Name]]="","",IF(Tasks[[#This Row],[_IsSummary]],MIN(INDEX(Tasks[_ShownCalcStart],Tasks[[#This Row],[_Row]]+1):INDEX(Tasks[_ShownCalcStart],Tasks[[#This Row],[_Row]]+Tasks[[#This Row],[_Descendants]])),Tasks[[#This Row],[_ShownCalcStart]]))</f>
        <v/>
      </c>
      <c r="FL54" s="88">
        <f>IF(Tasks[[#This Row],[Task Name]]="","",IF(Tasks[[#This Row],[_IsSummary]],MAX(INDEX(Tasks[_ShownCalcFinish],Tasks[[#This Row],[_Row]]+1):INDEX(Tasks[_ShownCalcFinish],Tasks[[#This Row],[_Row]]+Tasks[[#This Row],[_Descendants]])),Tasks[[#This Row],[_ShownCalcFinish]]))</f>
        <v/>
      </c>
      <c r="FM5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4" s="42">
        <f>IF(AND(Tasks[[#This Row],[_IsLeaf]]=1,Tasks[[#This Row],[_LeafTotalWork]]&gt;0),NETWORKDAYS.INTL(ProjectStart,Tasks[[#This Row],[_ShownFcstStart]],WorkWeek,Holidays),0)</f>
        <v/>
      </c>
      <c r="FZ54" s="42">
        <f>IF(AND(Tasks[[#This Row],[_IsLeaf]]=1,Tasks[[#This Row],[_LeafTotalWork]]&gt;0),MAX(Tasks[[#This Row],[_StartWorkday]],NETWORKDAYS.INTL(ProjectStart,Tasks[[#This Row],[_ShownFcstFinish]],WorkWeek,Holidays)),0)</f>
        <v/>
      </c>
      <c r="GA54" s="42">
        <f>IF(AND(Tasks[[#This Row],[_IsLeaf]]=1,Tasks[[#This Row],[_LeafTotalWork]]&gt;0),Tasks[[#This Row],[_LeafWork]]/(Tasks[[#This Row],[_FinishWorkday]]-Tasks[[#This Row],[_StartWorkday]]+1),0)</f>
        <v/>
      </c>
      <c r="GB54" s="42">
        <f>Tasks[[#This Row],[_WorkPerWorkday]]*(Tasks[[#This Row],[_StartWorkday]]-1)</f>
        <v/>
      </c>
      <c r="GC54" s="42">
        <f>IF(Tasks[[#This Row],[_IsLeaf]]=1,MAX(N(Tasks[[#This Row],[_Days]]),0.1),0)</f>
        <v/>
      </c>
      <c r="GD54" s="42">
        <f>Tasks[[#This Row],[_WeightDur]]*Tasks[[#This Row],[_LeafProgress]]</f>
        <v/>
      </c>
      <c r="GE54" s="42">
        <f>Tasks[[#This Row],[_WeightDur]]*Tasks[[#This Row],[_PlannedPct]]</f>
        <v/>
      </c>
      <c r="GF5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4" s="42">
        <f>IF(AND(Tasks[[#This Row],[_IsLeaf]]=1,N(Tasks[[#This Row],[_Days]])=0,Tasks[[#This Row],[_LeafProgress]]&lt;1),Tasks[[#This Row],[_ShownFcstFinish]]+Tasks[[#This Row],[_Row]]/100000,"")</f>
        <v/>
      </c>
      <c r="GH5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4" s="42">
        <f>IF(Tasks[[#This Row],[Task Name]]="","",LEFT(Tasks[[#This Row],[WBS]],FIND(".",Tasks[[#This Row],[WBS]]&amp;".")-1))</f>
        <v/>
      </c>
      <c r="GJ54" s="42">
        <f>IF(AND(Tasks[[#This Row],[Task Name]]&lt;&gt;"",Tasks[[#This Row],[_Level]]=1),Tasks[[#This Row],[_Row]],"")</f>
        <v/>
      </c>
      <c r="GK54" s="42">
        <f>IF(AND(Tasks[[#This Row],[_IsLeaf]]=1,N(Tasks[[#This Row],[_Days]])=0),Tasks[[#This Row],[Planned Finish]]+Tasks[[#This Row],[_Row]]/100000,"")</f>
        <v/>
      </c>
      <c r="GL54" s="42">
        <f>IF(AND(Tasks[[#This Row],[_IsLeaf]]=1,Tasks[[#This Row],[_LeafProgress]]&lt;1,OR(N(Tasks[[#This Row],[Finish Var]])&gt;0,Tasks[[#This Row],[Status]]="Late Start")),MAX(0,Tasks[[#This Row],[Finish Var]])+1-Tasks[[#This Row],[_Row]]/1000000,"")</f>
        <v/>
      </c>
      <c r="GM54" s="42">
        <f>IF(AND(Tasks[[#This Row],[_IsLeaf]]=1,N(Tasks[[#This Row],[Actual Start]])=0,Tasks[[#This Row],[_ShownFcstStart]]&gt;=StatusDate,Tasks[[#This Row],[_ShownFcstStart]]&lt;=LookaheadEnd),Tasks[[#This Row],[_ShownFcstStart]]+Tasks[[#This Row],[_Row]]/100000,"")</f>
        <v/>
      </c>
      <c r="GN54" s="42">
        <f>IF(AND(Tasks[[#This Row],[_IsLeaf]]=1,Tasks[[#This Row],[_LeafProgress]]&lt;1,Tasks[[#This Row],[_ShownFcstFinish]]&gt;=StatusDate,Tasks[[#This Row],[_ShownFcstFinish]]&lt;=LookaheadEnd),Tasks[[#This Row],[_ShownFcstFinish]]+Tasks[[#This Row],[_Row]]/100000,"")</f>
        <v/>
      </c>
      <c r="GO54" s="42">
        <f>IF(Tasks[[#This Row],[_LeafCritical]],Tasks[[#This Row],[_ShownFcstStart]]+Tasks[[#This Row],[_Row]]/100000,"")</f>
        <v/>
      </c>
      <c r="GP54" s="42">
        <f>Tasks[[#This Row],[_LeafWork]]*Tasks[[#This Row],[_LeafProgress]]</f>
        <v/>
      </c>
      <c r="GQ54" s="88">
        <f>IF(AND(Tasks[[#This Row],[_IsLeaf]]=1,Tasks[[#This Row],[_LeafProgress]]&gt;=1),IF(N(Tasks[[#This Row],[Actual Finish]])&gt;0,Tasks[[#This Row],[Actual Finish]],Tasks[[#This Row],[_ShownFcstFinish]]),"")</f>
        <v/>
      </c>
      <c r="GR54" s="42">
        <f>IF(Tasks[[#This Row],[_IsLeaf]]=1,N(Tasks[[#This Row],[Story Points]]),0)</f>
        <v/>
      </c>
      <c r="GS54" s="42">
        <f>""</f>
        <v/>
      </c>
      <c r="GT54" s="42">
        <f>IF(Tasks[[#This Row],[Task Name]]="",FALSE(),AND(Tasks[[#This Row],[_IsLeaf]]=1,N(Tasks[[#This Row],[_Days]])=0))</f>
        <v/>
      </c>
      <c r="GU54" s="88">
        <f>IF(Tasks[[#This Row],[Task Name]]="",0,IF(AND(Tasks[[#This Row],[_IsLeaf]]=1,NOT(Tasks[[#This Row],[_IsMilestone]]),N(Tasks[[#This Row],[Progress]])&gt;0),Tasks[[#This Row],[Start]],0))</f>
        <v/>
      </c>
      <c r="GV54" s="88">
        <f>IF(Tasks[[#This Row],[_DoneFrom]]=0,0,IF(Tasks[[#This Row],[Progress]]&gt;=1,Tasks[[#This Row],[Finish]],MAX(Tasks[[#This Row],[_DoneFrom]],Tasks[[#This Row],[Start]]+ROUND((Tasks[[#This Row],[Finish]]-Tasks[[#This Row],[Start]]+1)*Tasks[[#This Row],[Progress]],0)-1)))</f>
        <v/>
      </c>
      <c r="GW54" s="88">
        <f>IF(Tasks[[#This Row],[Task Name]]="",0,IF(OR(NOT(Tasks[[#This Row],[_IsLeaf]]=1),Tasks[[#This Row],[_IsMilestone]],N(Tasks[[#This Row],[Progress]])&gt;=1),0,IF(Tasks[[#This Row],[_DoneTo]]&gt;0,Tasks[[#This Row],[_DoneTo]]+1,Tasks[[#This Row],[Start]])))</f>
        <v/>
      </c>
      <c r="GX54" s="88">
        <f>IF(Tasks[[#This Row],[_RemFrom]]=0,0,Tasks[[#This Row],[Finish]])</f>
        <v/>
      </c>
      <c r="GY54" s="42">
        <f>IF(Tasks[[#This Row],[Task Name]]="",FALSE(),OR(NOT(BaselineSet),N(Tasks[[#This Row],[Baseline Start]])&gt;0))</f>
        <v/>
      </c>
      <c r="GZ54" s="42">
        <f>IF(AND(Sandbox="Yes",L_PARSE_DURATION(Tasks[[#This Row],[Sandbox Duration]])&lt;&gt;""),L_PARSE_DURATION(Tasks[[#This Row],[Sandbox Duration]]),L_PARSE_DURATION(Tasks[[#This Row],[Duration]]))</f>
        <v/>
      </c>
      <c r="HA5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4" s="42">
        <f>IF(Tasks[[#This Row],[_IsLeaf]]=1,Tasks[[#This Row],[_Row]],"")</f>
        <v/>
      </c>
      <c r="HD54" s="42">
        <f>IFERROR(INDEX(Tasks[UID],SMALL(Tasks[_PickKey],Tasks[[#This Row],[_Row]]))&amp;" "&amp;INDEX(Tasks[Task Name],SMALL(Tasks[_PickKey],Tasks[[#This Row],[_Row]])),"")</f>
        <v/>
      </c>
      <c r="HE54" s="42">
        <f>IF(Tasks[[#This Row],[Task Name]]="","",IF(Tasks[[#This Row],[_IsSummary]],NETWORKDAYS.INTL(Tasks[[#This Row],[Start]],Tasks[[#This Row],[Finish]],WorkWeek,Holidays),N(Tasks[[#This Row],[_Days]])))</f>
        <v/>
      </c>
      <c r="HF54" s="42">
        <f>IF(Tasks[[#This Row],[Expected]]="",0,((Tasks[[#This Row],[Pessimistic]]-Tasks[[#This Row],[Optimistic]])/6)^2)</f>
        <v/>
      </c>
      <c r="HG54" s="42">
        <f>IF(Tasks[[#This Row],[Expected]]="",0,Tasks[[#This Row],[Expected]]-N(Tasks[[#This Row],[_Days]]))</f>
        <v/>
      </c>
    </row>
    <row r="55">
      <c r="A55" s="21">
        <f>IF(Tasks[[#This Row],[Task Name]]="","",COUNTA(Tasks[[#Headers],[Task Name]]:Tasks[[#This Row],[Task Name]])-1)</f>
        <v/>
      </c>
      <c r="B55" s="22" t="n">
        <v>63</v>
      </c>
      <c r="C55" s="22" t="n"/>
      <c r="D55" s="23" t="n"/>
      <c r="E55" s="22" t="n"/>
      <c r="F55" s="23" t="n"/>
      <c r="G55" s="22" t="n"/>
      <c r="H55" s="22" t="n"/>
      <c r="I55" s="23" t="n"/>
      <c r="J55" s="22" t="n"/>
      <c r="K55" s="22" t="n"/>
      <c r="L55" s="23" t="n"/>
      <c r="M55" s="22" t="n"/>
      <c r="N55" s="22" t="n"/>
      <c r="O55" s="23" t="n"/>
      <c r="P55" s="22" t="n"/>
      <c r="Q55" s="22" t="n"/>
      <c r="R55" s="23" t="n"/>
      <c r="S55" s="23" t="n"/>
      <c r="T55" s="82" t="n"/>
      <c r="U55" s="23" t="n"/>
      <c r="V55" s="82" t="n"/>
      <c r="W55" s="23" t="n"/>
      <c r="X55" s="82" t="n"/>
      <c r="Y55" s="23" t="n"/>
      <c r="Z55" s="82" t="n"/>
      <c r="AA55" s="23" t="n"/>
      <c r="AB55" s="23" t="n"/>
      <c r="AC55" s="7" t="n"/>
      <c r="AD55" s="7" t="n"/>
      <c r="AE55" s="61">
        <f>IF(Tasks[[#This Row],[Task Name]]="","",IF(Tasks[[#This Row],[_IsSummary]],MIN(INDEX(Tasks[_ShownFcstStart],Tasks[[#This Row],[_Row]]+1):INDEX(Tasks[_ShownFcstStart],Tasks[[#This Row],[_Row]]+Tasks[[#This Row],[_Descendants]])),Tasks[[#This Row],[_ShownFcstStart]]))</f>
        <v/>
      </c>
      <c r="AF55" s="61">
        <f>IF(Tasks[[#This Row],[Task Name]]="","",IF(Tasks[[#This Row],[_IsSummary]],MAX(INDEX(Tasks[_ShownFcstFinish],Tasks[[#This Row],[_Row]]+1):INDEX(Tasks[_ShownFcstFinish],Tasks[[#This Row],[_Row]]+Tasks[[#This Row],[_Descendants]])),Tasks[[#This Row],[_ShownFcstFinish]]))</f>
        <v/>
      </c>
      <c r="AG55" s="21">
        <f>""</f>
        <v/>
      </c>
      <c r="AH55" s="23" t="n"/>
      <c r="AI5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5" s="7" t="n"/>
      <c r="AK55" s="22" t="n"/>
      <c r="AL55" s="23" t="n"/>
      <c r="AM55" s="7" t="n"/>
      <c r="AN55" s="21">
        <f>IF(Tasks[[#This Row],[Task Name]]="","",IF(Tasks[[#This Row],[Finish]]&gt;=Tasks[[#This Row],[Planned Finish]],NETWORKDAYS.INTL(Tasks[[#This Row],[Planned Finish]],Tasks[[#This Row],[Finish]],WorkWeek,Holidays)-1,1-NETWORKDAYS.INTL(Tasks[[#This Row],[Finish]],Tasks[[#This Row],[Planned Finish]],WorkWeek,Holidays)))</f>
        <v/>
      </c>
      <c r="AO55" s="21">
        <f>IF(Tasks[[#This Row],[Task Name]]="","",IF(Tasks[[#This Row],[Progress]]&gt;=1,"Complete",IF(OR(N(Tasks[[#This Row],[Actual Start]])&gt;0,Tasks[[#This Row],[Progress]]&gt;0),IF(Tasks[[#This Row],[Finish Var]]&gt;0,"Behind","In Progress"),IF(Tasks[[#This Row],[Planned Start]]&lt;StatusDate,"Late Start","Not Started"))))</f>
        <v/>
      </c>
      <c r="AP55" s="21">
        <f>IF(Tasks[[#This Row],[Task Name]]="","",IF(IF(Tasks[[#This Row],[_IsSummary]],COUNTIF(INDEX(Tasks[_LeafCritical],Tasks[[#This Row],[_Row]]+1):INDEX(Tasks[_LeafCritical],Tasks[[#This Row],[_Row]]+Tasks[[#This Row],[_Descendants]]),TRUE())&gt;0,Tasks[[#This Row],[_LeafCritical]]),"Yes",""))</f>
        <v/>
      </c>
      <c r="AQ55" s="61">
        <f>IF(Tasks[[#This Row],[Task Name]]="","",IF(N(Tasks[[#This Row],[Baseline Start]])&gt;0,Tasks[[#This Row],[Baseline Start]],Tasks[[#This Row],[_CalcStart]]))</f>
        <v/>
      </c>
      <c r="AR55" s="61">
        <f>IF(Tasks[[#This Row],[Task Name]]="","",IF(N(Tasks[[#This Row],[Baseline Finish]])&gt;0,Tasks[[#This Row],[Baseline Finish]],Tasks[[#This Row],[_CalcFinish]]))</f>
        <v/>
      </c>
      <c r="AS55" s="21">
        <f>IF(Tasks[[#This Row],[Task Name]]="","",IF(Tasks[[#This Row],[Start]]&gt;=Tasks[[#This Row],[Planned Start]],NETWORKDAYS.INTL(Tasks[[#This Row],[Planned Start]],Tasks[[#This Row],[Start]],WorkWeek,Holidays)-1,1-NETWORKDAYS.INTL(Tasks[[#This Row],[Start]],Tasks[[#This Row],[Planned Start]],WorkWeek,Holidays)))</f>
        <v/>
      </c>
      <c r="AT55" s="61">
        <f>IF(Tasks[[#This Row],[Task Name]]="","",IF(Tasks[[#This Row],[_IsSummary]],MIN(INDEX(Tasks[_LeafLateStart],Tasks[[#This Row],[_Row]]+1):INDEX(Tasks[_LeafLateStart],Tasks[[#This Row],[_Row]]+Tasks[[#This Row],[_Descendants]])),Tasks[[#This Row],[_LeafLateStart]]))</f>
        <v/>
      </c>
      <c r="AU55" s="61">
        <f>IF(Tasks[[#This Row],[Task Name]]="","",IF(Tasks[[#This Row],[_IsSummary]],MAX(INDEX(Tasks[_LeafLateFinish],Tasks[[#This Row],[_Row]]+1):INDEX(Tasks[_LeafLateFinish],Tasks[[#This Row],[_Row]]+Tasks[[#This Row],[_Descendants]])),Tasks[[#This Row],[_LeafLateFinish]]))</f>
        <v/>
      </c>
      <c r="AV55" s="21">
        <f>IF(Tasks[[#This Row],[Task Name]]="","",IF(Tasks[[#This Row],[_IsSummary]],MIN(INDEX(Tasks[_LeafTotalSlack],Tasks[[#This Row],[_Row]]+1):INDEX(Tasks[_LeafTotalSlack],Tasks[[#This Row],[_Row]]+Tasks[[#This Row],[_Descendants]])),Tasks[[#This Row],[_LeafTotalSlack]]))</f>
        <v/>
      </c>
      <c r="AW5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3" t="n"/>
      <c r="BA5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f>IF(Tasks[[#This Row],[Task Name]]="","",IF(Tasks[[#This Row],[_Level]]&lt;=OutlineShowLevel,"Yes","No"))</f>
        <v/>
      </c>
      <c r="BE55" s="84">
        <f>IF(Tasks[[#This Row],[Task Name]]="","",IF(Tasks[[#This Row],[_IsSummary]],SUM(INDEX(Tasks[_LeafTotalWork],Tasks[[#This Row],[_Row]]+1):INDEX(Tasks[_LeafTotalWork],Tasks[[#This Row],[_Row]]+Tasks[[#This Row],[_Descendants]])),Tasks[[#This Row],[_LeafTotalWork]]))</f>
        <v/>
      </c>
      <c r="BF55" s="23" t="n"/>
      <c r="BG5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f>""</f>
        <v/>
      </c>
      <c r="BI55" s="85" t="n"/>
      <c r="BJ55" s="22" t="n"/>
      <c r="BK55" s="21">
        <f>IF(OR(Tasks[[#This Row],[Task Name]]="",Tasks[[#This Row],[Baseline Duration]]=""),"",Tasks[[#This Row],[_SpanDays]]-N(Tasks[[#This Row],[Baseline Duration]]))</f>
        <v/>
      </c>
      <c r="BL55" s="84">
        <f>IF(OR(Tasks[[#This Row],[Task Name]]="",Tasks[[#This Row],[Baseline Work]]=""),"",Tasks[[#This Row],[Work]]-N(Tasks[[#This Row],[Baseline Work]]))</f>
        <v/>
      </c>
      <c r="BM55" s="61">
        <f>IF(Tasks[[#This Row],[Task Name]]="","",IF(OR(TakeBaseline="Yes",N(Tasks[[#This Row],[Baseline Start]])=0),Tasks[[#This Row],[Start]],Tasks[[#This Row],[Baseline Start]]))</f>
        <v/>
      </c>
      <c r="BN55" s="61">
        <f>IF(Tasks[[#This Row],[Task Name]]="","",IF(OR(TakeBaseline="Yes",N(Tasks[[#This Row],[Baseline Finish]])=0),Tasks[[#This Row],[Finish]],Tasks[[#This Row],[Baseline Finish]]))</f>
        <v/>
      </c>
      <c r="BO55" s="21">
        <f>IF(Tasks[[#This Row],[Task Name]]="","",IF(OR(TakeBaseline="Yes",N(Tasks[[#This Row],[Baseline Duration]])=0),Tasks[[#This Row],[_SpanDays]],Tasks[[#This Row],[Baseline Duration]]))</f>
        <v/>
      </c>
      <c r="BP55" s="84">
        <f>IF(Tasks[[#This Row],[Task Name]]="","",IF(OR(TakeBaseline="Yes",N(Tasks[[#This Row],[Baseline Work]])=0),Tasks[[#This Row],[Work]],Tasks[[#This Row],[Baseline Work]]))</f>
        <v/>
      </c>
      <c r="BQ55" s="7" t="n"/>
      <c r="BR55" s="7" t="n"/>
      <c r="BS55" s="22" t="n"/>
      <c r="BT55" s="86" t="n"/>
      <c r="BU55" s="23" t="n"/>
      <c r="BV55" s="23" t="n"/>
      <c r="BW55" s="23" t="n"/>
      <c r="BX55" s="87">
        <f>IF(AND(Tasks[[#This Row],[_IsLeaf]]=1,ISNUMBER(Tasks[[#This Row],[Optimistic]]),ISNUMBER(Tasks[[#This Row],[Pessimistic]])),ROUND((Tasks[[#This Row],[Optimistic]]+4*N(Tasks[[#This Row],[_Days]])+Tasks[[#This Row],[Pessimistic]])/6,1),"")</f>
        <v/>
      </c>
      <c r="BY55" s="85" t="n"/>
      <c r="BZ55" s="85" t="n"/>
      <c r="CA55" s="22" t="n"/>
      <c r="CB55" s="42">
        <f>IF(Tasks[[#This Row],[Task Name]]="","",MAX(1,N(Tasks[[#This Row],[Level]])))</f>
        <v/>
      </c>
      <c r="CC55" s="42">
        <f>ROW()-ROW(Tasks[[#Headers],[ID]])</f>
        <v/>
      </c>
      <c r="CD55" s="42">
        <f>IF(OR(Tasks[[#This Row],[Task Name]]="",Tasks[[#This Row],[_Level]]&lt;=1),0,IFERROR(LOOKUP(2,1/(Tasks[[#Headers],[_Level]]:Tasks[[#This Row],[_Level]]=Tasks[[#This Row],[_Level]]-1),ROW(Tasks[[#Headers],[_Level]]:Tasks[[#This Row],[_Level]])),0))</f>
        <v/>
      </c>
      <c r="CE55" s="42">
        <f>IFERROR(N(INDEX(Tasks[_Level],Tasks[[#This Row],[_Row]]+1)),0)</f>
        <v/>
      </c>
      <c r="CF55" s="42">
        <f>AND(Tasks[[#This Row],[Task Name]]&lt;&gt;"",Tasks[[#This Row],[_NextLevel]]&gt;Tasks[[#This Row],[_Level]])</f>
        <v/>
      </c>
      <c r="CG55" s="42">
        <f>IF(Tasks[[#This Row],[_IsSummary]],COUNTIF(Tasks[WBS],Tasks[[#This Row],[WBS]]&amp;".*"),0)</f>
        <v/>
      </c>
      <c r="CH55" s="42">
        <f>IF(AND(Tasks[[#This Row],[Task Name]]&lt;&gt;"",NOT(Tasks[[#This Row],[_IsSummary]])),1,0)</f>
        <v/>
      </c>
      <c r="CI55" s="42">
        <f>IF(N(Tasks[[#This Row],[_Pred1UID]])=0,0,IFERROR(MATCH(Tasks[[#This Row],[_Pred1UID]],Tasks[UID],0),-1))</f>
        <v/>
      </c>
      <c r="CJ55" s="42">
        <f>IF(N(Tasks[[#This Row],[_Pred2UID]])=0,0,IFERROR(MATCH(Tasks[[#This Row],[_Pred2UID]],Tasks[UID],0),-1))</f>
        <v/>
      </c>
      <c r="CK55" s="42">
        <f>IF(N(Tasks[[#This Row],[_Pred3UID]])=0,0,IFERROR(MATCH(Tasks[[#This Row],[_Pred3UID]],Tasks[UID],0),-1))</f>
        <v/>
      </c>
      <c r="CL55" s="42">
        <f>IF(N(Tasks[[#This Row],[_Pred4UID]])=0,0,IFERROR(MATCH(Tasks[[#This Row],[_Pred4UID]],Tasks[UID],0),-1))</f>
        <v/>
      </c>
      <c r="CM5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5" s="88">
        <f>IF(N(Tasks[[#This Row],[Constraint Date]])=0,0,IF(AND(OR(Tasks[[#This Row],[_ConstraintCode]]=3,Tasks[[#This Row],[_ConstraintCode]]=6,Tasks[[#This Row],[_ConstraintCode]]=7),N(Tasks[[#This Row],[_Days]])&gt;1),WORKDAY.INTL(N(Tasks[[#This Row],[Constraint Date]]),-(N(Tasks[[#This Row],[_Days]])-1),WorkWeek,Holidays),N(Tasks[[#This Row],[Constraint Date]])))</f>
        <v/>
      </c>
      <c r="CO55" s="88">
        <f>IF(OR(Tasks[[#This Row],[_ConstraintCode]]=2,Tasks[[#This Row],[_ConstraintCode]]=3,Tasks[[#This Row],[_ConstraintCode]]=4,Tasks[[#This Row],[_ConstraintCode]]=6),Tasks[[#This Row],[_ConstraintStart]],0)</f>
        <v/>
      </c>
      <c r="CP55" s="88">
        <f>IF(OR(Tasks[[#This Row],[_ConstraintCode]]=2,Tasks[[#This Row],[_ConstraintCode]]=3,Tasks[[#This Row],[_ConstraintCode]]=5,Tasks[[#This Row],[_ConstraintCode]]=7),Tasks[[#This Row],[_ConstraintStart]],2958465)</f>
        <v/>
      </c>
      <c r="CQ5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5" s="88">
        <f>IF(NOT(Tasks[[#This Row],[_IsLeaf]]=1),"",IF(N(Tasks[[#This Row],[_Days]])&lt;=0,Tasks[[#This Row],[_LeafCalcStart]],WORKDAY.INTL(Tasks[[#This Row],[_LeafCalcStart]],Tasks[[#This Row],[_Days]]-1,WorkWeek,Holidays)))</f>
        <v/>
      </c>
      <c r="CS5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5" s="42">
        <f>IF(Tasks[[#This Row],[_Predecessors]]="","",TRIM(MID(SUBSTITUTE(SUBSTITUTE(SUBSTITUTE(UPPER(Tasks[[#This Row],[_Predecessors]]),";",",")," ",""),",",REPT(" ",99)),1,99)))</f>
        <v/>
      </c>
      <c r="CV55" s="42">
        <f>IF(Tasks[[#This Row],[_Pred1Text]]="","",IFERROR(VALUE(LEFT(Tasks[[#This Row],[_Pred1Text]],MIN(FIND("F",Tasks[[#This Row],[_Pred1Text]]&amp;"F"),FIND("S",Tasks[[#This Row],[_Pred1Text]]&amp;"S"),FIND("+",Tasks[[#This Row],[_Pred1Text]]&amp;"+"),FIND("-",Tasks[[#This Row],[_Pred1Text]]&amp;"-"))-1)),""))</f>
        <v/>
      </c>
      <c r="CW5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5" s="42">
        <f>IF(Tasks[[#This Row],[_Pred1Text]]="","",TRIM(MID(SUBSTITUTE(SUBSTITUTE(SUBSTITUTE(UPPER(Tasks[[#This Row],[_Predecessors]]),";",",")," ",""),",",REPT(" ",99)),100,99)))</f>
        <v/>
      </c>
      <c r="CZ55" s="42">
        <f>IF(Tasks[[#This Row],[_Pred2Text]]="","",IFERROR(VALUE(LEFT(Tasks[[#This Row],[_Pred2Text]],MIN(FIND("F",Tasks[[#This Row],[_Pred2Text]]&amp;"F"),FIND("S",Tasks[[#This Row],[_Pred2Text]]&amp;"S"),FIND("+",Tasks[[#This Row],[_Pred2Text]]&amp;"+"),FIND("-",Tasks[[#This Row],[_Pred2Text]]&amp;"-"))-1)),""))</f>
        <v/>
      </c>
      <c r="DA5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5" s="42">
        <f>IF(Tasks[[#This Row],[_Pred2Text]]="","",TRIM(MID(SUBSTITUTE(SUBSTITUTE(SUBSTITUTE(UPPER(Tasks[[#This Row],[_Predecessors]]),";",",")," ",""),",",REPT(" ",99)),199,99)))</f>
        <v/>
      </c>
      <c r="DD55" s="42">
        <f>IF(Tasks[[#This Row],[_Pred3Text]]="","",IFERROR(VALUE(LEFT(Tasks[[#This Row],[_Pred3Text]],MIN(FIND("F",Tasks[[#This Row],[_Pred3Text]]&amp;"F"),FIND("S",Tasks[[#This Row],[_Pred3Text]]&amp;"S"),FIND("+",Tasks[[#This Row],[_Pred3Text]]&amp;"+"),FIND("-",Tasks[[#This Row],[_Pred3Text]]&amp;"-"))-1)),""))</f>
        <v/>
      </c>
      <c r="DE5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5" s="42">
        <f>IF(Tasks[[#This Row],[_Pred3Text]]="","",TRIM(MID(SUBSTITUTE(SUBSTITUTE(SUBSTITUTE(UPPER(Tasks[[#This Row],[_Predecessors]]),";",",")," ",""),",",REPT(" ",99)),298,99)))</f>
        <v/>
      </c>
      <c r="DH55" s="42">
        <f>IF(Tasks[[#This Row],[_Pred4Text]]="","",IFERROR(VALUE(LEFT(Tasks[[#This Row],[_Pred4Text]],MIN(FIND("F",Tasks[[#This Row],[_Pred4Text]]&amp;"F"),FIND("S",Tasks[[#This Row],[_Pred4Text]]&amp;"S"),FIND("+",Tasks[[#This Row],[_Pred4Text]]&amp;"+"),FIND("-",Tasks[[#This Row],[_Pred4Text]]&amp;"-"))-1)),""))</f>
        <v/>
      </c>
      <c r="DI5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5" s="42">
        <f>IF(OR(Tasks[[#This Row],[Task Name]]="",Tasks[[#This Row],[_Resources]]=""),"",TRIM(MID(SUBSTITUTE(Tasks[[#This Row],[_Resources]],",",REPT(" ",99)),1,99)))</f>
        <v/>
      </c>
      <c r="DL55" s="42">
        <f>IF(Tasks[[#This Row],[_Res1Text]]="","",TRIM(MID(SUBSTITUTE(Tasks[[#This Row],[_Resources]],",",REPT(" ",99)),100,99)))</f>
        <v/>
      </c>
      <c r="DM55" s="42">
        <f>IF(Tasks[[#This Row],[_Res2Text]]="","",TRIM(MID(SUBSTITUTE(Tasks[[#This Row],[_Resources]],",",REPT(" ",99)),199,99)))</f>
        <v/>
      </c>
      <c r="DN55" s="42">
        <f>IF(Tasks[[#This Row],[_Res3Text]]="","",TRIM(MID(SUBSTITUTE(Tasks[[#This Row],[_Resources]],",",REPT(" ",99)),298,99)))</f>
        <v/>
      </c>
      <c r="DO55" s="42">
        <f>IF(Tasks[[#This Row],[_Res1Text]]="",0,IFERROR(MATCH(TRIM(LEFT(Tasks[[#This Row],[_Res1Text]],FIND("[",Tasks[[#This Row],[_Res1Text]]&amp;"[")-1)),res_Name,0),IFERROR(MATCH(TRIM(LEFT(Tasks[[#This Row],[_Res1Text]],FIND("[",Tasks[[#This Row],[_Res1Text]]&amp;"[")-1)),res_Initials,0),0)))</f>
        <v/>
      </c>
      <c r="DP55" s="42">
        <f>IF(Tasks[[#This Row],[_Res2Text]]="",0,IFERROR(MATCH(TRIM(LEFT(Tasks[[#This Row],[_Res2Text]],FIND("[",Tasks[[#This Row],[_Res2Text]]&amp;"[")-1)),res_Name,0),IFERROR(MATCH(TRIM(LEFT(Tasks[[#This Row],[_Res2Text]],FIND("[",Tasks[[#This Row],[_Res2Text]]&amp;"[")-1)),res_Initials,0),0)))</f>
        <v/>
      </c>
      <c r="DQ55" s="42">
        <f>IF(Tasks[[#This Row],[_Res3Text]]="",0,IFERROR(MATCH(TRIM(LEFT(Tasks[[#This Row],[_Res3Text]],FIND("[",Tasks[[#This Row],[_Res3Text]]&amp;"[")-1)),res_Name,0),IFERROR(MATCH(TRIM(LEFT(Tasks[[#This Row],[_Res3Text]],FIND("[",Tasks[[#This Row],[_Res3Text]]&amp;"[")-1)),res_Initials,0),0)))</f>
        <v/>
      </c>
      <c r="DR55" s="42">
        <f>IF(Tasks[[#This Row],[_Res4Text]]="",0,IFERROR(MATCH(TRIM(LEFT(Tasks[[#This Row],[_Res4Text]],FIND("[",Tasks[[#This Row],[_Res4Text]]&amp;"[")-1)),res_Name,0),IFERROR(MATCH(TRIM(LEFT(Tasks[[#This Row],[_Res4Text]],FIND("[",Tasks[[#This Row],[_Res4Text]]&amp;"[")-1)),res_Initials,0),0)))</f>
        <v/>
      </c>
      <c r="DS55" s="42">
        <f>IF(Tasks[[#This Row],[_Res1Text]]="","",IF(Tasks[[#This Row],[_Res1Row]]&gt;0,INDEX(res_Name,Tasks[[#This Row],[_Res1Row]]),TRIM(LEFT(Tasks[[#This Row],[_Res1Text]],FIND("[",Tasks[[#This Row],[_Res1Text]]&amp;"[")-1))))</f>
        <v/>
      </c>
      <c r="DT5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5" s="42">
        <f>IF(NOT(Tasks[[#This Row],[_IsLeaf]]=1),0,(Tasks[[#This Row],[_Resource1]]&lt;&gt;"")+(Tasks[[#This Row],[_Res2]]&lt;&gt;"")+(Tasks[[#This Row],[_Res3]]&lt;&gt;"")+(Tasks[[#This Row],[_Res4]]&lt;&gt;""))</f>
        <v/>
      </c>
      <c r="DV55" s="42">
        <f>IF(Tasks[[#This Row],[_Res2Text]]="","",IF(Tasks[[#This Row],[_Res2Row]]&gt;0,INDEX(res_Name,Tasks[[#This Row],[_Res2Row]]),TRIM(LEFT(Tasks[[#This Row],[_Res2Text]],FIND("[",Tasks[[#This Row],[_Res2Text]]&amp;"[")-1))))</f>
        <v/>
      </c>
      <c r="DW5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5" s="42">
        <f>IF(OR(NOT(Tasks[[#This Row],[_IsLeaf]]=1),Tasks[[#This Row],[_Res2Row]]=0),0,N(Tasks[[#This Row],[_Days]])*HoursPerDay*IF(Tasks[[#This Row],[_Res2Units]]="",DefaultUnits,Tasks[[#This Row],[_Res2Units]]))</f>
        <v/>
      </c>
      <c r="DY55" s="42">
        <f>IF(AND(AND(Tasks[[#This Row],[_IsLeaf]]=1,Tasks[[#This Row],[_LeafTotalWork]]&gt;0),Tasks[[#This Row],[_Res2Work]]&gt;0),Tasks[[#This Row],[_Res2Work]]/(Tasks[[#This Row],[_FinishWorkday]]-Tasks[[#This Row],[_StartWorkday]]+1),0)</f>
        <v/>
      </c>
      <c r="DZ55" s="42">
        <f>Tasks[[#This Row],[_Res2WorkPerWD]]*MAX(0,Tasks[[#This Row],[_StartWorkday]]-1)</f>
        <v/>
      </c>
      <c r="EA55" s="42">
        <f>Tasks[[#This Row],[_Res2Work]]*Tasks[[#This Row],[_LeafProgress]]</f>
        <v/>
      </c>
      <c r="EB55" s="42">
        <f>IF(Tasks[[#This Row],[_Res3Text]]="","",IF(Tasks[[#This Row],[_Res3Row]]&gt;0,INDEX(res_Name,Tasks[[#This Row],[_Res3Row]]),TRIM(LEFT(Tasks[[#This Row],[_Res3Text]],FIND("[",Tasks[[#This Row],[_Res3Text]]&amp;"[")-1))))</f>
        <v/>
      </c>
      <c r="EC5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5" s="42">
        <f>IF(OR(NOT(Tasks[[#This Row],[_IsLeaf]]=1),Tasks[[#This Row],[_Res3Row]]=0),0,N(Tasks[[#This Row],[_Days]])*HoursPerDay*IF(Tasks[[#This Row],[_Res3Units]]="",DefaultUnits,Tasks[[#This Row],[_Res3Units]]))</f>
        <v/>
      </c>
      <c r="EE55" s="42">
        <f>IF(AND(AND(Tasks[[#This Row],[_IsLeaf]]=1,Tasks[[#This Row],[_LeafTotalWork]]&gt;0),Tasks[[#This Row],[_Res3Work]]&gt;0),Tasks[[#This Row],[_Res3Work]]/(Tasks[[#This Row],[_FinishWorkday]]-Tasks[[#This Row],[_StartWorkday]]+1),0)</f>
        <v/>
      </c>
      <c r="EF55" s="42">
        <f>Tasks[[#This Row],[_Res3WorkPerWD]]*MAX(0,Tasks[[#This Row],[_StartWorkday]]-1)</f>
        <v/>
      </c>
      <c r="EG55" s="42">
        <f>Tasks[[#This Row],[_Res3Work]]*Tasks[[#This Row],[_LeafProgress]]</f>
        <v/>
      </c>
      <c r="EH55" s="42">
        <f>IF(Tasks[[#This Row],[_Res4Text]]="","",IF(Tasks[[#This Row],[_Res4Row]]&gt;0,INDEX(res_Name,Tasks[[#This Row],[_Res4Row]]),TRIM(LEFT(Tasks[[#This Row],[_Res4Text]],FIND("[",Tasks[[#This Row],[_Res4Text]]&amp;"[")-1))))</f>
        <v/>
      </c>
      <c r="EI5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5" s="42">
        <f>IF(OR(NOT(Tasks[[#This Row],[_IsLeaf]]=1),Tasks[[#This Row],[_Res4Row]]=0),0,N(Tasks[[#This Row],[_Days]])*HoursPerDay*IF(Tasks[[#This Row],[_Res4Units]]="",DefaultUnits,Tasks[[#This Row],[_Res4Units]]))</f>
        <v/>
      </c>
      <c r="EK55" s="42">
        <f>IF(AND(AND(Tasks[[#This Row],[_IsLeaf]]=1,Tasks[[#This Row],[_LeafTotalWork]]&gt;0),Tasks[[#This Row],[_Res4Work]]&gt;0),Tasks[[#This Row],[_Res4Work]]/(Tasks[[#This Row],[_FinishWorkday]]-Tasks[[#This Row],[_StartWorkday]]+1),0)</f>
        <v/>
      </c>
      <c r="EL55" s="42">
        <f>Tasks[[#This Row],[_Res4WorkPerWD]]*MAX(0,Tasks[[#This Row],[_StartWorkday]]-1)</f>
        <v/>
      </c>
      <c r="EM55" s="42">
        <f>Tasks[[#This Row],[_Res4Work]]*Tasks[[#This Row],[_LeafProgress]]</f>
        <v/>
      </c>
      <c r="EN55" s="42">
        <f>IF(ISNUMBER(Tasks[[#This Row],[% Complete]]),Tasks[[#This Row],[% Complete]],IF(Tasks[[#This Row],[Stage]]="",0,IFERROR(INDEX(stg_Pct,MATCH(Tasks[[#This Row],[Stage]],stg_Name,0)),0)))</f>
        <v/>
      </c>
      <c r="EO55" s="42">
        <f>IF(NOT(Tasks[[#This Row],[_IsLeaf]]=1),0,IF(N(Tasks[[#This Row],[Actual Finish]])&gt;0,1,MIN(1,Tasks[[#This Row],[_Pct]])))</f>
        <v/>
      </c>
      <c r="EP55" s="42">
        <f>IF(OR(NOT(Tasks[[#This Row],[_IsLeaf]]=1),Tasks[[#This Row],[_Res1Row]]=0),0,N(Tasks[[#This Row],[_Days]])*HoursPerDay*IF(Tasks[[#This Row],[_Units1]]="",DefaultUnits,Tasks[[#This Row],[_Units1]]))</f>
        <v/>
      </c>
      <c r="EQ55" s="42">
        <f>Tasks[[#This Row],[_LeafWork]]+Tasks[[#This Row],[_Res2Work]]+Tasks[[#This Row],[_Res3Work]]+Tasks[[#This Row],[_Res4Work]]</f>
        <v/>
      </c>
      <c r="ER5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5" s="42">
        <f>IF(NOT(Tasks[[#This Row],[_IsLeaf]]=1),0,MAX(_xlfn.MAXIFS(Tasks[_Row],Tasks[_Pred1UID],Tasks[[#This Row],[UID]]),_xlfn.MAXIFS(Tasks[_Row],Tasks[_Pred2UID],Tasks[[#This Row],[UID]]),_xlfn.MAXIFS(Tasks[_Row],Tasks[_Pred3UID],Tasks[[#This Row],[UID]]),_xlfn.MAXIFS(Tasks[_Row],Tasks[_Pred4UID],Tasks[[#This Row],[UID]])))</f>
        <v/>
      </c>
      <c r="FA5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5" s="88">
        <f>IF(NOT(Tasks[[#This Row],[_IsLeaf]]=1),"",IF(N(Tasks[[#This Row],[_Days]])&lt;=0,Tasks[[#This Row],[_LeafLateFinish]],WORKDAY.INTL(Tasks[[#This Row],[_LeafLateFinish]],-(Tasks[[#This Row],[_Days]]-1),WorkWeek,Holidays)))</f>
        <v/>
      </c>
      <c r="FD5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5" s="42">
        <f>AND(Tasks[[#This Row],[_IsLeaf]]=1,Tasks[[#This Row],[_LeafProgress]]&lt;1,N(Tasks[[#This Row],[_LeafTotalSlack]])&lt;=CriticalSlackDays)</f>
        <v/>
      </c>
      <c r="FF55" s="42">
        <f>IF(AND(Tasks[[#This Row],[_IsLeaf]]=1,Tasks[[#This Row],[_ConstraintCode]]=1,Tasks[[#This Row],[Mode]]&lt;&gt;"Manual",N(Tasks[[#This Row],[Actual Start]])=0),MAX(0,N(Tasks[[#This Row],[Free Slack]])),0)</f>
        <v/>
      </c>
      <c r="FG55" s="88">
        <f>IF(NOT(Tasks[[#This Row],[_IsLeaf]]=1),"",IF(Tasks[[#This Row],[_AlapShift]]=0,Tasks[[#This Row],[_LeafCalcStart]],WORKDAY.INTL(Tasks[[#This Row],[_LeafCalcStart]],Tasks[[#This Row],[_AlapShift]],WorkWeek,Holidays)))</f>
        <v/>
      </c>
      <c r="FH55" s="88">
        <f>IF(NOT(Tasks[[#This Row],[_IsLeaf]]=1),"",IF(Tasks[[#This Row],[_AlapShift]]=0,Tasks[[#This Row],[_LeafCalcFinish]],WORKDAY.INTL(Tasks[[#This Row],[_LeafCalcFinish]],Tasks[[#This Row],[_AlapShift]],WorkWeek,Holidays)))</f>
        <v/>
      </c>
      <c r="FI55" s="88">
        <f>IF(NOT(Tasks[[#This Row],[_IsLeaf]]=1),"",IF(Tasks[[#This Row],[_AlapShift]]=0,Tasks[[#This Row],[_LeafFcstStart]],WORKDAY.INTL(Tasks[[#This Row],[_LeafFcstStart]],Tasks[[#This Row],[_AlapShift]],WorkWeek,Holidays)))</f>
        <v/>
      </c>
      <c r="FJ55" s="88">
        <f>IF(NOT(Tasks[[#This Row],[_IsLeaf]]=1),"",IF(Tasks[[#This Row],[_AlapShift]]=0,Tasks[[#This Row],[_LeafFcstFinish]],WORKDAY.INTL(Tasks[[#This Row],[_LeafFcstFinish]],Tasks[[#This Row],[_AlapShift]],WorkWeek,Holidays)))</f>
        <v/>
      </c>
      <c r="FK55" s="88">
        <f>IF(Tasks[[#This Row],[Task Name]]="","",IF(Tasks[[#This Row],[_IsSummary]],MIN(INDEX(Tasks[_ShownCalcStart],Tasks[[#This Row],[_Row]]+1):INDEX(Tasks[_ShownCalcStart],Tasks[[#This Row],[_Row]]+Tasks[[#This Row],[_Descendants]])),Tasks[[#This Row],[_ShownCalcStart]]))</f>
        <v/>
      </c>
      <c r="FL55" s="88">
        <f>IF(Tasks[[#This Row],[Task Name]]="","",IF(Tasks[[#This Row],[_IsSummary]],MAX(INDEX(Tasks[_ShownCalcFinish],Tasks[[#This Row],[_Row]]+1):INDEX(Tasks[_ShownCalcFinish],Tasks[[#This Row],[_Row]]+Tasks[[#This Row],[_Descendants]])),Tasks[[#This Row],[_ShownCalcFinish]]))</f>
        <v/>
      </c>
      <c r="FM5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5" s="42">
        <f>IF(AND(Tasks[[#This Row],[_IsLeaf]]=1,Tasks[[#This Row],[_LeafTotalWork]]&gt;0),NETWORKDAYS.INTL(ProjectStart,Tasks[[#This Row],[_ShownFcstStart]],WorkWeek,Holidays),0)</f>
        <v/>
      </c>
      <c r="FZ55" s="42">
        <f>IF(AND(Tasks[[#This Row],[_IsLeaf]]=1,Tasks[[#This Row],[_LeafTotalWork]]&gt;0),MAX(Tasks[[#This Row],[_StartWorkday]],NETWORKDAYS.INTL(ProjectStart,Tasks[[#This Row],[_ShownFcstFinish]],WorkWeek,Holidays)),0)</f>
        <v/>
      </c>
      <c r="GA55" s="42">
        <f>IF(AND(Tasks[[#This Row],[_IsLeaf]]=1,Tasks[[#This Row],[_LeafTotalWork]]&gt;0),Tasks[[#This Row],[_LeafWork]]/(Tasks[[#This Row],[_FinishWorkday]]-Tasks[[#This Row],[_StartWorkday]]+1),0)</f>
        <v/>
      </c>
      <c r="GB55" s="42">
        <f>Tasks[[#This Row],[_WorkPerWorkday]]*(Tasks[[#This Row],[_StartWorkday]]-1)</f>
        <v/>
      </c>
      <c r="GC55" s="42">
        <f>IF(Tasks[[#This Row],[_IsLeaf]]=1,MAX(N(Tasks[[#This Row],[_Days]]),0.1),0)</f>
        <v/>
      </c>
      <c r="GD55" s="42">
        <f>Tasks[[#This Row],[_WeightDur]]*Tasks[[#This Row],[_LeafProgress]]</f>
        <v/>
      </c>
      <c r="GE55" s="42">
        <f>Tasks[[#This Row],[_WeightDur]]*Tasks[[#This Row],[_PlannedPct]]</f>
        <v/>
      </c>
      <c r="GF5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5" s="42">
        <f>IF(AND(Tasks[[#This Row],[_IsLeaf]]=1,N(Tasks[[#This Row],[_Days]])=0,Tasks[[#This Row],[_LeafProgress]]&lt;1),Tasks[[#This Row],[_ShownFcstFinish]]+Tasks[[#This Row],[_Row]]/100000,"")</f>
        <v/>
      </c>
      <c r="GH5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5" s="42">
        <f>IF(Tasks[[#This Row],[Task Name]]="","",LEFT(Tasks[[#This Row],[WBS]],FIND(".",Tasks[[#This Row],[WBS]]&amp;".")-1))</f>
        <v/>
      </c>
      <c r="GJ55" s="42">
        <f>IF(AND(Tasks[[#This Row],[Task Name]]&lt;&gt;"",Tasks[[#This Row],[_Level]]=1),Tasks[[#This Row],[_Row]],"")</f>
        <v/>
      </c>
      <c r="GK55" s="42">
        <f>IF(AND(Tasks[[#This Row],[_IsLeaf]]=1,N(Tasks[[#This Row],[_Days]])=0),Tasks[[#This Row],[Planned Finish]]+Tasks[[#This Row],[_Row]]/100000,"")</f>
        <v/>
      </c>
      <c r="GL55" s="42">
        <f>IF(AND(Tasks[[#This Row],[_IsLeaf]]=1,Tasks[[#This Row],[_LeafProgress]]&lt;1,OR(N(Tasks[[#This Row],[Finish Var]])&gt;0,Tasks[[#This Row],[Status]]="Late Start")),MAX(0,Tasks[[#This Row],[Finish Var]])+1-Tasks[[#This Row],[_Row]]/1000000,"")</f>
        <v/>
      </c>
      <c r="GM55" s="42">
        <f>IF(AND(Tasks[[#This Row],[_IsLeaf]]=1,N(Tasks[[#This Row],[Actual Start]])=0,Tasks[[#This Row],[_ShownFcstStart]]&gt;=StatusDate,Tasks[[#This Row],[_ShownFcstStart]]&lt;=LookaheadEnd),Tasks[[#This Row],[_ShownFcstStart]]+Tasks[[#This Row],[_Row]]/100000,"")</f>
        <v/>
      </c>
      <c r="GN55" s="42">
        <f>IF(AND(Tasks[[#This Row],[_IsLeaf]]=1,Tasks[[#This Row],[_LeafProgress]]&lt;1,Tasks[[#This Row],[_ShownFcstFinish]]&gt;=StatusDate,Tasks[[#This Row],[_ShownFcstFinish]]&lt;=LookaheadEnd),Tasks[[#This Row],[_ShownFcstFinish]]+Tasks[[#This Row],[_Row]]/100000,"")</f>
        <v/>
      </c>
      <c r="GO55" s="42">
        <f>IF(Tasks[[#This Row],[_LeafCritical]],Tasks[[#This Row],[_ShownFcstStart]]+Tasks[[#This Row],[_Row]]/100000,"")</f>
        <v/>
      </c>
      <c r="GP55" s="42">
        <f>Tasks[[#This Row],[_LeafWork]]*Tasks[[#This Row],[_LeafProgress]]</f>
        <v/>
      </c>
      <c r="GQ55" s="88">
        <f>IF(AND(Tasks[[#This Row],[_IsLeaf]]=1,Tasks[[#This Row],[_LeafProgress]]&gt;=1),IF(N(Tasks[[#This Row],[Actual Finish]])&gt;0,Tasks[[#This Row],[Actual Finish]],Tasks[[#This Row],[_ShownFcstFinish]]),"")</f>
        <v/>
      </c>
      <c r="GR55" s="42">
        <f>IF(Tasks[[#This Row],[_IsLeaf]]=1,N(Tasks[[#This Row],[Story Points]]),0)</f>
        <v/>
      </c>
      <c r="GS55" s="42">
        <f>""</f>
        <v/>
      </c>
      <c r="GT55" s="42">
        <f>IF(Tasks[[#This Row],[Task Name]]="",FALSE(),AND(Tasks[[#This Row],[_IsLeaf]]=1,N(Tasks[[#This Row],[_Days]])=0))</f>
        <v/>
      </c>
      <c r="GU55" s="88">
        <f>IF(Tasks[[#This Row],[Task Name]]="",0,IF(AND(Tasks[[#This Row],[_IsLeaf]]=1,NOT(Tasks[[#This Row],[_IsMilestone]]),N(Tasks[[#This Row],[Progress]])&gt;0),Tasks[[#This Row],[Start]],0))</f>
        <v/>
      </c>
      <c r="GV55" s="88">
        <f>IF(Tasks[[#This Row],[_DoneFrom]]=0,0,IF(Tasks[[#This Row],[Progress]]&gt;=1,Tasks[[#This Row],[Finish]],MAX(Tasks[[#This Row],[_DoneFrom]],Tasks[[#This Row],[Start]]+ROUND((Tasks[[#This Row],[Finish]]-Tasks[[#This Row],[Start]]+1)*Tasks[[#This Row],[Progress]],0)-1)))</f>
        <v/>
      </c>
      <c r="GW55" s="88">
        <f>IF(Tasks[[#This Row],[Task Name]]="",0,IF(OR(NOT(Tasks[[#This Row],[_IsLeaf]]=1),Tasks[[#This Row],[_IsMilestone]],N(Tasks[[#This Row],[Progress]])&gt;=1),0,IF(Tasks[[#This Row],[_DoneTo]]&gt;0,Tasks[[#This Row],[_DoneTo]]+1,Tasks[[#This Row],[Start]])))</f>
        <v/>
      </c>
      <c r="GX55" s="88">
        <f>IF(Tasks[[#This Row],[_RemFrom]]=0,0,Tasks[[#This Row],[Finish]])</f>
        <v/>
      </c>
      <c r="GY55" s="42">
        <f>IF(Tasks[[#This Row],[Task Name]]="",FALSE(),OR(NOT(BaselineSet),N(Tasks[[#This Row],[Baseline Start]])&gt;0))</f>
        <v/>
      </c>
      <c r="GZ55" s="42">
        <f>IF(AND(Sandbox="Yes",L_PARSE_DURATION(Tasks[[#This Row],[Sandbox Duration]])&lt;&gt;""),L_PARSE_DURATION(Tasks[[#This Row],[Sandbox Duration]]),L_PARSE_DURATION(Tasks[[#This Row],[Duration]]))</f>
        <v/>
      </c>
      <c r="HA5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5" s="42">
        <f>IF(Tasks[[#This Row],[_IsLeaf]]=1,Tasks[[#This Row],[_Row]],"")</f>
        <v/>
      </c>
      <c r="HD55" s="42">
        <f>IFERROR(INDEX(Tasks[UID],SMALL(Tasks[_PickKey],Tasks[[#This Row],[_Row]]))&amp;" "&amp;INDEX(Tasks[Task Name],SMALL(Tasks[_PickKey],Tasks[[#This Row],[_Row]])),"")</f>
        <v/>
      </c>
      <c r="HE55" s="42">
        <f>IF(Tasks[[#This Row],[Task Name]]="","",IF(Tasks[[#This Row],[_IsSummary]],NETWORKDAYS.INTL(Tasks[[#This Row],[Start]],Tasks[[#This Row],[Finish]],WorkWeek,Holidays),N(Tasks[[#This Row],[_Days]])))</f>
        <v/>
      </c>
      <c r="HF55" s="42">
        <f>IF(Tasks[[#This Row],[Expected]]="",0,((Tasks[[#This Row],[Pessimistic]]-Tasks[[#This Row],[Optimistic]])/6)^2)</f>
        <v/>
      </c>
      <c r="HG55" s="42">
        <f>IF(Tasks[[#This Row],[Expected]]="",0,Tasks[[#This Row],[Expected]]-N(Tasks[[#This Row],[_Days]]))</f>
        <v/>
      </c>
    </row>
    <row r="56">
      <c r="A56" s="21">
        <f>IF(Tasks[[#This Row],[Task Name]]="","",COUNTA(Tasks[[#Headers],[Task Name]]:Tasks[[#This Row],[Task Name]])-1)</f>
        <v/>
      </c>
      <c r="B56" s="22" t="n">
        <v>64</v>
      </c>
      <c r="C56" s="22" t="n"/>
      <c r="D56" s="23" t="n"/>
      <c r="E56" s="22" t="n"/>
      <c r="F56" s="23" t="n"/>
      <c r="G56" s="22" t="n"/>
      <c r="H56" s="22" t="n"/>
      <c r="I56" s="23" t="n"/>
      <c r="J56" s="22" t="n"/>
      <c r="K56" s="22" t="n"/>
      <c r="L56" s="23" t="n"/>
      <c r="M56" s="22" t="n"/>
      <c r="N56" s="22" t="n"/>
      <c r="O56" s="23" t="n"/>
      <c r="P56" s="22" t="n"/>
      <c r="Q56" s="22" t="n"/>
      <c r="R56" s="23" t="n"/>
      <c r="S56" s="23" t="n"/>
      <c r="T56" s="82" t="n"/>
      <c r="U56" s="23" t="n"/>
      <c r="V56" s="82" t="n"/>
      <c r="W56" s="23" t="n"/>
      <c r="X56" s="82" t="n"/>
      <c r="Y56" s="23" t="n"/>
      <c r="Z56" s="82" t="n"/>
      <c r="AA56" s="23" t="n"/>
      <c r="AB56" s="23" t="n"/>
      <c r="AC56" s="7" t="n"/>
      <c r="AD56" s="7" t="n"/>
      <c r="AE56" s="61">
        <f>IF(Tasks[[#This Row],[Task Name]]="","",IF(Tasks[[#This Row],[_IsSummary]],MIN(INDEX(Tasks[_ShownFcstStart],Tasks[[#This Row],[_Row]]+1):INDEX(Tasks[_ShownFcstStart],Tasks[[#This Row],[_Row]]+Tasks[[#This Row],[_Descendants]])),Tasks[[#This Row],[_ShownFcstStart]]))</f>
        <v/>
      </c>
      <c r="AF56" s="61">
        <f>IF(Tasks[[#This Row],[Task Name]]="","",IF(Tasks[[#This Row],[_IsSummary]],MAX(INDEX(Tasks[_ShownFcstFinish],Tasks[[#This Row],[_Row]]+1):INDEX(Tasks[_ShownFcstFinish],Tasks[[#This Row],[_Row]]+Tasks[[#This Row],[_Descendants]])),Tasks[[#This Row],[_ShownFcstFinish]]))</f>
        <v/>
      </c>
      <c r="AG56" s="21">
        <f>""</f>
        <v/>
      </c>
      <c r="AH56" s="23" t="n"/>
      <c r="AI5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6" s="7" t="n"/>
      <c r="AK56" s="22" t="n"/>
      <c r="AL56" s="23" t="n"/>
      <c r="AM56" s="7" t="n"/>
      <c r="AN56" s="21">
        <f>IF(Tasks[[#This Row],[Task Name]]="","",IF(Tasks[[#This Row],[Finish]]&gt;=Tasks[[#This Row],[Planned Finish]],NETWORKDAYS.INTL(Tasks[[#This Row],[Planned Finish]],Tasks[[#This Row],[Finish]],WorkWeek,Holidays)-1,1-NETWORKDAYS.INTL(Tasks[[#This Row],[Finish]],Tasks[[#This Row],[Planned Finish]],WorkWeek,Holidays)))</f>
        <v/>
      </c>
      <c r="AO56" s="21">
        <f>IF(Tasks[[#This Row],[Task Name]]="","",IF(Tasks[[#This Row],[Progress]]&gt;=1,"Complete",IF(OR(N(Tasks[[#This Row],[Actual Start]])&gt;0,Tasks[[#This Row],[Progress]]&gt;0),IF(Tasks[[#This Row],[Finish Var]]&gt;0,"Behind","In Progress"),IF(Tasks[[#This Row],[Planned Start]]&lt;StatusDate,"Late Start","Not Started"))))</f>
        <v/>
      </c>
      <c r="AP56" s="21">
        <f>IF(Tasks[[#This Row],[Task Name]]="","",IF(IF(Tasks[[#This Row],[_IsSummary]],COUNTIF(INDEX(Tasks[_LeafCritical],Tasks[[#This Row],[_Row]]+1):INDEX(Tasks[_LeafCritical],Tasks[[#This Row],[_Row]]+Tasks[[#This Row],[_Descendants]]),TRUE())&gt;0,Tasks[[#This Row],[_LeafCritical]]),"Yes",""))</f>
        <v/>
      </c>
      <c r="AQ56" s="61">
        <f>IF(Tasks[[#This Row],[Task Name]]="","",IF(N(Tasks[[#This Row],[Baseline Start]])&gt;0,Tasks[[#This Row],[Baseline Start]],Tasks[[#This Row],[_CalcStart]]))</f>
        <v/>
      </c>
      <c r="AR56" s="61">
        <f>IF(Tasks[[#This Row],[Task Name]]="","",IF(N(Tasks[[#This Row],[Baseline Finish]])&gt;0,Tasks[[#This Row],[Baseline Finish]],Tasks[[#This Row],[_CalcFinish]]))</f>
        <v/>
      </c>
      <c r="AS56" s="21">
        <f>IF(Tasks[[#This Row],[Task Name]]="","",IF(Tasks[[#This Row],[Start]]&gt;=Tasks[[#This Row],[Planned Start]],NETWORKDAYS.INTL(Tasks[[#This Row],[Planned Start]],Tasks[[#This Row],[Start]],WorkWeek,Holidays)-1,1-NETWORKDAYS.INTL(Tasks[[#This Row],[Start]],Tasks[[#This Row],[Planned Start]],WorkWeek,Holidays)))</f>
        <v/>
      </c>
      <c r="AT56" s="61">
        <f>IF(Tasks[[#This Row],[Task Name]]="","",IF(Tasks[[#This Row],[_IsSummary]],MIN(INDEX(Tasks[_LeafLateStart],Tasks[[#This Row],[_Row]]+1):INDEX(Tasks[_LeafLateStart],Tasks[[#This Row],[_Row]]+Tasks[[#This Row],[_Descendants]])),Tasks[[#This Row],[_LeafLateStart]]))</f>
        <v/>
      </c>
      <c r="AU56" s="61">
        <f>IF(Tasks[[#This Row],[Task Name]]="","",IF(Tasks[[#This Row],[_IsSummary]],MAX(INDEX(Tasks[_LeafLateFinish],Tasks[[#This Row],[_Row]]+1):INDEX(Tasks[_LeafLateFinish],Tasks[[#This Row],[_Row]]+Tasks[[#This Row],[_Descendants]])),Tasks[[#This Row],[_LeafLateFinish]]))</f>
        <v/>
      </c>
      <c r="AV56" s="21">
        <f>IF(Tasks[[#This Row],[Task Name]]="","",IF(Tasks[[#This Row],[_IsSummary]],MIN(INDEX(Tasks[_LeafTotalSlack],Tasks[[#This Row],[_Row]]+1):INDEX(Tasks[_LeafTotalSlack],Tasks[[#This Row],[_Row]]+Tasks[[#This Row],[_Descendants]])),Tasks[[#This Row],[_LeafTotalSlack]]))</f>
        <v/>
      </c>
      <c r="AW5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3" t="n"/>
      <c r="BA5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f>IF(Tasks[[#This Row],[Task Name]]="","",IF(Tasks[[#This Row],[_Level]]&lt;=OutlineShowLevel,"Yes","No"))</f>
        <v/>
      </c>
      <c r="BE56" s="84">
        <f>IF(Tasks[[#This Row],[Task Name]]="","",IF(Tasks[[#This Row],[_IsSummary]],SUM(INDEX(Tasks[_LeafTotalWork],Tasks[[#This Row],[_Row]]+1):INDEX(Tasks[_LeafTotalWork],Tasks[[#This Row],[_Row]]+Tasks[[#This Row],[_Descendants]])),Tasks[[#This Row],[_LeafTotalWork]]))</f>
        <v/>
      </c>
      <c r="BF56" s="23" t="n"/>
      <c r="BG5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f>""</f>
        <v/>
      </c>
      <c r="BI56" s="85" t="n"/>
      <c r="BJ56" s="22" t="n"/>
      <c r="BK56" s="21">
        <f>IF(OR(Tasks[[#This Row],[Task Name]]="",Tasks[[#This Row],[Baseline Duration]]=""),"",Tasks[[#This Row],[_SpanDays]]-N(Tasks[[#This Row],[Baseline Duration]]))</f>
        <v/>
      </c>
      <c r="BL56" s="84">
        <f>IF(OR(Tasks[[#This Row],[Task Name]]="",Tasks[[#This Row],[Baseline Work]]=""),"",Tasks[[#This Row],[Work]]-N(Tasks[[#This Row],[Baseline Work]]))</f>
        <v/>
      </c>
      <c r="BM56" s="61">
        <f>IF(Tasks[[#This Row],[Task Name]]="","",IF(OR(TakeBaseline="Yes",N(Tasks[[#This Row],[Baseline Start]])=0),Tasks[[#This Row],[Start]],Tasks[[#This Row],[Baseline Start]]))</f>
        <v/>
      </c>
      <c r="BN56" s="61">
        <f>IF(Tasks[[#This Row],[Task Name]]="","",IF(OR(TakeBaseline="Yes",N(Tasks[[#This Row],[Baseline Finish]])=0),Tasks[[#This Row],[Finish]],Tasks[[#This Row],[Baseline Finish]]))</f>
        <v/>
      </c>
      <c r="BO56" s="21">
        <f>IF(Tasks[[#This Row],[Task Name]]="","",IF(OR(TakeBaseline="Yes",N(Tasks[[#This Row],[Baseline Duration]])=0),Tasks[[#This Row],[_SpanDays]],Tasks[[#This Row],[Baseline Duration]]))</f>
        <v/>
      </c>
      <c r="BP56" s="84">
        <f>IF(Tasks[[#This Row],[Task Name]]="","",IF(OR(TakeBaseline="Yes",N(Tasks[[#This Row],[Baseline Work]])=0),Tasks[[#This Row],[Work]],Tasks[[#This Row],[Baseline Work]]))</f>
        <v/>
      </c>
      <c r="BQ56" s="7" t="n"/>
      <c r="BR56" s="7" t="n"/>
      <c r="BS56" s="22" t="n"/>
      <c r="BT56" s="86" t="n"/>
      <c r="BU56" s="23" t="n"/>
      <c r="BV56" s="23" t="n"/>
      <c r="BW56" s="23" t="n"/>
      <c r="BX56" s="87">
        <f>IF(AND(Tasks[[#This Row],[_IsLeaf]]=1,ISNUMBER(Tasks[[#This Row],[Optimistic]]),ISNUMBER(Tasks[[#This Row],[Pessimistic]])),ROUND((Tasks[[#This Row],[Optimistic]]+4*N(Tasks[[#This Row],[_Days]])+Tasks[[#This Row],[Pessimistic]])/6,1),"")</f>
        <v/>
      </c>
      <c r="BY56" s="85" t="n"/>
      <c r="BZ56" s="85" t="n"/>
      <c r="CA56" s="22" t="n"/>
      <c r="CB56" s="42">
        <f>IF(Tasks[[#This Row],[Task Name]]="","",MAX(1,N(Tasks[[#This Row],[Level]])))</f>
        <v/>
      </c>
      <c r="CC56" s="42">
        <f>ROW()-ROW(Tasks[[#Headers],[ID]])</f>
        <v/>
      </c>
      <c r="CD56" s="42">
        <f>IF(OR(Tasks[[#This Row],[Task Name]]="",Tasks[[#This Row],[_Level]]&lt;=1),0,IFERROR(LOOKUP(2,1/(Tasks[[#Headers],[_Level]]:Tasks[[#This Row],[_Level]]=Tasks[[#This Row],[_Level]]-1),ROW(Tasks[[#Headers],[_Level]]:Tasks[[#This Row],[_Level]])),0))</f>
        <v/>
      </c>
      <c r="CE56" s="42">
        <f>IFERROR(N(INDEX(Tasks[_Level],Tasks[[#This Row],[_Row]]+1)),0)</f>
        <v/>
      </c>
      <c r="CF56" s="42">
        <f>AND(Tasks[[#This Row],[Task Name]]&lt;&gt;"",Tasks[[#This Row],[_NextLevel]]&gt;Tasks[[#This Row],[_Level]])</f>
        <v/>
      </c>
      <c r="CG56" s="42">
        <f>IF(Tasks[[#This Row],[_IsSummary]],COUNTIF(Tasks[WBS],Tasks[[#This Row],[WBS]]&amp;".*"),0)</f>
        <v/>
      </c>
      <c r="CH56" s="42">
        <f>IF(AND(Tasks[[#This Row],[Task Name]]&lt;&gt;"",NOT(Tasks[[#This Row],[_IsSummary]])),1,0)</f>
        <v/>
      </c>
      <c r="CI56" s="42">
        <f>IF(N(Tasks[[#This Row],[_Pred1UID]])=0,0,IFERROR(MATCH(Tasks[[#This Row],[_Pred1UID]],Tasks[UID],0),-1))</f>
        <v/>
      </c>
      <c r="CJ56" s="42">
        <f>IF(N(Tasks[[#This Row],[_Pred2UID]])=0,0,IFERROR(MATCH(Tasks[[#This Row],[_Pred2UID]],Tasks[UID],0),-1))</f>
        <v/>
      </c>
      <c r="CK56" s="42">
        <f>IF(N(Tasks[[#This Row],[_Pred3UID]])=0,0,IFERROR(MATCH(Tasks[[#This Row],[_Pred3UID]],Tasks[UID],0),-1))</f>
        <v/>
      </c>
      <c r="CL56" s="42">
        <f>IF(N(Tasks[[#This Row],[_Pred4UID]])=0,0,IFERROR(MATCH(Tasks[[#This Row],[_Pred4UID]],Tasks[UID],0),-1))</f>
        <v/>
      </c>
      <c r="CM5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6" s="88">
        <f>IF(N(Tasks[[#This Row],[Constraint Date]])=0,0,IF(AND(OR(Tasks[[#This Row],[_ConstraintCode]]=3,Tasks[[#This Row],[_ConstraintCode]]=6,Tasks[[#This Row],[_ConstraintCode]]=7),N(Tasks[[#This Row],[_Days]])&gt;1),WORKDAY.INTL(N(Tasks[[#This Row],[Constraint Date]]),-(N(Tasks[[#This Row],[_Days]])-1),WorkWeek,Holidays),N(Tasks[[#This Row],[Constraint Date]])))</f>
        <v/>
      </c>
      <c r="CO56" s="88">
        <f>IF(OR(Tasks[[#This Row],[_ConstraintCode]]=2,Tasks[[#This Row],[_ConstraintCode]]=3,Tasks[[#This Row],[_ConstraintCode]]=4,Tasks[[#This Row],[_ConstraintCode]]=6),Tasks[[#This Row],[_ConstraintStart]],0)</f>
        <v/>
      </c>
      <c r="CP56" s="88">
        <f>IF(OR(Tasks[[#This Row],[_ConstraintCode]]=2,Tasks[[#This Row],[_ConstraintCode]]=3,Tasks[[#This Row],[_ConstraintCode]]=5,Tasks[[#This Row],[_ConstraintCode]]=7),Tasks[[#This Row],[_ConstraintStart]],2958465)</f>
        <v/>
      </c>
      <c r="CQ5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6" s="88">
        <f>IF(NOT(Tasks[[#This Row],[_IsLeaf]]=1),"",IF(N(Tasks[[#This Row],[_Days]])&lt;=0,Tasks[[#This Row],[_LeafCalcStart]],WORKDAY.INTL(Tasks[[#This Row],[_LeafCalcStart]],Tasks[[#This Row],[_Days]]-1,WorkWeek,Holidays)))</f>
        <v/>
      </c>
      <c r="CS5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6" s="42">
        <f>IF(Tasks[[#This Row],[_Predecessors]]="","",TRIM(MID(SUBSTITUTE(SUBSTITUTE(SUBSTITUTE(UPPER(Tasks[[#This Row],[_Predecessors]]),";",",")," ",""),",",REPT(" ",99)),1,99)))</f>
        <v/>
      </c>
      <c r="CV56" s="42">
        <f>IF(Tasks[[#This Row],[_Pred1Text]]="","",IFERROR(VALUE(LEFT(Tasks[[#This Row],[_Pred1Text]],MIN(FIND("F",Tasks[[#This Row],[_Pred1Text]]&amp;"F"),FIND("S",Tasks[[#This Row],[_Pred1Text]]&amp;"S"),FIND("+",Tasks[[#This Row],[_Pred1Text]]&amp;"+"),FIND("-",Tasks[[#This Row],[_Pred1Text]]&amp;"-"))-1)),""))</f>
        <v/>
      </c>
      <c r="CW5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6" s="42">
        <f>IF(Tasks[[#This Row],[_Pred1Text]]="","",TRIM(MID(SUBSTITUTE(SUBSTITUTE(SUBSTITUTE(UPPER(Tasks[[#This Row],[_Predecessors]]),";",",")," ",""),",",REPT(" ",99)),100,99)))</f>
        <v/>
      </c>
      <c r="CZ56" s="42">
        <f>IF(Tasks[[#This Row],[_Pred2Text]]="","",IFERROR(VALUE(LEFT(Tasks[[#This Row],[_Pred2Text]],MIN(FIND("F",Tasks[[#This Row],[_Pred2Text]]&amp;"F"),FIND("S",Tasks[[#This Row],[_Pred2Text]]&amp;"S"),FIND("+",Tasks[[#This Row],[_Pred2Text]]&amp;"+"),FIND("-",Tasks[[#This Row],[_Pred2Text]]&amp;"-"))-1)),""))</f>
        <v/>
      </c>
      <c r="DA5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6" s="42">
        <f>IF(Tasks[[#This Row],[_Pred2Text]]="","",TRIM(MID(SUBSTITUTE(SUBSTITUTE(SUBSTITUTE(UPPER(Tasks[[#This Row],[_Predecessors]]),";",",")," ",""),",",REPT(" ",99)),199,99)))</f>
        <v/>
      </c>
      <c r="DD56" s="42">
        <f>IF(Tasks[[#This Row],[_Pred3Text]]="","",IFERROR(VALUE(LEFT(Tasks[[#This Row],[_Pred3Text]],MIN(FIND("F",Tasks[[#This Row],[_Pred3Text]]&amp;"F"),FIND("S",Tasks[[#This Row],[_Pred3Text]]&amp;"S"),FIND("+",Tasks[[#This Row],[_Pred3Text]]&amp;"+"),FIND("-",Tasks[[#This Row],[_Pred3Text]]&amp;"-"))-1)),""))</f>
        <v/>
      </c>
      <c r="DE5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6" s="42">
        <f>IF(Tasks[[#This Row],[_Pred3Text]]="","",TRIM(MID(SUBSTITUTE(SUBSTITUTE(SUBSTITUTE(UPPER(Tasks[[#This Row],[_Predecessors]]),";",",")," ",""),",",REPT(" ",99)),298,99)))</f>
        <v/>
      </c>
      <c r="DH56" s="42">
        <f>IF(Tasks[[#This Row],[_Pred4Text]]="","",IFERROR(VALUE(LEFT(Tasks[[#This Row],[_Pred4Text]],MIN(FIND("F",Tasks[[#This Row],[_Pred4Text]]&amp;"F"),FIND("S",Tasks[[#This Row],[_Pred4Text]]&amp;"S"),FIND("+",Tasks[[#This Row],[_Pred4Text]]&amp;"+"),FIND("-",Tasks[[#This Row],[_Pred4Text]]&amp;"-"))-1)),""))</f>
        <v/>
      </c>
      <c r="DI5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6" s="42">
        <f>IF(OR(Tasks[[#This Row],[Task Name]]="",Tasks[[#This Row],[_Resources]]=""),"",TRIM(MID(SUBSTITUTE(Tasks[[#This Row],[_Resources]],",",REPT(" ",99)),1,99)))</f>
        <v/>
      </c>
      <c r="DL56" s="42">
        <f>IF(Tasks[[#This Row],[_Res1Text]]="","",TRIM(MID(SUBSTITUTE(Tasks[[#This Row],[_Resources]],",",REPT(" ",99)),100,99)))</f>
        <v/>
      </c>
      <c r="DM56" s="42">
        <f>IF(Tasks[[#This Row],[_Res2Text]]="","",TRIM(MID(SUBSTITUTE(Tasks[[#This Row],[_Resources]],",",REPT(" ",99)),199,99)))</f>
        <v/>
      </c>
      <c r="DN56" s="42">
        <f>IF(Tasks[[#This Row],[_Res3Text]]="","",TRIM(MID(SUBSTITUTE(Tasks[[#This Row],[_Resources]],",",REPT(" ",99)),298,99)))</f>
        <v/>
      </c>
      <c r="DO56" s="42">
        <f>IF(Tasks[[#This Row],[_Res1Text]]="",0,IFERROR(MATCH(TRIM(LEFT(Tasks[[#This Row],[_Res1Text]],FIND("[",Tasks[[#This Row],[_Res1Text]]&amp;"[")-1)),res_Name,0),IFERROR(MATCH(TRIM(LEFT(Tasks[[#This Row],[_Res1Text]],FIND("[",Tasks[[#This Row],[_Res1Text]]&amp;"[")-1)),res_Initials,0),0)))</f>
        <v/>
      </c>
      <c r="DP56" s="42">
        <f>IF(Tasks[[#This Row],[_Res2Text]]="",0,IFERROR(MATCH(TRIM(LEFT(Tasks[[#This Row],[_Res2Text]],FIND("[",Tasks[[#This Row],[_Res2Text]]&amp;"[")-1)),res_Name,0),IFERROR(MATCH(TRIM(LEFT(Tasks[[#This Row],[_Res2Text]],FIND("[",Tasks[[#This Row],[_Res2Text]]&amp;"[")-1)),res_Initials,0),0)))</f>
        <v/>
      </c>
      <c r="DQ56" s="42">
        <f>IF(Tasks[[#This Row],[_Res3Text]]="",0,IFERROR(MATCH(TRIM(LEFT(Tasks[[#This Row],[_Res3Text]],FIND("[",Tasks[[#This Row],[_Res3Text]]&amp;"[")-1)),res_Name,0),IFERROR(MATCH(TRIM(LEFT(Tasks[[#This Row],[_Res3Text]],FIND("[",Tasks[[#This Row],[_Res3Text]]&amp;"[")-1)),res_Initials,0),0)))</f>
        <v/>
      </c>
      <c r="DR56" s="42">
        <f>IF(Tasks[[#This Row],[_Res4Text]]="",0,IFERROR(MATCH(TRIM(LEFT(Tasks[[#This Row],[_Res4Text]],FIND("[",Tasks[[#This Row],[_Res4Text]]&amp;"[")-1)),res_Name,0),IFERROR(MATCH(TRIM(LEFT(Tasks[[#This Row],[_Res4Text]],FIND("[",Tasks[[#This Row],[_Res4Text]]&amp;"[")-1)),res_Initials,0),0)))</f>
        <v/>
      </c>
      <c r="DS56" s="42">
        <f>IF(Tasks[[#This Row],[_Res1Text]]="","",IF(Tasks[[#This Row],[_Res1Row]]&gt;0,INDEX(res_Name,Tasks[[#This Row],[_Res1Row]]),TRIM(LEFT(Tasks[[#This Row],[_Res1Text]],FIND("[",Tasks[[#This Row],[_Res1Text]]&amp;"[")-1))))</f>
        <v/>
      </c>
      <c r="DT5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6" s="42">
        <f>IF(NOT(Tasks[[#This Row],[_IsLeaf]]=1),0,(Tasks[[#This Row],[_Resource1]]&lt;&gt;"")+(Tasks[[#This Row],[_Res2]]&lt;&gt;"")+(Tasks[[#This Row],[_Res3]]&lt;&gt;"")+(Tasks[[#This Row],[_Res4]]&lt;&gt;""))</f>
        <v/>
      </c>
      <c r="DV56" s="42">
        <f>IF(Tasks[[#This Row],[_Res2Text]]="","",IF(Tasks[[#This Row],[_Res2Row]]&gt;0,INDEX(res_Name,Tasks[[#This Row],[_Res2Row]]),TRIM(LEFT(Tasks[[#This Row],[_Res2Text]],FIND("[",Tasks[[#This Row],[_Res2Text]]&amp;"[")-1))))</f>
        <v/>
      </c>
      <c r="DW5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6" s="42">
        <f>IF(OR(NOT(Tasks[[#This Row],[_IsLeaf]]=1),Tasks[[#This Row],[_Res2Row]]=0),0,N(Tasks[[#This Row],[_Days]])*HoursPerDay*IF(Tasks[[#This Row],[_Res2Units]]="",DefaultUnits,Tasks[[#This Row],[_Res2Units]]))</f>
        <v/>
      </c>
      <c r="DY56" s="42">
        <f>IF(AND(AND(Tasks[[#This Row],[_IsLeaf]]=1,Tasks[[#This Row],[_LeafTotalWork]]&gt;0),Tasks[[#This Row],[_Res2Work]]&gt;0),Tasks[[#This Row],[_Res2Work]]/(Tasks[[#This Row],[_FinishWorkday]]-Tasks[[#This Row],[_StartWorkday]]+1),0)</f>
        <v/>
      </c>
      <c r="DZ56" s="42">
        <f>Tasks[[#This Row],[_Res2WorkPerWD]]*MAX(0,Tasks[[#This Row],[_StartWorkday]]-1)</f>
        <v/>
      </c>
      <c r="EA56" s="42">
        <f>Tasks[[#This Row],[_Res2Work]]*Tasks[[#This Row],[_LeafProgress]]</f>
        <v/>
      </c>
      <c r="EB56" s="42">
        <f>IF(Tasks[[#This Row],[_Res3Text]]="","",IF(Tasks[[#This Row],[_Res3Row]]&gt;0,INDEX(res_Name,Tasks[[#This Row],[_Res3Row]]),TRIM(LEFT(Tasks[[#This Row],[_Res3Text]],FIND("[",Tasks[[#This Row],[_Res3Text]]&amp;"[")-1))))</f>
        <v/>
      </c>
      <c r="EC5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6" s="42">
        <f>IF(OR(NOT(Tasks[[#This Row],[_IsLeaf]]=1),Tasks[[#This Row],[_Res3Row]]=0),0,N(Tasks[[#This Row],[_Days]])*HoursPerDay*IF(Tasks[[#This Row],[_Res3Units]]="",DefaultUnits,Tasks[[#This Row],[_Res3Units]]))</f>
        <v/>
      </c>
      <c r="EE56" s="42">
        <f>IF(AND(AND(Tasks[[#This Row],[_IsLeaf]]=1,Tasks[[#This Row],[_LeafTotalWork]]&gt;0),Tasks[[#This Row],[_Res3Work]]&gt;0),Tasks[[#This Row],[_Res3Work]]/(Tasks[[#This Row],[_FinishWorkday]]-Tasks[[#This Row],[_StartWorkday]]+1),0)</f>
        <v/>
      </c>
      <c r="EF56" s="42">
        <f>Tasks[[#This Row],[_Res3WorkPerWD]]*MAX(0,Tasks[[#This Row],[_StartWorkday]]-1)</f>
        <v/>
      </c>
      <c r="EG56" s="42">
        <f>Tasks[[#This Row],[_Res3Work]]*Tasks[[#This Row],[_LeafProgress]]</f>
        <v/>
      </c>
      <c r="EH56" s="42">
        <f>IF(Tasks[[#This Row],[_Res4Text]]="","",IF(Tasks[[#This Row],[_Res4Row]]&gt;0,INDEX(res_Name,Tasks[[#This Row],[_Res4Row]]),TRIM(LEFT(Tasks[[#This Row],[_Res4Text]],FIND("[",Tasks[[#This Row],[_Res4Text]]&amp;"[")-1))))</f>
        <v/>
      </c>
      <c r="EI5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6" s="42">
        <f>IF(OR(NOT(Tasks[[#This Row],[_IsLeaf]]=1),Tasks[[#This Row],[_Res4Row]]=0),0,N(Tasks[[#This Row],[_Days]])*HoursPerDay*IF(Tasks[[#This Row],[_Res4Units]]="",DefaultUnits,Tasks[[#This Row],[_Res4Units]]))</f>
        <v/>
      </c>
      <c r="EK56" s="42">
        <f>IF(AND(AND(Tasks[[#This Row],[_IsLeaf]]=1,Tasks[[#This Row],[_LeafTotalWork]]&gt;0),Tasks[[#This Row],[_Res4Work]]&gt;0),Tasks[[#This Row],[_Res4Work]]/(Tasks[[#This Row],[_FinishWorkday]]-Tasks[[#This Row],[_StartWorkday]]+1),0)</f>
        <v/>
      </c>
      <c r="EL56" s="42">
        <f>Tasks[[#This Row],[_Res4WorkPerWD]]*MAX(0,Tasks[[#This Row],[_StartWorkday]]-1)</f>
        <v/>
      </c>
      <c r="EM56" s="42">
        <f>Tasks[[#This Row],[_Res4Work]]*Tasks[[#This Row],[_LeafProgress]]</f>
        <v/>
      </c>
      <c r="EN56" s="42">
        <f>IF(ISNUMBER(Tasks[[#This Row],[% Complete]]),Tasks[[#This Row],[% Complete]],IF(Tasks[[#This Row],[Stage]]="",0,IFERROR(INDEX(stg_Pct,MATCH(Tasks[[#This Row],[Stage]],stg_Name,0)),0)))</f>
        <v/>
      </c>
      <c r="EO56" s="42">
        <f>IF(NOT(Tasks[[#This Row],[_IsLeaf]]=1),0,IF(N(Tasks[[#This Row],[Actual Finish]])&gt;0,1,MIN(1,Tasks[[#This Row],[_Pct]])))</f>
        <v/>
      </c>
      <c r="EP56" s="42">
        <f>IF(OR(NOT(Tasks[[#This Row],[_IsLeaf]]=1),Tasks[[#This Row],[_Res1Row]]=0),0,N(Tasks[[#This Row],[_Days]])*HoursPerDay*IF(Tasks[[#This Row],[_Units1]]="",DefaultUnits,Tasks[[#This Row],[_Units1]]))</f>
        <v/>
      </c>
      <c r="EQ56" s="42">
        <f>Tasks[[#This Row],[_LeafWork]]+Tasks[[#This Row],[_Res2Work]]+Tasks[[#This Row],[_Res3Work]]+Tasks[[#This Row],[_Res4Work]]</f>
        <v/>
      </c>
      <c r="ER5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6" s="42">
        <f>IF(NOT(Tasks[[#This Row],[_IsLeaf]]=1),0,MAX(_xlfn.MAXIFS(Tasks[_Row],Tasks[_Pred1UID],Tasks[[#This Row],[UID]]),_xlfn.MAXIFS(Tasks[_Row],Tasks[_Pred2UID],Tasks[[#This Row],[UID]]),_xlfn.MAXIFS(Tasks[_Row],Tasks[_Pred3UID],Tasks[[#This Row],[UID]]),_xlfn.MAXIFS(Tasks[_Row],Tasks[_Pred4UID],Tasks[[#This Row],[UID]])))</f>
        <v/>
      </c>
      <c r="FA5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6" s="88">
        <f>IF(NOT(Tasks[[#This Row],[_IsLeaf]]=1),"",IF(N(Tasks[[#This Row],[_Days]])&lt;=0,Tasks[[#This Row],[_LeafLateFinish]],WORKDAY.INTL(Tasks[[#This Row],[_LeafLateFinish]],-(Tasks[[#This Row],[_Days]]-1),WorkWeek,Holidays)))</f>
        <v/>
      </c>
      <c r="FD5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6" s="42">
        <f>AND(Tasks[[#This Row],[_IsLeaf]]=1,Tasks[[#This Row],[_LeafProgress]]&lt;1,N(Tasks[[#This Row],[_LeafTotalSlack]])&lt;=CriticalSlackDays)</f>
        <v/>
      </c>
      <c r="FF56" s="42">
        <f>IF(AND(Tasks[[#This Row],[_IsLeaf]]=1,Tasks[[#This Row],[_ConstraintCode]]=1,Tasks[[#This Row],[Mode]]&lt;&gt;"Manual",N(Tasks[[#This Row],[Actual Start]])=0),MAX(0,N(Tasks[[#This Row],[Free Slack]])),0)</f>
        <v/>
      </c>
      <c r="FG56" s="88">
        <f>IF(NOT(Tasks[[#This Row],[_IsLeaf]]=1),"",IF(Tasks[[#This Row],[_AlapShift]]=0,Tasks[[#This Row],[_LeafCalcStart]],WORKDAY.INTL(Tasks[[#This Row],[_LeafCalcStart]],Tasks[[#This Row],[_AlapShift]],WorkWeek,Holidays)))</f>
        <v/>
      </c>
      <c r="FH56" s="88">
        <f>IF(NOT(Tasks[[#This Row],[_IsLeaf]]=1),"",IF(Tasks[[#This Row],[_AlapShift]]=0,Tasks[[#This Row],[_LeafCalcFinish]],WORKDAY.INTL(Tasks[[#This Row],[_LeafCalcFinish]],Tasks[[#This Row],[_AlapShift]],WorkWeek,Holidays)))</f>
        <v/>
      </c>
      <c r="FI56" s="88">
        <f>IF(NOT(Tasks[[#This Row],[_IsLeaf]]=1),"",IF(Tasks[[#This Row],[_AlapShift]]=0,Tasks[[#This Row],[_LeafFcstStart]],WORKDAY.INTL(Tasks[[#This Row],[_LeafFcstStart]],Tasks[[#This Row],[_AlapShift]],WorkWeek,Holidays)))</f>
        <v/>
      </c>
      <c r="FJ56" s="88">
        <f>IF(NOT(Tasks[[#This Row],[_IsLeaf]]=1),"",IF(Tasks[[#This Row],[_AlapShift]]=0,Tasks[[#This Row],[_LeafFcstFinish]],WORKDAY.INTL(Tasks[[#This Row],[_LeafFcstFinish]],Tasks[[#This Row],[_AlapShift]],WorkWeek,Holidays)))</f>
        <v/>
      </c>
      <c r="FK56" s="88">
        <f>IF(Tasks[[#This Row],[Task Name]]="","",IF(Tasks[[#This Row],[_IsSummary]],MIN(INDEX(Tasks[_ShownCalcStart],Tasks[[#This Row],[_Row]]+1):INDEX(Tasks[_ShownCalcStart],Tasks[[#This Row],[_Row]]+Tasks[[#This Row],[_Descendants]])),Tasks[[#This Row],[_ShownCalcStart]]))</f>
        <v/>
      </c>
      <c r="FL56" s="88">
        <f>IF(Tasks[[#This Row],[Task Name]]="","",IF(Tasks[[#This Row],[_IsSummary]],MAX(INDEX(Tasks[_ShownCalcFinish],Tasks[[#This Row],[_Row]]+1):INDEX(Tasks[_ShownCalcFinish],Tasks[[#This Row],[_Row]]+Tasks[[#This Row],[_Descendants]])),Tasks[[#This Row],[_ShownCalcFinish]]))</f>
        <v/>
      </c>
      <c r="FM5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6" s="42">
        <f>IF(AND(Tasks[[#This Row],[_IsLeaf]]=1,Tasks[[#This Row],[_LeafTotalWork]]&gt;0),NETWORKDAYS.INTL(ProjectStart,Tasks[[#This Row],[_ShownFcstStart]],WorkWeek,Holidays),0)</f>
        <v/>
      </c>
      <c r="FZ56" s="42">
        <f>IF(AND(Tasks[[#This Row],[_IsLeaf]]=1,Tasks[[#This Row],[_LeafTotalWork]]&gt;0),MAX(Tasks[[#This Row],[_StartWorkday]],NETWORKDAYS.INTL(ProjectStart,Tasks[[#This Row],[_ShownFcstFinish]],WorkWeek,Holidays)),0)</f>
        <v/>
      </c>
      <c r="GA56" s="42">
        <f>IF(AND(Tasks[[#This Row],[_IsLeaf]]=1,Tasks[[#This Row],[_LeafTotalWork]]&gt;0),Tasks[[#This Row],[_LeafWork]]/(Tasks[[#This Row],[_FinishWorkday]]-Tasks[[#This Row],[_StartWorkday]]+1),0)</f>
        <v/>
      </c>
      <c r="GB56" s="42">
        <f>Tasks[[#This Row],[_WorkPerWorkday]]*(Tasks[[#This Row],[_StartWorkday]]-1)</f>
        <v/>
      </c>
      <c r="GC56" s="42">
        <f>IF(Tasks[[#This Row],[_IsLeaf]]=1,MAX(N(Tasks[[#This Row],[_Days]]),0.1),0)</f>
        <v/>
      </c>
      <c r="GD56" s="42">
        <f>Tasks[[#This Row],[_WeightDur]]*Tasks[[#This Row],[_LeafProgress]]</f>
        <v/>
      </c>
      <c r="GE56" s="42">
        <f>Tasks[[#This Row],[_WeightDur]]*Tasks[[#This Row],[_PlannedPct]]</f>
        <v/>
      </c>
      <c r="GF5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6" s="42">
        <f>IF(AND(Tasks[[#This Row],[_IsLeaf]]=1,N(Tasks[[#This Row],[_Days]])=0,Tasks[[#This Row],[_LeafProgress]]&lt;1),Tasks[[#This Row],[_ShownFcstFinish]]+Tasks[[#This Row],[_Row]]/100000,"")</f>
        <v/>
      </c>
      <c r="GH5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6" s="42">
        <f>IF(Tasks[[#This Row],[Task Name]]="","",LEFT(Tasks[[#This Row],[WBS]],FIND(".",Tasks[[#This Row],[WBS]]&amp;".")-1))</f>
        <v/>
      </c>
      <c r="GJ56" s="42">
        <f>IF(AND(Tasks[[#This Row],[Task Name]]&lt;&gt;"",Tasks[[#This Row],[_Level]]=1),Tasks[[#This Row],[_Row]],"")</f>
        <v/>
      </c>
      <c r="GK56" s="42">
        <f>IF(AND(Tasks[[#This Row],[_IsLeaf]]=1,N(Tasks[[#This Row],[_Days]])=0),Tasks[[#This Row],[Planned Finish]]+Tasks[[#This Row],[_Row]]/100000,"")</f>
        <v/>
      </c>
      <c r="GL56" s="42">
        <f>IF(AND(Tasks[[#This Row],[_IsLeaf]]=1,Tasks[[#This Row],[_LeafProgress]]&lt;1,OR(N(Tasks[[#This Row],[Finish Var]])&gt;0,Tasks[[#This Row],[Status]]="Late Start")),MAX(0,Tasks[[#This Row],[Finish Var]])+1-Tasks[[#This Row],[_Row]]/1000000,"")</f>
        <v/>
      </c>
      <c r="GM56" s="42">
        <f>IF(AND(Tasks[[#This Row],[_IsLeaf]]=1,N(Tasks[[#This Row],[Actual Start]])=0,Tasks[[#This Row],[_ShownFcstStart]]&gt;=StatusDate,Tasks[[#This Row],[_ShownFcstStart]]&lt;=LookaheadEnd),Tasks[[#This Row],[_ShownFcstStart]]+Tasks[[#This Row],[_Row]]/100000,"")</f>
        <v/>
      </c>
      <c r="GN56" s="42">
        <f>IF(AND(Tasks[[#This Row],[_IsLeaf]]=1,Tasks[[#This Row],[_LeafProgress]]&lt;1,Tasks[[#This Row],[_ShownFcstFinish]]&gt;=StatusDate,Tasks[[#This Row],[_ShownFcstFinish]]&lt;=LookaheadEnd),Tasks[[#This Row],[_ShownFcstFinish]]+Tasks[[#This Row],[_Row]]/100000,"")</f>
        <v/>
      </c>
      <c r="GO56" s="42">
        <f>IF(Tasks[[#This Row],[_LeafCritical]],Tasks[[#This Row],[_ShownFcstStart]]+Tasks[[#This Row],[_Row]]/100000,"")</f>
        <v/>
      </c>
      <c r="GP56" s="42">
        <f>Tasks[[#This Row],[_LeafWork]]*Tasks[[#This Row],[_LeafProgress]]</f>
        <v/>
      </c>
      <c r="GQ56" s="88">
        <f>IF(AND(Tasks[[#This Row],[_IsLeaf]]=1,Tasks[[#This Row],[_LeafProgress]]&gt;=1),IF(N(Tasks[[#This Row],[Actual Finish]])&gt;0,Tasks[[#This Row],[Actual Finish]],Tasks[[#This Row],[_ShownFcstFinish]]),"")</f>
        <v/>
      </c>
      <c r="GR56" s="42">
        <f>IF(Tasks[[#This Row],[_IsLeaf]]=1,N(Tasks[[#This Row],[Story Points]]),0)</f>
        <v/>
      </c>
      <c r="GS56" s="42">
        <f>""</f>
        <v/>
      </c>
      <c r="GT56" s="42">
        <f>IF(Tasks[[#This Row],[Task Name]]="",FALSE(),AND(Tasks[[#This Row],[_IsLeaf]]=1,N(Tasks[[#This Row],[_Days]])=0))</f>
        <v/>
      </c>
      <c r="GU56" s="88">
        <f>IF(Tasks[[#This Row],[Task Name]]="",0,IF(AND(Tasks[[#This Row],[_IsLeaf]]=1,NOT(Tasks[[#This Row],[_IsMilestone]]),N(Tasks[[#This Row],[Progress]])&gt;0),Tasks[[#This Row],[Start]],0))</f>
        <v/>
      </c>
      <c r="GV56" s="88">
        <f>IF(Tasks[[#This Row],[_DoneFrom]]=0,0,IF(Tasks[[#This Row],[Progress]]&gt;=1,Tasks[[#This Row],[Finish]],MAX(Tasks[[#This Row],[_DoneFrom]],Tasks[[#This Row],[Start]]+ROUND((Tasks[[#This Row],[Finish]]-Tasks[[#This Row],[Start]]+1)*Tasks[[#This Row],[Progress]],0)-1)))</f>
        <v/>
      </c>
      <c r="GW56" s="88">
        <f>IF(Tasks[[#This Row],[Task Name]]="",0,IF(OR(NOT(Tasks[[#This Row],[_IsLeaf]]=1),Tasks[[#This Row],[_IsMilestone]],N(Tasks[[#This Row],[Progress]])&gt;=1),0,IF(Tasks[[#This Row],[_DoneTo]]&gt;0,Tasks[[#This Row],[_DoneTo]]+1,Tasks[[#This Row],[Start]])))</f>
        <v/>
      </c>
      <c r="GX56" s="88">
        <f>IF(Tasks[[#This Row],[_RemFrom]]=0,0,Tasks[[#This Row],[Finish]])</f>
        <v/>
      </c>
      <c r="GY56" s="42">
        <f>IF(Tasks[[#This Row],[Task Name]]="",FALSE(),OR(NOT(BaselineSet),N(Tasks[[#This Row],[Baseline Start]])&gt;0))</f>
        <v/>
      </c>
      <c r="GZ56" s="42">
        <f>IF(AND(Sandbox="Yes",L_PARSE_DURATION(Tasks[[#This Row],[Sandbox Duration]])&lt;&gt;""),L_PARSE_DURATION(Tasks[[#This Row],[Sandbox Duration]]),L_PARSE_DURATION(Tasks[[#This Row],[Duration]]))</f>
        <v/>
      </c>
      <c r="HA5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6" s="42">
        <f>IF(Tasks[[#This Row],[_IsLeaf]]=1,Tasks[[#This Row],[_Row]],"")</f>
        <v/>
      </c>
      <c r="HD56" s="42">
        <f>IFERROR(INDEX(Tasks[UID],SMALL(Tasks[_PickKey],Tasks[[#This Row],[_Row]]))&amp;" "&amp;INDEX(Tasks[Task Name],SMALL(Tasks[_PickKey],Tasks[[#This Row],[_Row]])),"")</f>
        <v/>
      </c>
      <c r="HE56" s="42">
        <f>IF(Tasks[[#This Row],[Task Name]]="","",IF(Tasks[[#This Row],[_IsSummary]],NETWORKDAYS.INTL(Tasks[[#This Row],[Start]],Tasks[[#This Row],[Finish]],WorkWeek,Holidays),N(Tasks[[#This Row],[_Days]])))</f>
        <v/>
      </c>
      <c r="HF56" s="42">
        <f>IF(Tasks[[#This Row],[Expected]]="",0,((Tasks[[#This Row],[Pessimistic]]-Tasks[[#This Row],[Optimistic]])/6)^2)</f>
        <v/>
      </c>
      <c r="HG56" s="42">
        <f>IF(Tasks[[#This Row],[Expected]]="",0,Tasks[[#This Row],[Expected]]-N(Tasks[[#This Row],[_Days]]))</f>
        <v/>
      </c>
    </row>
    <row r="57">
      <c r="A57" s="21">
        <f>IF(Tasks[[#This Row],[Task Name]]="","",COUNTA(Tasks[[#Headers],[Task Name]]:Tasks[[#This Row],[Task Name]])-1)</f>
        <v/>
      </c>
      <c r="B57" s="22" t="n">
        <v>65</v>
      </c>
      <c r="C57" s="22" t="n"/>
      <c r="D57" s="23" t="n"/>
      <c r="E57" s="22" t="n"/>
      <c r="F57" s="23" t="n"/>
      <c r="G57" s="22" t="n"/>
      <c r="H57" s="22" t="n"/>
      <c r="I57" s="23" t="n"/>
      <c r="J57" s="22" t="n"/>
      <c r="K57" s="22" t="n"/>
      <c r="L57" s="23" t="n"/>
      <c r="M57" s="22" t="n"/>
      <c r="N57" s="22" t="n"/>
      <c r="O57" s="23" t="n"/>
      <c r="P57" s="22" t="n"/>
      <c r="Q57" s="22" t="n"/>
      <c r="R57" s="23" t="n"/>
      <c r="S57" s="23" t="n"/>
      <c r="T57" s="82" t="n"/>
      <c r="U57" s="23" t="n"/>
      <c r="V57" s="82" t="n"/>
      <c r="W57" s="23" t="n"/>
      <c r="X57" s="82" t="n"/>
      <c r="Y57" s="23" t="n"/>
      <c r="Z57" s="82" t="n"/>
      <c r="AA57" s="23" t="n"/>
      <c r="AB57" s="23" t="n"/>
      <c r="AC57" s="7" t="n"/>
      <c r="AD57" s="7" t="n"/>
      <c r="AE57" s="61">
        <f>IF(Tasks[[#This Row],[Task Name]]="","",IF(Tasks[[#This Row],[_IsSummary]],MIN(INDEX(Tasks[_ShownFcstStart],Tasks[[#This Row],[_Row]]+1):INDEX(Tasks[_ShownFcstStart],Tasks[[#This Row],[_Row]]+Tasks[[#This Row],[_Descendants]])),Tasks[[#This Row],[_ShownFcstStart]]))</f>
        <v/>
      </c>
      <c r="AF57" s="61">
        <f>IF(Tasks[[#This Row],[Task Name]]="","",IF(Tasks[[#This Row],[_IsSummary]],MAX(INDEX(Tasks[_ShownFcstFinish],Tasks[[#This Row],[_Row]]+1):INDEX(Tasks[_ShownFcstFinish],Tasks[[#This Row],[_Row]]+Tasks[[#This Row],[_Descendants]])),Tasks[[#This Row],[_ShownFcstFinish]]))</f>
        <v/>
      </c>
      <c r="AG57" s="21">
        <f>""</f>
        <v/>
      </c>
      <c r="AH57" s="23" t="n"/>
      <c r="AI5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7" s="7" t="n"/>
      <c r="AK57" s="22" t="n"/>
      <c r="AL57" s="23" t="n"/>
      <c r="AM57" s="7" t="n"/>
      <c r="AN57" s="21">
        <f>IF(Tasks[[#This Row],[Task Name]]="","",IF(Tasks[[#This Row],[Finish]]&gt;=Tasks[[#This Row],[Planned Finish]],NETWORKDAYS.INTL(Tasks[[#This Row],[Planned Finish]],Tasks[[#This Row],[Finish]],WorkWeek,Holidays)-1,1-NETWORKDAYS.INTL(Tasks[[#This Row],[Finish]],Tasks[[#This Row],[Planned Finish]],WorkWeek,Holidays)))</f>
        <v/>
      </c>
      <c r="AO57" s="21">
        <f>IF(Tasks[[#This Row],[Task Name]]="","",IF(Tasks[[#This Row],[Progress]]&gt;=1,"Complete",IF(OR(N(Tasks[[#This Row],[Actual Start]])&gt;0,Tasks[[#This Row],[Progress]]&gt;0),IF(Tasks[[#This Row],[Finish Var]]&gt;0,"Behind","In Progress"),IF(Tasks[[#This Row],[Planned Start]]&lt;StatusDate,"Late Start","Not Started"))))</f>
        <v/>
      </c>
      <c r="AP57" s="21">
        <f>IF(Tasks[[#This Row],[Task Name]]="","",IF(IF(Tasks[[#This Row],[_IsSummary]],COUNTIF(INDEX(Tasks[_LeafCritical],Tasks[[#This Row],[_Row]]+1):INDEX(Tasks[_LeafCritical],Tasks[[#This Row],[_Row]]+Tasks[[#This Row],[_Descendants]]),TRUE())&gt;0,Tasks[[#This Row],[_LeafCritical]]),"Yes",""))</f>
        <v/>
      </c>
      <c r="AQ57" s="61">
        <f>IF(Tasks[[#This Row],[Task Name]]="","",IF(N(Tasks[[#This Row],[Baseline Start]])&gt;0,Tasks[[#This Row],[Baseline Start]],Tasks[[#This Row],[_CalcStart]]))</f>
        <v/>
      </c>
      <c r="AR57" s="61">
        <f>IF(Tasks[[#This Row],[Task Name]]="","",IF(N(Tasks[[#This Row],[Baseline Finish]])&gt;0,Tasks[[#This Row],[Baseline Finish]],Tasks[[#This Row],[_CalcFinish]]))</f>
        <v/>
      </c>
      <c r="AS57" s="21">
        <f>IF(Tasks[[#This Row],[Task Name]]="","",IF(Tasks[[#This Row],[Start]]&gt;=Tasks[[#This Row],[Planned Start]],NETWORKDAYS.INTL(Tasks[[#This Row],[Planned Start]],Tasks[[#This Row],[Start]],WorkWeek,Holidays)-1,1-NETWORKDAYS.INTL(Tasks[[#This Row],[Start]],Tasks[[#This Row],[Planned Start]],WorkWeek,Holidays)))</f>
        <v/>
      </c>
      <c r="AT57" s="61">
        <f>IF(Tasks[[#This Row],[Task Name]]="","",IF(Tasks[[#This Row],[_IsSummary]],MIN(INDEX(Tasks[_LeafLateStart],Tasks[[#This Row],[_Row]]+1):INDEX(Tasks[_LeafLateStart],Tasks[[#This Row],[_Row]]+Tasks[[#This Row],[_Descendants]])),Tasks[[#This Row],[_LeafLateStart]]))</f>
        <v/>
      </c>
      <c r="AU57" s="61">
        <f>IF(Tasks[[#This Row],[Task Name]]="","",IF(Tasks[[#This Row],[_IsSummary]],MAX(INDEX(Tasks[_LeafLateFinish],Tasks[[#This Row],[_Row]]+1):INDEX(Tasks[_LeafLateFinish],Tasks[[#This Row],[_Row]]+Tasks[[#This Row],[_Descendants]])),Tasks[[#This Row],[_LeafLateFinish]]))</f>
        <v/>
      </c>
      <c r="AV57" s="21">
        <f>IF(Tasks[[#This Row],[Task Name]]="","",IF(Tasks[[#This Row],[_IsSummary]],MIN(INDEX(Tasks[_LeafTotalSlack],Tasks[[#This Row],[_Row]]+1):INDEX(Tasks[_LeafTotalSlack],Tasks[[#This Row],[_Row]]+Tasks[[#This Row],[_Descendants]])),Tasks[[#This Row],[_LeafTotalSlack]]))</f>
        <v/>
      </c>
      <c r="AW5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3" t="n"/>
      <c r="BA5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f>IF(Tasks[[#This Row],[Task Name]]="","",IF(Tasks[[#This Row],[_Level]]&lt;=OutlineShowLevel,"Yes","No"))</f>
        <v/>
      </c>
      <c r="BE57" s="84">
        <f>IF(Tasks[[#This Row],[Task Name]]="","",IF(Tasks[[#This Row],[_IsSummary]],SUM(INDEX(Tasks[_LeafTotalWork],Tasks[[#This Row],[_Row]]+1):INDEX(Tasks[_LeafTotalWork],Tasks[[#This Row],[_Row]]+Tasks[[#This Row],[_Descendants]])),Tasks[[#This Row],[_LeafTotalWork]]))</f>
        <v/>
      </c>
      <c r="BF57" s="23" t="n"/>
      <c r="BG5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f>""</f>
        <v/>
      </c>
      <c r="BI57" s="85" t="n"/>
      <c r="BJ57" s="22" t="n"/>
      <c r="BK57" s="21">
        <f>IF(OR(Tasks[[#This Row],[Task Name]]="",Tasks[[#This Row],[Baseline Duration]]=""),"",Tasks[[#This Row],[_SpanDays]]-N(Tasks[[#This Row],[Baseline Duration]]))</f>
        <v/>
      </c>
      <c r="BL57" s="84">
        <f>IF(OR(Tasks[[#This Row],[Task Name]]="",Tasks[[#This Row],[Baseline Work]]=""),"",Tasks[[#This Row],[Work]]-N(Tasks[[#This Row],[Baseline Work]]))</f>
        <v/>
      </c>
      <c r="BM57" s="61">
        <f>IF(Tasks[[#This Row],[Task Name]]="","",IF(OR(TakeBaseline="Yes",N(Tasks[[#This Row],[Baseline Start]])=0),Tasks[[#This Row],[Start]],Tasks[[#This Row],[Baseline Start]]))</f>
        <v/>
      </c>
      <c r="BN57" s="61">
        <f>IF(Tasks[[#This Row],[Task Name]]="","",IF(OR(TakeBaseline="Yes",N(Tasks[[#This Row],[Baseline Finish]])=0),Tasks[[#This Row],[Finish]],Tasks[[#This Row],[Baseline Finish]]))</f>
        <v/>
      </c>
      <c r="BO57" s="21">
        <f>IF(Tasks[[#This Row],[Task Name]]="","",IF(OR(TakeBaseline="Yes",N(Tasks[[#This Row],[Baseline Duration]])=0),Tasks[[#This Row],[_SpanDays]],Tasks[[#This Row],[Baseline Duration]]))</f>
        <v/>
      </c>
      <c r="BP57" s="84">
        <f>IF(Tasks[[#This Row],[Task Name]]="","",IF(OR(TakeBaseline="Yes",N(Tasks[[#This Row],[Baseline Work]])=0),Tasks[[#This Row],[Work]],Tasks[[#This Row],[Baseline Work]]))</f>
        <v/>
      </c>
      <c r="BQ57" s="7" t="n"/>
      <c r="BR57" s="7" t="n"/>
      <c r="BS57" s="22" t="n"/>
      <c r="BT57" s="86" t="n"/>
      <c r="BU57" s="23" t="n"/>
      <c r="BV57" s="23" t="n"/>
      <c r="BW57" s="23" t="n"/>
      <c r="BX57" s="87">
        <f>IF(AND(Tasks[[#This Row],[_IsLeaf]]=1,ISNUMBER(Tasks[[#This Row],[Optimistic]]),ISNUMBER(Tasks[[#This Row],[Pessimistic]])),ROUND((Tasks[[#This Row],[Optimistic]]+4*N(Tasks[[#This Row],[_Days]])+Tasks[[#This Row],[Pessimistic]])/6,1),"")</f>
        <v/>
      </c>
      <c r="BY57" s="85" t="n"/>
      <c r="BZ57" s="85" t="n"/>
      <c r="CA57" s="22" t="n"/>
      <c r="CB57" s="42">
        <f>IF(Tasks[[#This Row],[Task Name]]="","",MAX(1,N(Tasks[[#This Row],[Level]])))</f>
        <v/>
      </c>
      <c r="CC57" s="42">
        <f>ROW()-ROW(Tasks[[#Headers],[ID]])</f>
        <v/>
      </c>
      <c r="CD57" s="42">
        <f>IF(OR(Tasks[[#This Row],[Task Name]]="",Tasks[[#This Row],[_Level]]&lt;=1),0,IFERROR(LOOKUP(2,1/(Tasks[[#Headers],[_Level]]:Tasks[[#This Row],[_Level]]=Tasks[[#This Row],[_Level]]-1),ROW(Tasks[[#Headers],[_Level]]:Tasks[[#This Row],[_Level]])),0))</f>
        <v/>
      </c>
      <c r="CE57" s="42">
        <f>IFERROR(N(INDEX(Tasks[_Level],Tasks[[#This Row],[_Row]]+1)),0)</f>
        <v/>
      </c>
      <c r="CF57" s="42">
        <f>AND(Tasks[[#This Row],[Task Name]]&lt;&gt;"",Tasks[[#This Row],[_NextLevel]]&gt;Tasks[[#This Row],[_Level]])</f>
        <v/>
      </c>
      <c r="CG57" s="42">
        <f>IF(Tasks[[#This Row],[_IsSummary]],COUNTIF(Tasks[WBS],Tasks[[#This Row],[WBS]]&amp;".*"),0)</f>
        <v/>
      </c>
      <c r="CH57" s="42">
        <f>IF(AND(Tasks[[#This Row],[Task Name]]&lt;&gt;"",NOT(Tasks[[#This Row],[_IsSummary]])),1,0)</f>
        <v/>
      </c>
      <c r="CI57" s="42">
        <f>IF(N(Tasks[[#This Row],[_Pred1UID]])=0,0,IFERROR(MATCH(Tasks[[#This Row],[_Pred1UID]],Tasks[UID],0),-1))</f>
        <v/>
      </c>
      <c r="CJ57" s="42">
        <f>IF(N(Tasks[[#This Row],[_Pred2UID]])=0,0,IFERROR(MATCH(Tasks[[#This Row],[_Pred2UID]],Tasks[UID],0),-1))</f>
        <v/>
      </c>
      <c r="CK57" s="42">
        <f>IF(N(Tasks[[#This Row],[_Pred3UID]])=0,0,IFERROR(MATCH(Tasks[[#This Row],[_Pred3UID]],Tasks[UID],0),-1))</f>
        <v/>
      </c>
      <c r="CL57" s="42">
        <f>IF(N(Tasks[[#This Row],[_Pred4UID]])=0,0,IFERROR(MATCH(Tasks[[#This Row],[_Pred4UID]],Tasks[UID],0),-1))</f>
        <v/>
      </c>
      <c r="CM5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7" s="88">
        <f>IF(N(Tasks[[#This Row],[Constraint Date]])=0,0,IF(AND(OR(Tasks[[#This Row],[_ConstraintCode]]=3,Tasks[[#This Row],[_ConstraintCode]]=6,Tasks[[#This Row],[_ConstraintCode]]=7),N(Tasks[[#This Row],[_Days]])&gt;1),WORKDAY.INTL(N(Tasks[[#This Row],[Constraint Date]]),-(N(Tasks[[#This Row],[_Days]])-1),WorkWeek,Holidays),N(Tasks[[#This Row],[Constraint Date]])))</f>
        <v/>
      </c>
      <c r="CO57" s="88">
        <f>IF(OR(Tasks[[#This Row],[_ConstraintCode]]=2,Tasks[[#This Row],[_ConstraintCode]]=3,Tasks[[#This Row],[_ConstraintCode]]=4,Tasks[[#This Row],[_ConstraintCode]]=6),Tasks[[#This Row],[_ConstraintStart]],0)</f>
        <v/>
      </c>
      <c r="CP57" s="88">
        <f>IF(OR(Tasks[[#This Row],[_ConstraintCode]]=2,Tasks[[#This Row],[_ConstraintCode]]=3,Tasks[[#This Row],[_ConstraintCode]]=5,Tasks[[#This Row],[_ConstraintCode]]=7),Tasks[[#This Row],[_ConstraintStart]],2958465)</f>
        <v/>
      </c>
      <c r="CQ5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7" s="88">
        <f>IF(NOT(Tasks[[#This Row],[_IsLeaf]]=1),"",IF(N(Tasks[[#This Row],[_Days]])&lt;=0,Tasks[[#This Row],[_LeafCalcStart]],WORKDAY.INTL(Tasks[[#This Row],[_LeafCalcStart]],Tasks[[#This Row],[_Days]]-1,WorkWeek,Holidays)))</f>
        <v/>
      </c>
      <c r="CS5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7" s="42">
        <f>IF(Tasks[[#This Row],[_Predecessors]]="","",TRIM(MID(SUBSTITUTE(SUBSTITUTE(SUBSTITUTE(UPPER(Tasks[[#This Row],[_Predecessors]]),";",",")," ",""),",",REPT(" ",99)),1,99)))</f>
        <v/>
      </c>
      <c r="CV57" s="42">
        <f>IF(Tasks[[#This Row],[_Pred1Text]]="","",IFERROR(VALUE(LEFT(Tasks[[#This Row],[_Pred1Text]],MIN(FIND("F",Tasks[[#This Row],[_Pred1Text]]&amp;"F"),FIND("S",Tasks[[#This Row],[_Pred1Text]]&amp;"S"),FIND("+",Tasks[[#This Row],[_Pred1Text]]&amp;"+"),FIND("-",Tasks[[#This Row],[_Pred1Text]]&amp;"-"))-1)),""))</f>
        <v/>
      </c>
      <c r="CW5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7" s="42">
        <f>IF(Tasks[[#This Row],[_Pred1Text]]="","",TRIM(MID(SUBSTITUTE(SUBSTITUTE(SUBSTITUTE(UPPER(Tasks[[#This Row],[_Predecessors]]),";",",")," ",""),",",REPT(" ",99)),100,99)))</f>
        <v/>
      </c>
      <c r="CZ57" s="42">
        <f>IF(Tasks[[#This Row],[_Pred2Text]]="","",IFERROR(VALUE(LEFT(Tasks[[#This Row],[_Pred2Text]],MIN(FIND("F",Tasks[[#This Row],[_Pred2Text]]&amp;"F"),FIND("S",Tasks[[#This Row],[_Pred2Text]]&amp;"S"),FIND("+",Tasks[[#This Row],[_Pred2Text]]&amp;"+"),FIND("-",Tasks[[#This Row],[_Pred2Text]]&amp;"-"))-1)),""))</f>
        <v/>
      </c>
      <c r="DA5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7" s="42">
        <f>IF(Tasks[[#This Row],[_Pred2Text]]="","",TRIM(MID(SUBSTITUTE(SUBSTITUTE(SUBSTITUTE(UPPER(Tasks[[#This Row],[_Predecessors]]),";",",")," ",""),",",REPT(" ",99)),199,99)))</f>
        <v/>
      </c>
      <c r="DD57" s="42">
        <f>IF(Tasks[[#This Row],[_Pred3Text]]="","",IFERROR(VALUE(LEFT(Tasks[[#This Row],[_Pred3Text]],MIN(FIND("F",Tasks[[#This Row],[_Pred3Text]]&amp;"F"),FIND("S",Tasks[[#This Row],[_Pred3Text]]&amp;"S"),FIND("+",Tasks[[#This Row],[_Pred3Text]]&amp;"+"),FIND("-",Tasks[[#This Row],[_Pred3Text]]&amp;"-"))-1)),""))</f>
        <v/>
      </c>
      <c r="DE5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7" s="42">
        <f>IF(Tasks[[#This Row],[_Pred3Text]]="","",TRIM(MID(SUBSTITUTE(SUBSTITUTE(SUBSTITUTE(UPPER(Tasks[[#This Row],[_Predecessors]]),";",",")," ",""),",",REPT(" ",99)),298,99)))</f>
        <v/>
      </c>
      <c r="DH57" s="42">
        <f>IF(Tasks[[#This Row],[_Pred4Text]]="","",IFERROR(VALUE(LEFT(Tasks[[#This Row],[_Pred4Text]],MIN(FIND("F",Tasks[[#This Row],[_Pred4Text]]&amp;"F"),FIND("S",Tasks[[#This Row],[_Pred4Text]]&amp;"S"),FIND("+",Tasks[[#This Row],[_Pred4Text]]&amp;"+"),FIND("-",Tasks[[#This Row],[_Pred4Text]]&amp;"-"))-1)),""))</f>
        <v/>
      </c>
      <c r="DI5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7" s="42">
        <f>IF(OR(Tasks[[#This Row],[Task Name]]="",Tasks[[#This Row],[_Resources]]=""),"",TRIM(MID(SUBSTITUTE(Tasks[[#This Row],[_Resources]],",",REPT(" ",99)),1,99)))</f>
        <v/>
      </c>
      <c r="DL57" s="42">
        <f>IF(Tasks[[#This Row],[_Res1Text]]="","",TRIM(MID(SUBSTITUTE(Tasks[[#This Row],[_Resources]],",",REPT(" ",99)),100,99)))</f>
        <v/>
      </c>
      <c r="DM57" s="42">
        <f>IF(Tasks[[#This Row],[_Res2Text]]="","",TRIM(MID(SUBSTITUTE(Tasks[[#This Row],[_Resources]],",",REPT(" ",99)),199,99)))</f>
        <v/>
      </c>
      <c r="DN57" s="42">
        <f>IF(Tasks[[#This Row],[_Res3Text]]="","",TRIM(MID(SUBSTITUTE(Tasks[[#This Row],[_Resources]],",",REPT(" ",99)),298,99)))</f>
        <v/>
      </c>
      <c r="DO57" s="42">
        <f>IF(Tasks[[#This Row],[_Res1Text]]="",0,IFERROR(MATCH(TRIM(LEFT(Tasks[[#This Row],[_Res1Text]],FIND("[",Tasks[[#This Row],[_Res1Text]]&amp;"[")-1)),res_Name,0),IFERROR(MATCH(TRIM(LEFT(Tasks[[#This Row],[_Res1Text]],FIND("[",Tasks[[#This Row],[_Res1Text]]&amp;"[")-1)),res_Initials,0),0)))</f>
        <v/>
      </c>
      <c r="DP57" s="42">
        <f>IF(Tasks[[#This Row],[_Res2Text]]="",0,IFERROR(MATCH(TRIM(LEFT(Tasks[[#This Row],[_Res2Text]],FIND("[",Tasks[[#This Row],[_Res2Text]]&amp;"[")-1)),res_Name,0),IFERROR(MATCH(TRIM(LEFT(Tasks[[#This Row],[_Res2Text]],FIND("[",Tasks[[#This Row],[_Res2Text]]&amp;"[")-1)),res_Initials,0),0)))</f>
        <v/>
      </c>
      <c r="DQ57" s="42">
        <f>IF(Tasks[[#This Row],[_Res3Text]]="",0,IFERROR(MATCH(TRIM(LEFT(Tasks[[#This Row],[_Res3Text]],FIND("[",Tasks[[#This Row],[_Res3Text]]&amp;"[")-1)),res_Name,0),IFERROR(MATCH(TRIM(LEFT(Tasks[[#This Row],[_Res3Text]],FIND("[",Tasks[[#This Row],[_Res3Text]]&amp;"[")-1)),res_Initials,0),0)))</f>
        <v/>
      </c>
      <c r="DR57" s="42">
        <f>IF(Tasks[[#This Row],[_Res4Text]]="",0,IFERROR(MATCH(TRIM(LEFT(Tasks[[#This Row],[_Res4Text]],FIND("[",Tasks[[#This Row],[_Res4Text]]&amp;"[")-1)),res_Name,0),IFERROR(MATCH(TRIM(LEFT(Tasks[[#This Row],[_Res4Text]],FIND("[",Tasks[[#This Row],[_Res4Text]]&amp;"[")-1)),res_Initials,0),0)))</f>
        <v/>
      </c>
      <c r="DS57" s="42">
        <f>IF(Tasks[[#This Row],[_Res1Text]]="","",IF(Tasks[[#This Row],[_Res1Row]]&gt;0,INDEX(res_Name,Tasks[[#This Row],[_Res1Row]]),TRIM(LEFT(Tasks[[#This Row],[_Res1Text]],FIND("[",Tasks[[#This Row],[_Res1Text]]&amp;"[")-1))))</f>
        <v/>
      </c>
      <c r="DT5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7" s="42">
        <f>IF(NOT(Tasks[[#This Row],[_IsLeaf]]=1),0,(Tasks[[#This Row],[_Resource1]]&lt;&gt;"")+(Tasks[[#This Row],[_Res2]]&lt;&gt;"")+(Tasks[[#This Row],[_Res3]]&lt;&gt;"")+(Tasks[[#This Row],[_Res4]]&lt;&gt;""))</f>
        <v/>
      </c>
      <c r="DV57" s="42">
        <f>IF(Tasks[[#This Row],[_Res2Text]]="","",IF(Tasks[[#This Row],[_Res2Row]]&gt;0,INDEX(res_Name,Tasks[[#This Row],[_Res2Row]]),TRIM(LEFT(Tasks[[#This Row],[_Res2Text]],FIND("[",Tasks[[#This Row],[_Res2Text]]&amp;"[")-1))))</f>
        <v/>
      </c>
      <c r="DW5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7" s="42">
        <f>IF(OR(NOT(Tasks[[#This Row],[_IsLeaf]]=1),Tasks[[#This Row],[_Res2Row]]=0),0,N(Tasks[[#This Row],[_Days]])*HoursPerDay*IF(Tasks[[#This Row],[_Res2Units]]="",DefaultUnits,Tasks[[#This Row],[_Res2Units]]))</f>
        <v/>
      </c>
      <c r="DY57" s="42">
        <f>IF(AND(AND(Tasks[[#This Row],[_IsLeaf]]=1,Tasks[[#This Row],[_LeafTotalWork]]&gt;0),Tasks[[#This Row],[_Res2Work]]&gt;0),Tasks[[#This Row],[_Res2Work]]/(Tasks[[#This Row],[_FinishWorkday]]-Tasks[[#This Row],[_StartWorkday]]+1),0)</f>
        <v/>
      </c>
      <c r="DZ57" s="42">
        <f>Tasks[[#This Row],[_Res2WorkPerWD]]*MAX(0,Tasks[[#This Row],[_StartWorkday]]-1)</f>
        <v/>
      </c>
      <c r="EA57" s="42">
        <f>Tasks[[#This Row],[_Res2Work]]*Tasks[[#This Row],[_LeafProgress]]</f>
        <v/>
      </c>
      <c r="EB57" s="42">
        <f>IF(Tasks[[#This Row],[_Res3Text]]="","",IF(Tasks[[#This Row],[_Res3Row]]&gt;0,INDEX(res_Name,Tasks[[#This Row],[_Res3Row]]),TRIM(LEFT(Tasks[[#This Row],[_Res3Text]],FIND("[",Tasks[[#This Row],[_Res3Text]]&amp;"[")-1))))</f>
        <v/>
      </c>
      <c r="EC5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7" s="42">
        <f>IF(OR(NOT(Tasks[[#This Row],[_IsLeaf]]=1),Tasks[[#This Row],[_Res3Row]]=0),0,N(Tasks[[#This Row],[_Days]])*HoursPerDay*IF(Tasks[[#This Row],[_Res3Units]]="",DefaultUnits,Tasks[[#This Row],[_Res3Units]]))</f>
        <v/>
      </c>
      <c r="EE57" s="42">
        <f>IF(AND(AND(Tasks[[#This Row],[_IsLeaf]]=1,Tasks[[#This Row],[_LeafTotalWork]]&gt;0),Tasks[[#This Row],[_Res3Work]]&gt;0),Tasks[[#This Row],[_Res3Work]]/(Tasks[[#This Row],[_FinishWorkday]]-Tasks[[#This Row],[_StartWorkday]]+1),0)</f>
        <v/>
      </c>
      <c r="EF57" s="42">
        <f>Tasks[[#This Row],[_Res3WorkPerWD]]*MAX(0,Tasks[[#This Row],[_StartWorkday]]-1)</f>
        <v/>
      </c>
      <c r="EG57" s="42">
        <f>Tasks[[#This Row],[_Res3Work]]*Tasks[[#This Row],[_LeafProgress]]</f>
        <v/>
      </c>
      <c r="EH57" s="42">
        <f>IF(Tasks[[#This Row],[_Res4Text]]="","",IF(Tasks[[#This Row],[_Res4Row]]&gt;0,INDEX(res_Name,Tasks[[#This Row],[_Res4Row]]),TRIM(LEFT(Tasks[[#This Row],[_Res4Text]],FIND("[",Tasks[[#This Row],[_Res4Text]]&amp;"[")-1))))</f>
        <v/>
      </c>
      <c r="EI5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7" s="42">
        <f>IF(OR(NOT(Tasks[[#This Row],[_IsLeaf]]=1),Tasks[[#This Row],[_Res4Row]]=0),0,N(Tasks[[#This Row],[_Days]])*HoursPerDay*IF(Tasks[[#This Row],[_Res4Units]]="",DefaultUnits,Tasks[[#This Row],[_Res4Units]]))</f>
        <v/>
      </c>
      <c r="EK57" s="42">
        <f>IF(AND(AND(Tasks[[#This Row],[_IsLeaf]]=1,Tasks[[#This Row],[_LeafTotalWork]]&gt;0),Tasks[[#This Row],[_Res4Work]]&gt;0),Tasks[[#This Row],[_Res4Work]]/(Tasks[[#This Row],[_FinishWorkday]]-Tasks[[#This Row],[_StartWorkday]]+1),0)</f>
        <v/>
      </c>
      <c r="EL57" s="42">
        <f>Tasks[[#This Row],[_Res4WorkPerWD]]*MAX(0,Tasks[[#This Row],[_StartWorkday]]-1)</f>
        <v/>
      </c>
      <c r="EM57" s="42">
        <f>Tasks[[#This Row],[_Res4Work]]*Tasks[[#This Row],[_LeafProgress]]</f>
        <v/>
      </c>
      <c r="EN57" s="42">
        <f>IF(ISNUMBER(Tasks[[#This Row],[% Complete]]),Tasks[[#This Row],[% Complete]],IF(Tasks[[#This Row],[Stage]]="",0,IFERROR(INDEX(stg_Pct,MATCH(Tasks[[#This Row],[Stage]],stg_Name,0)),0)))</f>
        <v/>
      </c>
      <c r="EO57" s="42">
        <f>IF(NOT(Tasks[[#This Row],[_IsLeaf]]=1),0,IF(N(Tasks[[#This Row],[Actual Finish]])&gt;0,1,MIN(1,Tasks[[#This Row],[_Pct]])))</f>
        <v/>
      </c>
      <c r="EP57" s="42">
        <f>IF(OR(NOT(Tasks[[#This Row],[_IsLeaf]]=1),Tasks[[#This Row],[_Res1Row]]=0),0,N(Tasks[[#This Row],[_Days]])*HoursPerDay*IF(Tasks[[#This Row],[_Units1]]="",DefaultUnits,Tasks[[#This Row],[_Units1]]))</f>
        <v/>
      </c>
      <c r="EQ57" s="42">
        <f>Tasks[[#This Row],[_LeafWork]]+Tasks[[#This Row],[_Res2Work]]+Tasks[[#This Row],[_Res3Work]]+Tasks[[#This Row],[_Res4Work]]</f>
        <v/>
      </c>
      <c r="ER5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7" s="42">
        <f>IF(NOT(Tasks[[#This Row],[_IsLeaf]]=1),0,MAX(_xlfn.MAXIFS(Tasks[_Row],Tasks[_Pred1UID],Tasks[[#This Row],[UID]]),_xlfn.MAXIFS(Tasks[_Row],Tasks[_Pred2UID],Tasks[[#This Row],[UID]]),_xlfn.MAXIFS(Tasks[_Row],Tasks[_Pred3UID],Tasks[[#This Row],[UID]]),_xlfn.MAXIFS(Tasks[_Row],Tasks[_Pred4UID],Tasks[[#This Row],[UID]])))</f>
        <v/>
      </c>
      <c r="FA5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7" s="88">
        <f>IF(NOT(Tasks[[#This Row],[_IsLeaf]]=1),"",IF(N(Tasks[[#This Row],[_Days]])&lt;=0,Tasks[[#This Row],[_LeafLateFinish]],WORKDAY.INTL(Tasks[[#This Row],[_LeafLateFinish]],-(Tasks[[#This Row],[_Days]]-1),WorkWeek,Holidays)))</f>
        <v/>
      </c>
      <c r="FD5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7" s="42">
        <f>AND(Tasks[[#This Row],[_IsLeaf]]=1,Tasks[[#This Row],[_LeafProgress]]&lt;1,N(Tasks[[#This Row],[_LeafTotalSlack]])&lt;=CriticalSlackDays)</f>
        <v/>
      </c>
      <c r="FF57" s="42">
        <f>IF(AND(Tasks[[#This Row],[_IsLeaf]]=1,Tasks[[#This Row],[_ConstraintCode]]=1,Tasks[[#This Row],[Mode]]&lt;&gt;"Manual",N(Tasks[[#This Row],[Actual Start]])=0),MAX(0,N(Tasks[[#This Row],[Free Slack]])),0)</f>
        <v/>
      </c>
      <c r="FG57" s="88">
        <f>IF(NOT(Tasks[[#This Row],[_IsLeaf]]=1),"",IF(Tasks[[#This Row],[_AlapShift]]=0,Tasks[[#This Row],[_LeafCalcStart]],WORKDAY.INTL(Tasks[[#This Row],[_LeafCalcStart]],Tasks[[#This Row],[_AlapShift]],WorkWeek,Holidays)))</f>
        <v/>
      </c>
      <c r="FH57" s="88">
        <f>IF(NOT(Tasks[[#This Row],[_IsLeaf]]=1),"",IF(Tasks[[#This Row],[_AlapShift]]=0,Tasks[[#This Row],[_LeafCalcFinish]],WORKDAY.INTL(Tasks[[#This Row],[_LeafCalcFinish]],Tasks[[#This Row],[_AlapShift]],WorkWeek,Holidays)))</f>
        <v/>
      </c>
      <c r="FI57" s="88">
        <f>IF(NOT(Tasks[[#This Row],[_IsLeaf]]=1),"",IF(Tasks[[#This Row],[_AlapShift]]=0,Tasks[[#This Row],[_LeafFcstStart]],WORKDAY.INTL(Tasks[[#This Row],[_LeafFcstStart]],Tasks[[#This Row],[_AlapShift]],WorkWeek,Holidays)))</f>
        <v/>
      </c>
      <c r="FJ57" s="88">
        <f>IF(NOT(Tasks[[#This Row],[_IsLeaf]]=1),"",IF(Tasks[[#This Row],[_AlapShift]]=0,Tasks[[#This Row],[_LeafFcstFinish]],WORKDAY.INTL(Tasks[[#This Row],[_LeafFcstFinish]],Tasks[[#This Row],[_AlapShift]],WorkWeek,Holidays)))</f>
        <v/>
      </c>
      <c r="FK57" s="88">
        <f>IF(Tasks[[#This Row],[Task Name]]="","",IF(Tasks[[#This Row],[_IsSummary]],MIN(INDEX(Tasks[_ShownCalcStart],Tasks[[#This Row],[_Row]]+1):INDEX(Tasks[_ShownCalcStart],Tasks[[#This Row],[_Row]]+Tasks[[#This Row],[_Descendants]])),Tasks[[#This Row],[_ShownCalcStart]]))</f>
        <v/>
      </c>
      <c r="FL57" s="88">
        <f>IF(Tasks[[#This Row],[Task Name]]="","",IF(Tasks[[#This Row],[_IsSummary]],MAX(INDEX(Tasks[_ShownCalcFinish],Tasks[[#This Row],[_Row]]+1):INDEX(Tasks[_ShownCalcFinish],Tasks[[#This Row],[_Row]]+Tasks[[#This Row],[_Descendants]])),Tasks[[#This Row],[_ShownCalcFinish]]))</f>
        <v/>
      </c>
      <c r="FM5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7" s="42">
        <f>IF(AND(Tasks[[#This Row],[_IsLeaf]]=1,Tasks[[#This Row],[_LeafTotalWork]]&gt;0),NETWORKDAYS.INTL(ProjectStart,Tasks[[#This Row],[_ShownFcstStart]],WorkWeek,Holidays),0)</f>
        <v/>
      </c>
      <c r="FZ57" s="42">
        <f>IF(AND(Tasks[[#This Row],[_IsLeaf]]=1,Tasks[[#This Row],[_LeafTotalWork]]&gt;0),MAX(Tasks[[#This Row],[_StartWorkday]],NETWORKDAYS.INTL(ProjectStart,Tasks[[#This Row],[_ShownFcstFinish]],WorkWeek,Holidays)),0)</f>
        <v/>
      </c>
      <c r="GA57" s="42">
        <f>IF(AND(Tasks[[#This Row],[_IsLeaf]]=1,Tasks[[#This Row],[_LeafTotalWork]]&gt;0),Tasks[[#This Row],[_LeafWork]]/(Tasks[[#This Row],[_FinishWorkday]]-Tasks[[#This Row],[_StartWorkday]]+1),0)</f>
        <v/>
      </c>
      <c r="GB57" s="42">
        <f>Tasks[[#This Row],[_WorkPerWorkday]]*(Tasks[[#This Row],[_StartWorkday]]-1)</f>
        <v/>
      </c>
      <c r="GC57" s="42">
        <f>IF(Tasks[[#This Row],[_IsLeaf]]=1,MAX(N(Tasks[[#This Row],[_Days]]),0.1),0)</f>
        <v/>
      </c>
      <c r="GD57" s="42">
        <f>Tasks[[#This Row],[_WeightDur]]*Tasks[[#This Row],[_LeafProgress]]</f>
        <v/>
      </c>
      <c r="GE57" s="42">
        <f>Tasks[[#This Row],[_WeightDur]]*Tasks[[#This Row],[_PlannedPct]]</f>
        <v/>
      </c>
      <c r="GF5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7" s="42">
        <f>IF(AND(Tasks[[#This Row],[_IsLeaf]]=1,N(Tasks[[#This Row],[_Days]])=0,Tasks[[#This Row],[_LeafProgress]]&lt;1),Tasks[[#This Row],[_ShownFcstFinish]]+Tasks[[#This Row],[_Row]]/100000,"")</f>
        <v/>
      </c>
      <c r="GH5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7" s="42">
        <f>IF(Tasks[[#This Row],[Task Name]]="","",LEFT(Tasks[[#This Row],[WBS]],FIND(".",Tasks[[#This Row],[WBS]]&amp;".")-1))</f>
        <v/>
      </c>
      <c r="GJ57" s="42">
        <f>IF(AND(Tasks[[#This Row],[Task Name]]&lt;&gt;"",Tasks[[#This Row],[_Level]]=1),Tasks[[#This Row],[_Row]],"")</f>
        <v/>
      </c>
      <c r="GK57" s="42">
        <f>IF(AND(Tasks[[#This Row],[_IsLeaf]]=1,N(Tasks[[#This Row],[_Days]])=0),Tasks[[#This Row],[Planned Finish]]+Tasks[[#This Row],[_Row]]/100000,"")</f>
        <v/>
      </c>
      <c r="GL57" s="42">
        <f>IF(AND(Tasks[[#This Row],[_IsLeaf]]=1,Tasks[[#This Row],[_LeafProgress]]&lt;1,OR(N(Tasks[[#This Row],[Finish Var]])&gt;0,Tasks[[#This Row],[Status]]="Late Start")),MAX(0,Tasks[[#This Row],[Finish Var]])+1-Tasks[[#This Row],[_Row]]/1000000,"")</f>
        <v/>
      </c>
      <c r="GM57" s="42">
        <f>IF(AND(Tasks[[#This Row],[_IsLeaf]]=1,N(Tasks[[#This Row],[Actual Start]])=0,Tasks[[#This Row],[_ShownFcstStart]]&gt;=StatusDate,Tasks[[#This Row],[_ShownFcstStart]]&lt;=LookaheadEnd),Tasks[[#This Row],[_ShownFcstStart]]+Tasks[[#This Row],[_Row]]/100000,"")</f>
        <v/>
      </c>
      <c r="GN57" s="42">
        <f>IF(AND(Tasks[[#This Row],[_IsLeaf]]=1,Tasks[[#This Row],[_LeafProgress]]&lt;1,Tasks[[#This Row],[_ShownFcstFinish]]&gt;=StatusDate,Tasks[[#This Row],[_ShownFcstFinish]]&lt;=LookaheadEnd),Tasks[[#This Row],[_ShownFcstFinish]]+Tasks[[#This Row],[_Row]]/100000,"")</f>
        <v/>
      </c>
      <c r="GO57" s="42">
        <f>IF(Tasks[[#This Row],[_LeafCritical]],Tasks[[#This Row],[_ShownFcstStart]]+Tasks[[#This Row],[_Row]]/100000,"")</f>
        <v/>
      </c>
      <c r="GP57" s="42">
        <f>Tasks[[#This Row],[_LeafWork]]*Tasks[[#This Row],[_LeafProgress]]</f>
        <v/>
      </c>
      <c r="GQ57" s="88">
        <f>IF(AND(Tasks[[#This Row],[_IsLeaf]]=1,Tasks[[#This Row],[_LeafProgress]]&gt;=1),IF(N(Tasks[[#This Row],[Actual Finish]])&gt;0,Tasks[[#This Row],[Actual Finish]],Tasks[[#This Row],[_ShownFcstFinish]]),"")</f>
        <v/>
      </c>
      <c r="GR57" s="42">
        <f>IF(Tasks[[#This Row],[_IsLeaf]]=1,N(Tasks[[#This Row],[Story Points]]),0)</f>
        <v/>
      </c>
      <c r="GS57" s="42">
        <f>""</f>
        <v/>
      </c>
      <c r="GT57" s="42">
        <f>IF(Tasks[[#This Row],[Task Name]]="",FALSE(),AND(Tasks[[#This Row],[_IsLeaf]]=1,N(Tasks[[#This Row],[_Days]])=0))</f>
        <v/>
      </c>
      <c r="GU57" s="88">
        <f>IF(Tasks[[#This Row],[Task Name]]="",0,IF(AND(Tasks[[#This Row],[_IsLeaf]]=1,NOT(Tasks[[#This Row],[_IsMilestone]]),N(Tasks[[#This Row],[Progress]])&gt;0),Tasks[[#This Row],[Start]],0))</f>
        <v/>
      </c>
      <c r="GV57" s="88">
        <f>IF(Tasks[[#This Row],[_DoneFrom]]=0,0,IF(Tasks[[#This Row],[Progress]]&gt;=1,Tasks[[#This Row],[Finish]],MAX(Tasks[[#This Row],[_DoneFrom]],Tasks[[#This Row],[Start]]+ROUND((Tasks[[#This Row],[Finish]]-Tasks[[#This Row],[Start]]+1)*Tasks[[#This Row],[Progress]],0)-1)))</f>
        <v/>
      </c>
      <c r="GW57" s="88">
        <f>IF(Tasks[[#This Row],[Task Name]]="",0,IF(OR(NOT(Tasks[[#This Row],[_IsLeaf]]=1),Tasks[[#This Row],[_IsMilestone]],N(Tasks[[#This Row],[Progress]])&gt;=1),0,IF(Tasks[[#This Row],[_DoneTo]]&gt;0,Tasks[[#This Row],[_DoneTo]]+1,Tasks[[#This Row],[Start]])))</f>
        <v/>
      </c>
      <c r="GX57" s="88">
        <f>IF(Tasks[[#This Row],[_RemFrom]]=0,0,Tasks[[#This Row],[Finish]])</f>
        <v/>
      </c>
      <c r="GY57" s="42">
        <f>IF(Tasks[[#This Row],[Task Name]]="",FALSE(),OR(NOT(BaselineSet),N(Tasks[[#This Row],[Baseline Start]])&gt;0))</f>
        <v/>
      </c>
      <c r="GZ57" s="42">
        <f>IF(AND(Sandbox="Yes",L_PARSE_DURATION(Tasks[[#This Row],[Sandbox Duration]])&lt;&gt;""),L_PARSE_DURATION(Tasks[[#This Row],[Sandbox Duration]]),L_PARSE_DURATION(Tasks[[#This Row],[Duration]]))</f>
        <v/>
      </c>
      <c r="HA5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7" s="42">
        <f>IF(Tasks[[#This Row],[_IsLeaf]]=1,Tasks[[#This Row],[_Row]],"")</f>
        <v/>
      </c>
      <c r="HD57" s="42">
        <f>IFERROR(INDEX(Tasks[UID],SMALL(Tasks[_PickKey],Tasks[[#This Row],[_Row]]))&amp;" "&amp;INDEX(Tasks[Task Name],SMALL(Tasks[_PickKey],Tasks[[#This Row],[_Row]])),"")</f>
        <v/>
      </c>
      <c r="HE57" s="42">
        <f>IF(Tasks[[#This Row],[Task Name]]="","",IF(Tasks[[#This Row],[_IsSummary]],NETWORKDAYS.INTL(Tasks[[#This Row],[Start]],Tasks[[#This Row],[Finish]],WorkWeek,Holidays),N(Tasks[[#This Row],[_Days]])))</f>
        <v/>
      </c>
      <c r="HF57" s="42">
        <f>IF(Tasks[[#This Row],[Expected]]="",0,((Tasks[[#This Row],[Pessimistic]]-Tasks[[#This Row],[Optimistic]])/6)^2)</f>
        <v/>
      </c>
      <c r="HG57" s="42">
        <f>IF(Tasks[[#This Row],[Expected]]="",0,Tasks[[#This Row],[Expected]]-N(Tasks[[#This Row],[_Days]]))</f>
        <v/>
      </c>
    </row>
    <row r="58">
      <c r="A58" s="21">
        <f>IF(Tasks[[#This Row],[Task Name]]="","",COUNTA(Tasks[[#Headers],[Task Name]]:Tasks[[#This Row],[Task Name]])-1)</f>
        <v/>
      </c>
      <c r="B58" s="22" t="n">
        <v>66</v>
      </c>
      <c r="C58" s="22" t="n"/>
      <c r="D58" s="23" t="n"/>
      <c r="E58" s="22" t="n"/>
      <c r="F58" s="23" t="n"/>
      <c r="G58" s="22" t="n"/>
      <c r="H58" s="22" t="n"/>
      <c r="I58" s="23" t="n"/>
      <c r="J58" s="22" t="n"/>
      <c r="K58" s="22" t="n"/>
      <c r="L58" s="23" t="n"/>
      <c r="M58" s="22" t="n"/>
      <c r="N58" s="22" t="n"/>
      <c r="O58" s="23" t="n"/>
      <c r="P58" s="22" t="n"/>
      <c r="Q58" s="22" t="n"/>
      <c r="R58" s="23" t="n"/>
      <c r="S58" s="23" t="n"/>
      <c r="T58" s="82" t="n"/>
      <c r="U58" s="23" t="n"/>
      <c r="V58" s="82" t="n"/>
      <c r="W58" s="23" t="n"/>
      <c r="X58" s="82" t="n"/>
      <c r="Y58" s="23" t="n"/>
      <c r="Z58" s="82" t="n"/>
      <c r="AA58" s="23" t="n"/>
      <c r="AB58" s="23" t="n"/>
      <c r="AC58" s="7" t="n"/>
      <c r="AD58" s="7" t="n"/>
      <c r="AE58" s="61">
        <f>IF(Tasks[[#This Row],[Task Name]]="","",IF(Tasks[[#This Row],[_IsSummary]],MIN(INDEX(Tasks[_ShownFcstStart],Tasks[[#This Row],[_Row]]+1):INDEX(Tasks[_ShownFcstStart],Tasks[[#This Row],[_Row]]+Tasks[[#This Row],[_Descendants]])),Tasks[[#This Row],[_ShownFcstStart]]))</f>
        <v/>
      </c>
      <c r="AF58" s="61">
        <f>IF(Tasks[[#This Row],[Task Name]]="","",IF(Tasks[[#This Row],[_IsSummary]],MAX(INDEX(Tasks[_ShownFcstFinish],Tasks[[#This Row],[_Row]]+1):INDEX(Tasks[_ShownFcstFinish],Tasks[[#This Row],[_Row]]+Tasks[[#This Row],[_Descendants]])),Tasks[[#This Row],[_ShownFcstFinish]]))</f>
        <v/>
      </c>
      <c r="AG58" s="21">
        <f>""</f>
        <v/>
      </c>
      <c r="AH58" s="23" t="n"/>
      <c r="AI5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8" s="7" t="n"/>
      <c r="AK58" s="22" t="n"/>
      <c r="AL58" s="23" t="n"/>
      <c r="AM58" s="7" t="n"/>
      <c r="AN58" s="21">
        <f>IF(Tasks[[#This Row],[Task Name]]="","",IF(Tasks[[#This Row],[Finish]]&gt;=Tasks[[#This Row],[Planned Finish]],NETWORKDAYS.INTL(Tasks[[#This Row],[Planned Finish]],Tasks[[#This Row],[Finish]],WorkWeek,Holidays)-1,1-NETWORKDAYS.INTL(Tasks[[#This Row],[Finish]],Tasks[[#This Row],[Planned Finish]],WorkWeek,Holidays)))</f>
        <v/>
      </c>
      <c r="AO58" s="21">
        <f>IF(Tasks[[#This Row],[Task Name]]="","",IF(Tasks[[#This Row],[Progress]]&gt;=1,"Complete",IF(OR(N(Tasks[[#This Row],[Actual Start]])&gt;0,Tasks[[#This Row],[Progress]]&gt;0),IF(Tasks[[#This Row],[Finish Var]]&gt;0,"Behind","In Progress"),IF(Tasks[[#This Row],[Planned Start]]&lt;StatusDate,"Late Start","Not Started"))))</f>
        <v/>
      </c>
      <c r="AP58" s="21">
        <f>IF(Tasks[[#This Row],[Task Name]]="","",IF(IF(Tasks[[#This Row],[_IsSummary]],COUNTIF(INDEX(Tasks[_LeafCritical],Tasks[[#This Row],[_Row]]+1):INDEX(Tasks[_LeafCritical],Tasks[[#This Row],[_Row]]+Tasks[[#This Row],[_Descendants]]),TRUE())&gt;0,Tasks[[#This Row],[_LeafCritical]]),"Yes",""))</f>
        <v/>
      </c>
      <c r="AQ58" s="61">
        <f>IF(Tasks[[#This Row],[Task Name]]="","",IF(N(Tasks[[#This Row],[Baseline Start]])&gt;0,Tasks[[#This Row],[Baseline Start]],Tasks[[#This Row],[_CalcStart]]))</f>
        <v/>
      </c>
      <c r="AR58" s="61">
        <f>IF(Tasks[[#This Row],[Task Name]]="","",IF(N(Tasks[[#This Row],[Baseline Finish]])&gt;0,Tasks[[#This Row],[Baseline Finish]],Tasks[[#This Row],[_CalcFinish]]))</f>
        <v/>
      </c>
      <c r="AS58" s="21">
        <f>IF(Tasks[[#This Row],[Task Name]]="","",IF(Tasks[[#This Row],[Start]]&gt;=Tasks[[#This Row],[Planned Start]],NETWORKDAYS.INTL(Tasks[[#This Row],[Planned Start]],Tasks[[#This Row],[Start]],WorkWeek,Holidays)-1,1-NETWORKDAYS.INTL(Tasks[[#This Row],[Start]],Tasks[[#This Row],[Planned Start]],WorkWeek,Holidays)))</f>
        <v/>
      </c>
      <c r="AT58" s="61">
        <f>IF(Tasks[[#This Row],[Task Name]]="","",IF(Tasks[[#This Row],[_IsSummary]],MIN(INDEX(Tasks[_LeafLateStart],Tasks[[#This Row],[_Row]]+1):INDEX(Tasks[_LeafLateStart],Tasks[[#This Row],[_Row]]+Tasks[[#This Row],[_Descendants]])),Tasks[[#This Row],[_LeafLateStart]]))</f>
        <v/>
      </c>
      <c r="AU58" s="61">
        <f>IF(Tasks[[#This Row],[Task Name]]="","",IF(Tasks[[#This Row],[_IsSummary]],MAX(INDEX(Tasks[_LeafLateFinish],Tasks[[#This Row],[_Row]]+1):INDEX(Tasks[_LeafLateFinish],Tasks[[#This Row],[_Row]]+Tasks[[#This Row],[_Descendants]])),Tasks[[#This Row],[_LeafLateFinish]]))</f>
        <v/>
      </c>
      <c r="AV58" s="21">
        <f>IF(Tasks[[#This Row],[Task Name]]="","",IF(Tasks[[#This Row],[_IsSummary]],MIN(INDEX(Tasks[_LeafTotalSlack],Tasks[[#This Row],[_Row]]+1):INDEX(Tasks[_LeafTotalSlack],Tasks[[#This Row],[_Row]]+Tasks[[#This Row],[_Descendants]])),Tasks[[#This Row],[_LeafTotalSlack]]))</f>
        <v/>
      </c>
      <c r="AW5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3" t="n"/>
      <c r="BA5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f>IF(Tasks[[#This Row],[Task Name]]="","",IF(Tasks[[#This Row],[_Level]]&lt;=OutlineShowLevel,"Yes","No"))</f>
        <v/>
      </c>
      <c r="BE58" s="84">
        <f>IF(Tasks[[#This Row],[Task Name]]="","",IF(Tasks[[#This Row],[_IsSummary]],SUM(INDEX(Tasks[_LeafTotalWork],Tasks[[#This Row],[_Row]]+1):INDEX(Tasks[_LeafTotalWork],Tasks[[#This Row],[_Row]]+Tasks[[#This Row],[_Descendants]])),Tasks[[#This Row],[_LeafTotalWork]]))</f>
        <v/>
      </c>
      <c r="BF58" s="23" t="n"/>
      <c r="BG5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f>""</f>
        <v/>
      </c>
      <c r="BI58" s="85" t="n"/>
      <c r="BJ58" s="22" t="n"/>
      <c r="BK58" s="21">
        <f>IF(OR(Tasks[[#This Row],[Task Name]]="",Tasks[[#This Row],[Baseline Duration]]=""),"",Tasks[[#This Row],[_SpanDays]]-N(Tasks[[#This Row],[Baseline Duration]]))</f>
        <v/>
      </c>
      <c r="BL58" s="84">
        <f>IF(OR(Tasks[[#This Row],[Task Name]]="",Tasks[[#This Row],[Baseline Work]]=""),"",Tasks[[#This Row],[Work]]-N(Tasks[[#This Row],[Baseline Work]]))</f>
        <v/>
      </c>
      <c r="BM58" s="61">
        <f>IF(Tasks[[#This Row],[Task Name]]="","",IF(OR(TakeBaseline="Yes",N(Tasks[[#This Row],[Baseline Start]])=0),Tasks[[#This Row],[Start]],Tasks[[#This Row],[Baseline Start]]))</f>
        <v/>
      </c>
      <c r="BN58" s="61">
        <f>IF(Tasks[[#This Row],[Task Name]]="","",IF(OR(TakeBaseline="Yes",N(Tasks[[#This Row],[Baseline Finish]])=0),Tasks[[#This Row],[Finish]],Tasks[[#This Row],[Baseline Finish]]))</f>
        <v/>
      </c>
      <c r="BO58" s="21">
        <f>IF(Tasks[[#This Row],[Task Name]]="","",IF(OR(TakeBaseline="Yes",N(Tasks[[#This Row],[Baseline Duration]])=0),Tasks[[#This Row],[_SpanDays]],Tasks[[#This Row],[Baseline Duration]]))</f>
        <v/>
      </c>
      <c r="BP58" s="84">
        <f>IF(Tasks[[#This Row],[Task Name]]="","",IF(OR(TakeBaseline="Yes",N(Tasks[[#This Row],[Baseline Work]])=0),Tasks[[#This Row],[Work]],Tasks[[#This Row],[Baseline Work]]))</f>
        <v/>
      </c>
      <c r="BQ58" s="7" t="n"/>
      <c r="BR58" s="7" t="n"/>
      <c r="BS58" s="22" t="n"/>
      <c r="BT58" s="86" t="n"/>
      <c r="BU58" s="23" t="n"/>
      <c r="BV58" s="23" t="n"/>
      <c r="BW58" s="23" t="n"/>
      <c r="BX58" s="87">
        <f>IF(AND(Tasks[[#This Row],[_IsLeaf]]=1,ISNUMBER(Tasks[[#This Row],[Optimistic]]),ISNUMBER(Tasks[[#This Row],[Pessimistic]])),ROUND((Tasks[[#This Row],[Optimistic]]+4*N(Tasks[[#This Row],[_Days]])+Tasks[[#This Row],[Pessimistic]])/6,1),"")</f>
        <v/>
      </c>
      <c r="BY58" s="85" t="n"/>
      <c r="BZ58" s="85" t="n"/>
      <c r="CA58" s="22" t="n"/>
      <c r="CB58" s="42">
        <f>IF(Tasks[[#This Row],[Task Name]]="","",MAX(1,N(Tasks[[#This Row],[Level]])))</f>
        <v/>
      </c>
      <c r="CC58" s="42">
        <f>ROW()-ROW(Tasks[[#Headers],[ID]])</f>
        <v/>
      </c>
      <c r="CD58" s="42">
        <f>IF(OR(Tasks[[#This Row],[Task Name]]="",Tasks[[#This Row],[_Level]]&lt;=1),0,IFERROR(LOOKUP(2,1/(Tasks[[#Headers],[_Level]]:Tasks[[#This Row],[_Level]]=Tasks[[#This Row],[_Level]]-1),ROW(Tasks[[#Headers],[_Level]]:Tasks[[#This Row],[_Level]])),0))</f>
        <v/>
      </c>
      <c r="CE58" s="42">
        <f>IFERROR(N(INDEX(Tasks[_Level],Tasks[[#This Row],[_Row]]+1)),0)</f>
        <v/>
      </c>
      <c r="CF58" s="42">
        <f>AND(Tasks[[#This Row],[Task Name]]&lt;&gt;"",Tasks[[#This Row],[_NextLevel]]&gt;Tasks[[#This Row],[_Level]])</f>
        <v/>
      </c>
      <c r="CG58" s="42">
        <f>IF(Tasks[[#This Row],[_IsSummary]],COUNTIF(Tasks[WBS],Tasks[[#This Row],[WBS]]&amp;".*"),0)</f>
        <v/>
      </c>
      <c r="CH58" s="42">
        <f>IF(AND(Tasks[[#This Row],[Task Name]]&lt;&gt;"",NOT(Tasks[[#This Row],[_IsSummary]])),1,0)</f>
        <v/>
      </c>
      <c r="CI58" s="42">
        <f>IF(N(Tasks[[#This Row],[_Pred1UID]])=0,0,IFERROR(MATCH(Tasks[[#This Row],[_Pred1UID]],Tasks[UID],0),-1))</f>
        <v/>
      </c>
      <c r="CJ58" s="42">
        <f>IF(N(Tasks[[#This Row],[_Pred2UID]])=0,0,IFERROR(MATCH(Tasks[[#This Row],[_Pred2UID]],Tasks[UID],0),-1))</f>
        <v/>
      </c>
      <c r="CK58" s="42">
        <f>IF(N(Tasks[[#This Row],[_Pred3UID]])=0,0,IFERROR(MATCH(Tasks[[#This Row],[_Pred3UID]],Tasks[UID],0),-1))</f>
        <v/>
      </c>
      <c r="CL58" s="42">
        <f>IF(N(Tasks[[#This Row],[_Pred4UID]])=0,0,IFERROR(MATCH(Tasks[[#This Row],[_Pred4UID]],Tasks[UID],0),-1))</f>
        <v/>
      </c>
      <c r="CM5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8" s="88">
        <f>IF(N(Tasks[[#This Row],[Constraint Date]])=0,0,IF(AND(OR(Tasks[[#This Row],[_ConstraintCode]]=3,Tasks[[#This Row],[_ConstraintCode]]=6,Tasks[[#This Row],[_ConstraintCode]]=7),N(Tasks[[#This Row],[_Days]])&gt;1),WORKDAY.INTL(N(Tasks[[#This Row],[Constraint Date]]),-(N(Tasks[[#This Row],[_Days]])-1),WorkWeek,Holidays),N(Tasks[[#This Row],[Constraint Date]])))</f>
        <v/>
      </c>
      <c r="CO58" s="88">
        <f>IF(OR(Tasks[[#This Row],[_ConstraintCode]]=2,Tasks[[#This Row],[_ConstraintCode]]=3,Tasks[[#This Row],[_ConstraintCode]]=4,Tasks[[#This Row],[_ConstraintCode]]=6),Tasks[[#This Row],[_ConstraintStart]],0)</f>
        <v/>
      </c>
      <c r="CP58" s="88">
        <f>IF(OR(Tasks[[#This Row],[_ConstraintCode]]=2,Tasks[[#This Row],[_ConstraintCode]]=3,Tasks[[#This Row],[_ConstraintCode]]=5,Tasks[[#This Row],[_ConstraintCode]]=7),Tasks[[#This Row],[_ConstraintStart]],2958465)</f>
        <v/>
      </c>
      <c r="CQ5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8" s="88">
        <f>IF(NOT(Tasks[[#This Row],[_IsLeaf]]=1),"",IF(N(Tasks[[#This Row],[_Days]])&lt;=0,Tasks[[#This Row],[_LeafCalcStart]],WORKDAY.INTL(Tasks[[#This Row],[_LeafCalcStart]],Tasks[[#This Row],[_Days]]-1,WorkWeek,Holidays)))</f>
        <v/>
      </c>
      <c r="CS5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8" s="42">
        <f>IF(Tasks[[#This Row],[_Predecessors]]="","",TRIM(MID(SUBSTITUTE(SUBSTITUTE(SUBSTITUTE(UPPER(Tasks[[#This Row],[_Predecessors]]),";",",")," ",""),",",REPT(" ",99)),1,99)))</f>
        <v/>
      </c>
      <c r="CV58" s="42">
        <f>IF(Tasks[[#This Row],[_Pred1Text]]="","",IFERROR(VALUE(LEFT(Tasks[[#This Row],[_Pred1Text]],MIN(FIND("F",Tasks[[#This Row],[_Pred1Text]]&amp;"F"),FIND("S",Tasks[[#This Row],[_Pred1Text]]&amp;"S"),FIND("+",Tasks[[#This Row],[_Pred1Text]]&amp;"+"),FIND("-",Tasks[[#This Row],[_Pred1Text]]&amp;"-"))-1)),""))</f>
        <v/>
      </c>
      <c r="CW5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8" s="42">
        <f>IF(Tasks[[#This Row],[_Pred1Text]]="","",TRIM(MID(SUBSTITUTE(SUBSTITUTE(SUBSTITUTE(UPPER(Tasks[[#This Row],[_Predecessors]]),";",",")," ",""),",",REPT(" ",99)),100,99)))</f>
        <v/>
      </c>
      <c r="CZ58" s="42">
        <f>IF(Tasks[[#This Row],[_Pred2Text]]="","",IFERROR(VALUE(LEFT(Tasks[[#This Row],[_Pred2Text]],MIN(FIND("F",Tasks[[#This Row],[_Pred2Text]]&amp;"F"),FIND("S",Tasks[[#This Row],[_Pred2Text]]&amp;"S"),FIND("+",Tasks[[#This Row],[_Pred2Text]]&amp;"+"),FIND("-",Tasks[[#This Row],[_Pred2Text]]&amp;"-"))-1)),""))</f>
        <v/>
      </c>
      <c r="DA5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8" s="42">
        <f>IF(Tasks[[#This Row],[_Pred2Text]]="","",TRIM(MID(SUBSTITUTE(SUBSTITUTE(SUBSTITUTE(UPPER(Tasks[[#This Row],[_Predecessors]]),";",",")," ",""),",",REPT(" ",99)),199,99)))</f>
        <v/>
      </c>
      <c r="DD58" s="42">
        <f>IF(Tasks[[#This Row],[_Pred3Text]]="","",IFERROR(VALUE(LEFT(Tasks[[#This Row],[_Pred3Text]],MIN(FIND("F",Tasks[[#This Row],[_Pred3Text]]&amp;"F"),FIND("S",Tasks[[#This Row],[_Pred3Text]]&amp;"S"),FIND("+",Tasks[[#This Row],[_Pred3Text]]&amp;"+"),FIND("-",Tasks[[#This Row],[_Pred3Text]]&amp;"-"))-1)),""))</f>
        <v/>
      </c>
      <c r="DE5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8" s="42">
        <f>IF(Tasks[[#This Row],[_Pred3Text]]="","",TRIM(MID(SUBSTITUTE(SUBSTITUTE(SUBSTITUTE(UPPER(Tasks[[#This Row],[_Predecessors]]),";",",")," ",""),",",REPT(" ",99)),298,99)))</f>
        <v/>
      </c>
      <c r="DH58" s="42">
        <f>IF(Tasks[[#This Row],[_Pred4Text]]="","",IFERROR(VALUE(LEFT(Tasks[[#This Row],[_Pred4Text]],MIN(FIND("F",Tasks[[#This Row],[_Pred4Text]]&amp;"F"),FIND("S",Tasks[[#This Row],[_Pred4Text]]&amp;"S"),FIND("+",Tasks[[#This Row],[_Pred4Text]]&amp;"+"),FIND("-",Tasks[[#This Row],[_Pred4Text]]&amp;"-"))-1)),""))</f>
        <v/>
      </c>
      <c r="DI5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8" s="42">
        <f>IF(OR(Tasks[[#This Row],[Task Name]]="",Tasks[[#This Row],[_Resources]]=""),"",TRIM(MID(SUBSTITUTE(Tasks[[#This Row],[_Resources]],",",REPT(" ",99)),1,99)))</f>
        <v/>
      </c>
      <c r="DL58" s="42">
        <f>IF(Tasks[[#This Row],[_Res1Text]]="","",TRIM(MID(SUBSTITUTE(Tasks[[#This Row],[_Resources]],",",REPT(" ",99)),100,99)))</f>
        <v/>
      </c>
      <c r="DM58" s="42">
        <f>IF(Tasks[[#This Row],[_Res2Text]]="","",TRIM(MID(SUBSTITUTE(Tasks[[#This Row],[_Resources]],",",REPT(" ",99)),199,99)))</f>
        <v/>
      </c>
      <c r="DN58" s="42">
        <f>IF(Tasks[[#This Row],[_Res3Text]]="","",TRIM(MID(SUBSTITUTE(Tasks[[#This Row],[_Resources]],",",REPT(" ",99)),298,99)))</f>
        <v/>
      </c>
      <c r="DO58" s="42">
        <f>IF(Tasks[[#This Row],[_Res1Text]]="",0,IFERROR(MATCH(TRIM(LEFT(Tasks[[#This Row],[_Res1Text]],FIND("[",Tasks[[#This Row],[_Res1Text]]&amp;"[")-1)),res_Name,0),IFERROR(MATCH(TRIM(LEFT(Tasks[[#This Row],[_Res1Text]],FIND("[",Tasks[[#This Row],[_Res1Text]]&amp;"[")-1)),res_Initials,0),0)))</f>
        <v/>
      </c>
      <c r="DP58" s="42">
        <f>IF(Tasks[[#This Row],[_Res2Text]]="",0,IFERROR(MATCH(TRIM(LEFT(Tasks[[#This Row],[_Res2Text]],FIND("[",Tasks[[#This Row],[_Res2Text]]&amp;"[")-1)),res_Name,0),IFERROR(MATCH(TRIM(LEFT(Tasks[[#This Row],[_Res2Text]],FIND("[",Tasks[[#This Row],[_Res2Text]]&amp;"[")-1)),res_Initials,0),0)))</f>
        <v/>
      </c>
      <c r="DQ58" s="42">
        <f>IF(Tasks[[#This Row],[_Res3Text]]="",0,IFERROR(MATCH(TRIM(LEFT(Tasks[[#This Row],[_Res3Text]],FIND("[",Tasks[[#This Row],[_Res3Text]]&amp;"[")-1)),res_Name,0),IFERROR(MATCH(TRIM(LEFT(Tasks[[#This Row],[_Res3Text]],FIND("[",Tasks[[#This Row],[_Res3Text]]&amp;"[")-1)),res_Initials,0),0)))</f>
        <v/>
      </c>
      <c r="DR58" s="42">
        <f>IF(Tasks[[#This Row],[_Res4Text]]="",0,IFERROR(MATCH(TRIM(LEFT(Tasks[[#This Row],[_Res4Text]],FIND("[",Tasks[[#This Row],[_Res4Text]]&amp;"[")-1)),res_Name,0),IFERROR(MATCH(TRIM(LEFT(Tasks[[#This Row],[_Res4Text]],FIND("[",Tasks[[#This Row],[_Res4Text]]&amp;"[")-1)),res_Initials,0),0)))</f>
        <v/>
      </c>
      <c r="DS58" s="42">
        <f>IF(Tasks[[#This Row],[_Res1Text]]="","",IF(Tasks[[#This Row],[_Res1Row]]&gt;0,INDEX(res_Name,Tasks[[#This Row],[_Res1Row]]),TRIM(LEFT(Tasks[[#This Row],[_Res1Text]],FIND("[",Tasks[[#This Row],[_Res1Text]]&amp;"[")-1))))</f>
        <v/>
      </c>
      <c r="DT5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8" s="42">
        <f>IF(NOT(Tasks[[#This Row],[_IsLeaf]]=1),0,(Tasks[[#This Row],[_Resource1]]&lt;&gt;"")+(Tasks[[#This Row],[_Res2]]&lt;&gt;"")+(Tasks[[#This Row],[_Res3]]&lt;&gt;"")+(Tasks[[#This Row],[_Res4]]&lt;&gt;""))</f>
        <v/>
      </c>
      <c r="DV58" s="42">
        <f>IF(Tasks[[#This Row],[_Res2Text]]="","",IF(Tasks[[#This Row],[_Res2Row]]&gt;0,INDEX(res_Name,Tasks[[#This Row],[_Res2Row]]),TRIM(LEFT(Tasks[[#This Row],[_Res2Text]],FIND("[",Tasks[[#This Row],[_Res2Text]]&amp;"[")-1))))</f>
        <v/>
      </c>
      <c r="DW5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8" s="42">
        <f>IF(OR(NOT(Tasks[[#This Row],[_IsLeaf]]=1),Tasks[[#This Row],[_Res2Row]]=0),0,N(Tasks[[#This Row],[_Days]])*HoursPerDay*IF(Tasks[[#This Row],[_Res2Units]]="",DefaultUnits,Tasks[[#This Row],[_Res2Units]]))</f>
        <v/>
      </c>
      <c r="DY58" s="42">
        <f>IF(AND(AND(Tasks[[#This Row],[_IsLeaf]]=1,Tasks[[#This Row],[_LeafTotalWork]]&gt;0),Tasks[[#This Row],[_Res2Work]]&gt;0),Tasks[[#This Row],[_Res2Work]]/(Tasks[[#This Row],[_FinishWorkday]]-Tasks[[#This Row],[_StartWorkday]]+1),0)</f>
        <v/>
      </c>
      <c r="DZ58" s="42">
        <f>Tasks[[#This Row],[_Res2WorkPerWD]]*MAX(0,Tasks[[#This Row],[_StartWorkday]]-1)</f>
        <v/>
      </c>
      <c r="EA58" s="42">
        <f>Tasks[[#This Row],[_Res2Work]]*Tasks[[#This Row],[_LeafProgress]]</f>
        <v/>
      </c>
      <c r="EB58" s="42">
        <f>IF(Tasks[[#This Row],[_Res3Text]]="","",IF(Tasks[[#This Row],[_Res3Row]]&gt;0,INDEX(res_Name,Tasks[[#This Row],[_Res3Row]]),TRIM(LEFT(Tasks[[#This Row],[_Res3Text]],FIND("[",Tasks[[#This Row],[_Res3Text]]&amp;"[")-1))))</f>
        <v/>
      </c>
      <c r="EC5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8" s="42">
        <f>IF(OR(NOT(Tasks[[#This Row],[_IsLeaf]]=1),Tasks[[#This Row],[_Res3Row]]=0),0,N(Tasks[[#This Row],[_Days]])*HoursPerDay*IF(Tasks[[#This Row],[_Res3Units]]="",DefaultUnits,Tasks[[#This Row],[_Res3Units]]))</f>
        <v/>
      </c>
      <c r="EE58" s="42">
        <f>IF(AND(AND(Tasks[[#This Row],[_IsLeaf]]=1,Tasks[[#This Row],[_LeafTotalWork]]&gt;0),Tasks[[#This Row],[_Res3Work]]&gt;0),Tasks[[#This Row],[_Res3Work]]/(Tasks[[#This Row],[_FinishWorkday]]-Tasks[[#This Row],[_StartWorkday]]+1),0)</f>
        <v/>
      </c>
      <c r="EF58" s="42">
        <f>Tasks[[#This Row],[_Res3WorkPerWD]]*MAX(0,Tasks[[#This Row],[_StartWorkday]]-1)</f>
        <v/>
      </c>
      <c r="EG58" s="42">
        <f>Tasks[[#This Row],[_Res3Work]]*Tasks[[#This Row],[_LeafProgress]]</f>
        <v/>
      </c>
      <c r="EH58" s="42">
        <f>IF(Tasks[[#This Row],[_Res4Text]]="","",IF(Tasks[[#This Row],[_Res4Row]]&gt;0,INDEX(res_Name,Tasks[[#This Row],[_Res4Row]]),TRIM(LEFT(Tasks[[#This Row],[_Res4Text]],FIND("[",Tasks[[#This Row],[_Res4Text]]&amp;"[")-1))))</f>
        <v/>
      </c>
      <c r="EI5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8" s="42">
        <f>IF(OR(NOT(Tasks[[#This Row],[_IsLeaf]]=1),Tasks[[#This Row],[_Res4Row]]=0),0,N(Tasks[[#This Row],[_Days]])*HoursPerDay*IF(Tasks[[#This Row],[_Res4Units]]="",DefaultUnits,Tasks[[#This Row],[_Res4Units]]))</f>
        <v/>
      </c>
      <c r="EK58" s="42">
        <f>IF(AND(AND(Tasks[[#This Row],[_IsLeaf]]=1,Tasks[[#This Row],[_LeafTotalWork]]&gt;0),Tasks[[#This Row],[_Res4Work]]&gt;0),Tasks[[#This Row],[_Res4Work]]/(Tasks[[#This Row],[_FinishWorkday]]-Tasks[[#This Row],[_StartWorkday]]+1),0)</f>
        <v/>
      </c>
      <c r="EL58" s="42">
        <f>Tasks[[#This Row],[_Res4WorkPerWD]]*MAX(0,Tasks[[#This Row],[_StartWorkday]]-1)</f>
        <v/>
      </c>
      <c r="EM58" s="42">
        <f>Tasks[[#This Row],[_Res4Work]]*Tasks[[#This Row],[_LeafProgress]]</f>
        <v/>
      </c>
      <c r="EN58" s="42">
        <f>IF(ISNUMBER(Tasks[[#This Row],[% Complete]]),Tasks[[#This Row],[% Complete]],IF(Tasks[[#This Row],[Stage]]="",0,IFERROR(INDEX(stg_Pct,MATCH(Tasks[[#This Row],[Stage]],stg_Name,0)),0)))</f>
        <v/>
      </c>
      <c r="EO58" s="42">
        <f>IF(NOT(Tasks[[#This Row],[_IsLeaf]]=1),0,IF(N(Tasks[[#This Row],[Actual Finish]])&gt;0,1,MIN(1,Tasks[[#This Row],[_Pct]])))</f>
        <v/>
      </c>
      <c r="EP58" s="42">
        <f>IF(OR(NOT(Tasks[[#This Row],[_IsLeaf]]=1),Tasks[[#This Row],[_Res1Row]]=0),0,N(Tasks[[#This Row],[_Days]])*HoursPerDay*IF(Tasks[[#This Row],[_Units1]]="",DefaultUnits,Tasks[[#This Row],[_Units1]]))</f>
        <v/>
      </c>
      <c r="EQ58" s="42">
        <f>Tasks[[#This Row],[_LeafWork]]+Tasks[[#This Row],[_Res2Work]]+Tasks[[#This Row],[_Res3Work]]+Tasks[[#This Row],[_Res4Work]]</f>
        <v/>
      </c>
      <c r="ER5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8" s="42">
        <f>IF(NOT(Tasks[[#This Row],[_IsLeaf]]=1),0,MAX(_xlfn.MAXIFS(Tasks[_Row],Tasks[_Pred1UID],Tasks[[#This Row],[UID]]),_xlfn.MAXIFS(Tasks[_Row],Tasks[_Pred2UID],Tasks[[#This Row],[UID]]),_xlfn.MAXIFS(Tasks[_Row],Tasks[_Pred3UID],Tasks[[#This Row],[UID]]),_xlfn.MAXIFS(Tasks[_Row],Tasks[_Pred4UID],Tasks[[#This Row],[UID]])))</f>
        <v/>
      </c>
      <c r="FA5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8" s="88">
        <f>IF(NOT(Tasks[[#This Row],[_IsLeaf]]=1),"",IF(N(Tasks[[#This Row],[_Days]])&lt;=0,Tasks[[#This Row],[_LeafLateFinish]],WORKDAY.INTL(Tasks[[#This Row],[_LeafLateFinish]],-(Tasks[[#This Row],[_Days]]-1),WorkWeek,Holidays)))</f>
        <v/>
      </c>
      <c r="FD5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8" s="42">
        <f>AND(Tasks[[#This Row],[_IsLeaf]]=1,Tasks[[#This Row],[_LeafProgress]]&lt;1,N(Tasks[[#This Row],[_LeafTotalSlack]])&lt;=CriticalSlackDays)</f>
        <v/>
      </c>
      <c r="FF58" s="42">
        <f>IF(AND(Tasks[[#This Row],[_IsLeaf]]=1,Tasks[[#This Row],[_ConstraintCode]]=1,Tasks[[#This Row],[Mode]]&lt;&gt;"Manual",N(Tasks[[#This Row],[Actual Start]])=0),MAX(0,N(Tasks[[#This Row],[Free Slack]])),0)</f>
        <v/>
      </c>
      <c r="FG58" s="88">
        <f>IF(NOT(Tasks[[#This Row],[_IsLeaf]]=1),"",IF(Tasks[[#This Row],[_AlapShift]]=0,Tasks[[#This Row],[_LeafCalcStart]],WORKDAY.INTL(Tasks[[#This Row],[_LeafCalcStart]],Tasks[[#This Row],[_AlapShift]],WorkWeek,Holidays)))</f>
        <v/>
      </c>
      <c r="FH58" s="88">
        <f>IF(NOT(Tasks[[#This Row],[_IsLeaf]]=1),"",IF(Tasks[[#This Row],[_AlapShift]]=0,Tasks[[#This Row],[_LeafCalcFinish]],WORKDAY.INTL(Tasks[[#This Row],[_LeafCalcFinish]],Tasks[[#This Row],[_AlapShift]],WorkWeek,Holidays)))</f>
        <v/>
      </c>
      <c r="FI58" s="88">
        <f>IF(NOT(Tasks[[#This Row],[_IsLeaf]]=1),"",IF(Tasks[[#This Row],[_AlapShift]]=0,Tasks[[#This Row],[_LeafFcstStart]],WORKDAY.INTL(Tasks[[#This Row],[_LeafFcstStart]],Tasks[[#This Row],[_AlapShift]],WorkWeek,Holidays)))</f>
        <v/>
      </c>
      <c r="FJ58" s="88">
        <f>IF(NOT(Tasks[[#This Row],[_IsLeaf]]=1),"",IF(Tasks[[#This Row],[_AlapShift]]=0,Tasks[[#This Row],[_LeafFcstFinish]],WORKDAY.INTL(Tasks[[#This Row],[_LeafFcstFinish]],Tasks[[#This Row],[_AlapShift]],WorkWeek,Holidays)))</f>
        <v/>
      </c>
      <c r="FK58" s="88">
        <f>IF(Tasks[[#This Row],[Task Name]]="","",IF(Tasks[[#This Row],[_IsSummary]],MIN(INDEX(Tasks[_ShownCalcStart],Tasks[[#This Row],[_Row]]+1):INDEX(Tasks[_ShownCalcStart],Tasks[[#This Row],[_Row]]+Tasks[[#This Row],[_Descendants]])),Tasks[[#This Row],[_ShownCalcStart]]))</f>
        <v/>
      </c>
      <c r="FL58" s="88">
        <f>IF(Tasks[[#This Row],[Task Name]]="","",IF(Tasks[[#This Row],[_IsSummary]],MAX(INDEX(Tasks[_ShownCalcFinish],Tasks[[#This Row],[_Row]]+1):INDEX(Tasks[_ShownCalcFinish],Tasks[[#This Row],[_Row]]+Tasks[[#This Row],[_Descendants]])),Tasks[[#This Row],[_ShownCalcFinish]]))</f>
        <v/>
      </c>
      <c r="FM5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8" s="42">
        <f>IF(AND(Tasks[[#This Row],[_IsLeaf]]=1,Tasks[[#This Row],[_LeafTotalWork]]&gt;0),NETWORKDAYS.INTL(ProjectStart,Tasks[[#This Row],[_ShownFcstStart]],WorkWeek,Holidays),0)</f>
        <v/>
      </c>
      <c r="FZ58" s="42">
        <f>IF(AND(Tasks[[#This Row],[_IsLeaf]]=1,Tasks[[#This Row],[_LeafTotalWork]]&gt;0),MAX(Tasks[[#This Row],[_StartWorkday]],NETWORKDAYS.INTL(ProjectStart,Tasks[[#This Row],[_ShownFcstFinish]],WorkWeek,Holidays)),0)</f>
        <v/>
      </c>
      <c r="GA58" s="42">
        <f>IF(AND(Tasks[[#This Row],[_IsLeaf]]=1,Tasks[[#This Row],[_LeafTotalWork]]&gt;0),Tasks[[#This Row],[_LeafWork]]/(Tasks[[#This Row],[_FinishWorkday]]-Tasks[[#This Row],[_StartWorkday]]+1),0)</f>
        <v/>
      </c>
      <c r="GB58" s="42">
        <f>Tasks[[#This Row],[_WorkPerWorkday]]*(Tasks[[#This Row],[_StartWorkday]]-1)</f>
        <v/>
      </c>
      <c r="GC58" s="42">
        <f>IF(Tasks[[#This Row],[_IsLeaf]]=1,MAX(N(Tasks[[#This Row],[_Days]]),0.1),0)</f>
        <v/>
      </c>
      <c r="GD58" s="42">
        <f>Tasks[[#This Row],[_WeightDur]]*Tasks[[#This Row],[_LeafProgress]]</f>
        <v/>
      </c>
      <c r="GE58" s="42">
        <f>Tasks[[#This Row],[_WeightDur]]*Tasks[[#This Row],[_PlannedPct]]</f>
        <v/>
      </c>
      <c r="GF5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8" s="42">
        <f>IF(AND(Tasks[[#This Row],[_IsLeaf]]=1,N(Tasks[[#This Row],[_Days]])=0,Tasks[[#This Row],[_LeafProgress]]&lt;1),Tasks[[#This Row],[_ShownFcstFinish]]+Tasks[[#This Row],[_Row]]/100000,"")</f>
        <v/>
      </c>
      <c r="GH5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8" s="42">
        <f>IF(Tasks[[#This Row],[Task Name]]="","",LEFT(Tasks[[#This Row],[WBS]],FIND(".",Tasks[[#This Row],[WBS]]&amp;".")-1))</f>
        <v/>
      </c>
      <c r="GJ58" s="42">
        <f>IF(AND(Tasks[[#This Row],[Task Name]]&lt;&gt;"",Tasks[[#This Row],[_Level]]=1),Tasks[[#This Row],[_Row]],"")</f>
        <v/>
      </c>
      <c r="GK58" s="42">
        <f>IF(AND(Tasks[[#This Row],[_IsLeaf]]=1,N(Tasks[[#This Row],[_Days]])=0),Tasks[[#This Row],[Planned Finish]]+Tasks[[#This Row],[_Row]]/100000,"")</f>
        <v/>
      </c>
      <c r="GL58" s="42">
        <f>IF(AND(Tasks[[#This Row],[_IsLeaf]]=1,Tasks[[#This Row],[_LeafProgress]]&lt;1,OR(N(Tasks[[#This Row],[Finish Var]])&gt;0,Tasks[[#This Row],[Status]]="Late Start")),MAX(0,Tasks[[#This Row],[Finish Var]])+1-Tasks[[#This Row],[_Row]]/1000000,"")</f>
        <v/>
      </c>
      <c r="GM58" s="42">
        <f>IF(AND(Tasks[[#This Row],[_IsLeaf]]=1,N(Tasks[[#This Row],[Actual Start]])=0,Tasks[[#This Row],[_ShownFcstStart]]&gt;=StatusDate,Tasks[[#This Row],[_ShownFcstStart]]&lt;=LookaheadEnd),Tasks[[#This Row],[_ShownFcstStart]]+Tasks[[#This Row],[_Row]]/100000,"")</f>
        <v/>
      </c>
      <c r="GN58" s="42">
        <f>IF(AND(Tasks[[#This Row],[_IsLeaf]]=1,Tasks[[#This Row],[_LeafProgress]]&lt;1,Tasks[[#This Row],[_ShownFcstFinish]]&gt;=StatusDate,Tasks[[#This Row],[_ShownFcstFinish]]&lt;=LookaheadEnd),Tasks[[#This Row],[_ShownFcstFinish]]+Tasks[[#This Row],[_Row]]/100000,"")</f>
        <v/>
      </c>
      <c r="GO58" s="42">
        <f>IF(Tasks[[#This Row],[_LeafCritical]],Tasks[[#This Row],[_ShownFcstStart]]+Tasks[[#This Row],[_Row]]/100000,"")</f>
        <v/>
      </c>
      <c r="GP58" s="42">
        <f>Tasks[[#This Row],[_LeafWork]]*Tasks[[#This Row],[_LeafProgress]]</f>
        <v/>
      </c>
      <c r="GQ58" s="88">
        <f>IF(AND(Tasks[[#This Row],[_IsLeaf]]=1,Tasks[[#This Row],[_LeafProgress]]&gt;=1),IF(N(Tasks[[#This Row],[Actual Finish]])&gt;0,Tasks[[#This Row],[Actual Finish]],Tasks[[#This Row],[_ShownFcstFinish]]),"")</f>
        <v/>
      </c>
      <c r="GR58" s="42">
        <f>IF(Tasks[[#This Row],[_IsLeaf]]=1,N(Tasks[[#This Row],[Story Points]]),0)</f>
        <v/>
      </c>
      <c r="GS58" s="42">
        <f>""</f>
        <v/>
      </c>
      <c r="GT58" s="42">
        <f>IF(Tasks[[#This Row],[Task Name]]="",FALSE(),AND(Tasks[[#This Row],[_IsLeaf]]=1,N(Tasks[[#This Row],[_Days]])=0))</f>
        <v/>
      </c>
      <c r="GU58" s="88">
        <f>IF(Tasks[[#This Row],[Task Name]]="",0,IF(AND(Tasks[[#This Row],[_IsLeaf]]=1,NOT(Tasks[[#This Row],[_IsMilestone]]),N(Tasks[[#This Row],[Progress]])&gt;0),Tasks[[#This Row],[Start]],0))</f>
        <v/>
      </c>
      <c r="GV58" s="88">
        <f>IF(Tasks[[#This Row],[_DoneFrom]]=0,0,IF(Tasks[[#This Row],[Progress]]&gt;=1,Tasks[[#This Row],[Finish]],MAX(Tasks[[#This Row],[_DoneFrom]],Tasks[[#This Row],[Start]]+ROUND((Tasks[[#This Row],[Finish]]-Tasks[[#This Row],[Start]]+1)*Tasks[[#This Row],[Progress]],0)-1)))</f>
        <v/>
      </c>
      <c r="GW58" s="88">
        <f>IF(Tasks[[#This Row],[Task Name]]="",0,IF(OR(NOT(Tasks[[#This Row],[_IsLeaf]]=1),Tasks[[#This Row],[_IsMilestone]],N(Tasks[[#This Row],[Progress]])&gt;=1),0,IF(Tasks[[#This Row],[_DoneTo]]&gt;0,Tasks[[#This Row],[_DoneTo]]+1,Tasks[[#This Row],[Start]])))</f>
        <v/>
      </c>
      <c r="GX58" s="88">
        <f>IF(Tasks[[#This Row],[_RemFrom]]=0,0,Tasks[[#This Row],[Finish]])</f>
        <v/>
      </c>
      <c r="GY58" s="42">
        <f>IF(Tasks[[#This Row],[Task Name]]="",FALSE(),OR(NOT(BaselineSet),N(Tasks[[#This Row],[Baseline Start]])&gt;0))</f>
        <v/>
      </c>
      <c r="GZ58" s="42">
        <f>IF(AND(Sandbox="Yes",L_PARSE_DURATION(Tasks[[#This Row],[Sandbox Duration]])&lt;&gt;""),L_PARSE_DURATION(Tasks[[#This Row],[Sandbox Duration]]),L_PARSE_DURATION(Tasks[[#This Row],[Duration]]))</f>
        <v/>
      </c>
      <c r="HA5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8" s="42">
        <f>IF(Tasks[[#This Row],[_IsLeaf]]=1,Tasks[[#This Row],[_Row]],"")</f>
        <v/>
      </c>
      <c r="HD58" s="42">
        <f>IFERROR(INDEX(Tasks[UID],SMALL(Tasks[_PickKey],Tasks[[#This Row],[_Row]]))&amp;" "&amp;INDEX(Tasks[Task Name],SMALL(Tasks[_PickKey],Tasks[[#This Row],[_Row]])),"")</f>
        <v/>
      </c>
      <c r="HE58" s="42">
        <f>IF(Tasks[[#This Row],[Task Name]]="","",IF(Tasks[[#This Row],[_IsSummary]],NETWORKDAYS.INTL(Tasks[[#This Row],[Start]],Tasks[[#This Row],[Finish]],WorkWeek,Holidays),N(Tasks[[#This Row],[_Days]])))</f>
        <v/>
      </c>
      <c r="HF58" s="42">
        <f>IF(Tasks[[#This Row],[Expected]]="",0,((Tasks[[#This Row],[Pessimistic]]-Tasks[[#This Row],[Optimistic]])/6)^2)</f>
        <v/>
      </c>
      <c r="HG58" s="42">
        <f>IF(Tasks[[#This Row],[Expected]]="",0,Tasks[[#This Row],[Expected]]-N(Tasks[[#This Row],[_Days]]))</f>
        <v/>
      </c>
    </row>
    <row r="59">
      <c r="A59" s="21">
        <f>IF(Tasks[[#This Row],[Task Name]]="","",COUNTA(Tasks[[#Headers],[Task Name]]:Tasks[[#This Row],[Task Name]])-1)</f>
        <v/>
      </c>
      <c r="B59" s="22" t="n">
        <v>67</v>
      </c>
      <c r="C59" s="22" t="n"/>
      <c r="D59" s="23" t="n"/>
      <c r="E59" s="22" t="n"/>
      <c r="F59" s="23" t="n"/>
      <c r="G59" s="22" t="n"/>
      <c r="H59" s="22" t="n"/>
      <c r="I59" s="23" t="n"/>
      <c r="J59" s="22" t="n"/>
      <c r="K59" s="22" t="n"/>
      <c r="L59" s="23" t="n"/>
      <c r="M59" s="22" t="n"/>
      <c r="N59" s="22" t="n"/>
      <c r="O59" s="23" t="n"/>
      <c r="P59" s="22" t="n"/>
      <c r="Q59" s="22" t="n"/>
      <c r="R59" s="23" t="n"/>
      <c r="S59" s="23" t="n"/>
      <c r="T59" s="82" t="n"/>
      <c r="U59" s="23" t="n"/>
      <c r="V59" s="82" t="n"/>
      <c r="W59" s="23" t="n"/>
      <c r="X59" s="82" t="n"/>
      <c r="Y59" s="23" t="n"/>
      <c r="Z59" s="82" t="n"/>
      <c r="AA59" s="23" t="n"/>
      <c r="AB59" s="23" t="n"/>
      <c r="AC59" s="7" t="n"/>
      <c r="AD59" s="7" t="n"/>
      <c r="AE59" s="61">
        <f>IF(Tasks[[#This Row],[Task Name]]="","",IF(Tasks[[#This Row],[_IsSummary]],MIN(INDEX(Tasks[_ShownFcstStart],Tasks[[#This Row],[_Row]]+1):INDEX(Tasks[_ShownFcstStart],Tasks[[#This Row],[_Row]]+Tasks[[#This Row],[_Descendants]])),Tasks[[#This Row],[_ShownFcstStart]]))</f>
        <v/>
      </c>
      <c r="AF59" s="61">
        <f>IF(Tasks[[#This Row],[Task Name]]="","",IF(Tasks[[#This Row],[_IsSummary]],MAX(INDEX(Tasks[_ShownFcstFinish],Tasks[[#This Row],[_Row]]+1):INDEX(Tasks[_ShownFcstFinish],Tasks[[#This Row],[_Row]]+Tasks[[#This Row],[_Descendants]])),Tasks[[#This Row],[_ShownFcstFinish]]))</f>
        <v/>
      </c>
      <c r="AG59" s="21">
        <f>""</f>
        <v/>
      </c>
      <c r="AH59" s="23" t="n"/>
      <c r="AI5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59" s="7" t="n"/>
      <c r="AK59" s="22" t="n"/>
      <c r="AL59" s="23" t="n"/>
      <c r="AM59" s="7" t="n"/>
      <c r="AN59" s="21">
        <f>IF(Tasks[[#This Row],[Task Name]]="","",IF(Tasks[[#This Row],[Finish]]&gt;=Tasks[[#This Row],[Planned Finish]],NETWORKDAYS.INTL(Tasks[[#This Row],[Planned Finish]],Tasks[[#This Row],[Finish]],WorkWeek,Holidays)-1,1-NETWORKDAYS.INTL(Tasks[[#This Row],[Finish]],Tasks[[#This Row],[Planned Finish]],WorkWeek,Holidays)))</f>
        <v/>
      </c>
      <c r="AO59" s="21">
        <f>IF(Tasks[[#This Row],[Task Name]]="","",IF(Tasks[[#This Row],[Progress]]&gt;=1,"Complete",IF(OR(N(Tasks[[#This Row],[Actual Start]])&gt;0,Tasks[[#This Row],[Progress]]&gt;0),IF(Tasks[[#This Row],[Finish Var]]&gt;0,"Behind","In Progress"),IF(Tasks[[#This Row],[Planned Start]]&lt;StatusDate,"Late Start","Not Started"))))</f>
        <v/>
      </c>
      <c r="AP59" s="21">
        <f>IF(Tasks[[#This Row],[Task Name]]="","",IF(IF(Tasks[[#This Row],[_IsSummary]],COUNTIF(INDEX(Tasks[_LeafCritical],Tasks[[#This Row],[_Row]]+1):INDEX(Tasks[_LeafCritical],Tasks[[#This Row],[_Row]]+Tasks[[#This Row],[_Descendants]]),TRUE())&gt;0,Tasks[[#This Row],[_LeafCritical]]),"Yes",""))</f>
        <v/>
      </c>
      <c r="AQ59" s="61">
        <f>IF(Tasks[[#This Row],[Task Name]]="","",IF(N(Tasks[[#This Row],[Baseline Start]])&gt;0,Tasks[[#This Row],[Baseline Start]],Tasks[[#This Row],[_CalcStart]]))</f>
        <v/>
      </c>
      <c r="AR59" s="61">
        <f>IF(Tasks[[#This Row],[Task Name]]="","",IF(N(Tasks[[#This Row],[Baseline Finish]])&gt;0,Tasks[[#This Row],[Baseline Finish]],Tasks[[#This Row],[_CalcFinish]]))</f>
        <v/>
      </c>
      <c r="AS59" s="21">
        <f>IF(Tasks[[#This Row],[Task Name]]="","",IF(Tasks[[#This Row],[Start]]&gt;=Tasks[[#This Row],[Planned Start]],NETWORKDAYS.INTL(Tasks[[#This Row],[Planned Start]],Tasks[[#This Row],[Start]],WorkWeek,Holidays)-1,1-NETWORKDAYS.INTL(Tasks[[#This Row],[Start]],Tasks[[#This Row],[Planned Start]],WorkWeek,Holidays)))</f>
        <v/>
      </c>
      <c r="AT59" s="61">
        <f>IF(Tasks[[#This Row],[Task Name]]="","",IF(Tasks[[#This Row],[_IsSummary]],MIN(INDEX(Tasks[_LeafLateStart],Tasks[[#This Row],[_Row]]+1):INDEX(Tasks[_LeafLateStart],Tasks[[#This Row],[_Row]]+Tasks[[#This Row],[_Descendants]])),Tasks[[#This Row],[_LeafLateStart]]))</f>
        <v/>
      </c>
      <c r="AU59" s="61">
        <f>IF(Tasks[[#This Row],[Task Name]]="","",IF(Tasks[[#This Row],[_IsSummary]],MAX(INDEX(Tasks[_LeafLateFinish],Tasks[[#This Row],[_Row]]+1):INDEX(Tasks[_LeafLateFinish],Tasks[[#This Row],[_Row]]+Tasks[[#This Row],[_Descendants]])),Tasks[[#This Row],[_LeafLateFinish]]))</f>
        <v/>
      </c>
      <c r="AV59" s="21">
        <f>IF(Tasks[[#This Row],[Task Name]]="","",IF(Tasks[[#This Row],[_IsSummary]],MIN(INDEX(Tasks[_LeafTotalSlack],Tasks[[#This Row],[_Row]]+1):INDEX(Tasks[_LeafTotalSlack],Tasks[[#This Row],[_Row]]+Tasks[[#This Row],[_Descendants]])),Tasks[[#This Row],[_LeafTotalSlack]]))</f>
        <v/>
      </c>
      <c r="AW5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3" t="n"/>
      <c r="BA5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f>IF(Tasks[[#This Row],[Task Name]]="","",IF(Tasks[[#This Row],[_Level]]&lt;=OutlineShowLevel,"Yes","No"))</f>
        <v/>
      </c>
      <c r="BE59" s="84">
        <f>IF(Tasks[[#This Row],[Task Name]]="","",IF(Tasks[[#This Row],[_IsSummary]],SUM(INDEX(Tasks[_LeafTotalWork],Tasks[[#This Row],[_Row]]+1):INDEX(Tasks[_LeafTotalWork],Tasks[[#This Row],[_Row]]+Tasks[[#This Row],[_Descendants]])),Tasks[[#This Row],[_LeafTotalWork]]))</f>
        <v/>
      </c>
      <c r="BF59" s="23" t="n"/>
      <c r="BG5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f>""</f>
        <v/>
      </c>
      <c r="BI59" s="85" t="n"/>
      <c r="BJ59" s="22" t="n"/>
      <c r="BK59" s="21">
        <f>IF(OR(Tasks[[#This Row],[Task Name]]="",Tasks[[#This Row],[Baseline Duration]]=""),"",Tasks[[#This Row],[_SpanDays]]-N(Tasks[[#This Row],[Baseline Duration]]))</f>
        <v/>
      </c>
      <c r="BL59" s="84">
        <f>IF(OR(Tasks[[#This Row],[Task Name]]="",Tasks[[#This Row],[Baseline Work]]=""),"",Tasks[[#This Row],[Work]]-N(Tasks[[#This Row],[Baseline Work]]))</f>
        <v/>
      </c>
      <c r="BM59" s="61">
        <f>IF(Tasks[[#This Row],[Task Name]]="","",IF(OR(TakeBaseline="Yes",N(Tasks[[#This Row],[Baseline Start]])=0),Tasks[[#This Row],[Start]],Tasks[[#This Row],[Baseline Start]]))</f>
        <v/>
      </c>
      <c r="BN59" s="61">
        <f>IF(Tasks[[#This Row],[Task Name]]="","",IF(OR(TakeBaseline="Yes",N(Tasks[[#This Row],[Baseline Finish]])=0),Tasks[[#This Row],[Finish]],Tasks[[#This Row],[Baseline Finish]]))</f>
        <v/>
      </c>
      <c r="BO59" s="21">
        <f>IF(Tasks[[#This Row],[Task Name]]="","",IF(OR(TakeBaseline="Yes",N(Tasks[[#This Row],[Baseline Duration]])=0),Tasks[[#This Row],[_SpanDays]],Tasks[[#This Row],[Baseline Duration]]))</f>
        <v/>
      </c>
      <c r="BP59" s="84">
        <f>IF(Tasks[[#This Row],[Task Name]]="","",IF(OR(TakeBaseline="Yes",N(Tasks[[#This Row],[Baseline Work]])=0),Tasks[[#This Row],[Work]],Tasks[[#This Row],[Baseline Work]]))</f>
        <v/>
      </c>
      <c r="BQ59" s="7" t="n"/>
      <c r="BR59" s="7" t="n"/>
      <c r="BS59" s="22" t="n"/>
      <c r="BT59" s="86" t="n"/>
      <c r="BU59" s="23" t="n"/>
      <c r="BV59" s="23" t="n"/>
      <c r="BW59" s="23" t="n"/>
      <c r="BX59" s="87">
        <f>IF(AND(Tasks[[#This Row],[_IsLeaf]]=1,ISNUMBER(Tasks[[#This Row],[Optimistic]]),ISNUMBER(Tasks[[#This Row],[Pessimistic]])),ROUND((Tasks[[#This Row],[Optimistic]]+4*N(Tasks[[#This Row],[_Days]])+Tasks[[#This Row],[Pessimistic]])/6,1),"")</f>
        <v/>
      </c>
      <c r="BY59" s="85" t="n"/>
      <c r="BZ59" s="85" t="n"/>
      <c r="CA59" s="22" t="n"/>
      <c r="CB59" s="42">
        <f>IF(Tasks[[#This Row],[Task Name]]="","",MAX(1,N(Tasks[[#This Row],[Level]])))</f>
        <v/>
      </c>
      <c r="CC59" s="42">
        <f>ROW()-ROW(Tasks[[#Headers],[ID]])</f>
        <v/>
      </c>
      <c r="CD59" s="42">
        <f>IF(OR(Tasks[[#This Row],[Task Name]]="",Tasks[[#This Row],[_Level]]&lt;=1),0,IFERROR(LOOKUP(2,1/(Tasks[[#Headers],[_Level]]:Tasks[[#This Row],[_Level]]=Tasks[[#This Row],[_Level]]-1),ROW(Tasks[[#Headers],[_Level]]:Tasks[[#This Row],[_Level]])),0))</f>
        <v/>
      </c>
      <c r="CE59" s="42">
        <f>IFERROR(N(INDEX(Tasks[_Level],Tasks[[#This Row],[_Row]]+1)),0)</f>
        <v/>
      </c>
      <c r="CF59" s="42">
        <f>AND(Tasks[[#This Row],[Task Name]]&lt;&gt;"",Tasks[[#This Row],[_NextLevel]]&gt;Tasks[[#This Row],[_Level]])</f>
        <v/>
      </c>
      <c r="CG59" s="42">
        <f>IF(Tasks[[#This Row],[_IsSummary]],COUNTIF(Tasks[WBS],Tasks[[#This Row],[WBS]]&amp;".*"),0)</f>
        <v/>
      </c>
      <c r="CH59" s="42">
        <f>IF(AND(Tasks[[#This Row],[Task Name]]&lt;&gt;"",NOT(Tasks[[#This Row],[_IsSummary]])),1,0)</f>
        <v/>
      </c>
      <c r="CI59" s="42">
        <f>IF(N(Tasks[[#This Row],[_Pred1UID]])=0,0,IFERROR(MATCH(Tasks[[#This Row],[_Pred1UID]],Tasks[UID],0),-1))</f>
        <v/>
      </c>
      <c r="CJ59" s="42">
        <f>IF(N(Tasks[[#This Row],[_Pred2UID]])=0,0,IFERROR(MATCH(Tasks[[#This Row],[_Pred2UID]],Tasks[UID],0),-1))</f>
        <v/>
      </c>
      <c r="CK59" s="42">
        <f>IF(N(Tasks[[#This Row],[_Pred3UID]])=0,0,IFERROR(MATCH(Tasks[[#This Row],[_Pred3UID]],Tasks[UID],0),-1))</f>
        <v/>
      </c>
      <c r="CL59" s="42">
        <f>IF(N(Tasks[[#This Row],[_Pred4UID]])=0,0,IFERROR(MATCH(Tasks[[#This Row],[_Pred4UID]],Tasks[UID],0),-1))</f>
        <v/>
      </c>
      <c r="CM5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9" s="88">
        <f>IF(N(Tasks[[#This Row],[Constraint Date]])=0,0,IF(AND(OR(Tasks[[#This Row],[_ConstraintCode]]=3,Tasks[[#This Row],[_ConstraintCode]]=6,Tasks[[#This Row],[_ConstraintCode]]=7),N(Tasks[[#This Row],[_Days]])&gt;1),WORKDAY.INTL(N(Tasks[[#This Row],[Constraint Date]]),-(N(Tasks[[#This Row],[_Days]])-1),WorkWeek,Holidays),N(Tasks[[#This Row],[Constraint Date]])))</f>
        <v/>
      </c>
      <c r="CO59" s="88">
        <f>IF(OR(Tasks[[#This Row],[_ConstraintCode]]=2,Tasks[[#This Row],[_ConstraintCode]]=3,Tasks[[#This Row],[_ConstraintCode]]=4,Tasks[[#This Row],[_ConstraintCode]]=6),Tasks[[#This Row],[_ConstraintStart]],0)</f>
        <v/>
      </c>
      <c r="CP59" s="88">
        <f>IF(OR(Tasks[[#This Row],[_ConstraintCode]]=2,Tasks[[#This Row],[_ConstraintCode]]=3,Tasks[[#This Row],[_ConstraintCode]]=5,Tasks[[#This Row],[_ConstraintCode]]=7),Tasks[[#This Row],[_ConstraintStart]],2958465)</f>
        <v/>
      </c>
      <c r="CQ5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9" s="88">
        <f>IF(NOT(Tasks[[#This Row],[_IsLeaf]]=1),"",IF(N(Tasks[[#This Row],[_Days]])&lt;=0,Tasks[[#This Row],[_LeafCalcStart]],WORKDAY.INTL(Tasks[[#This Row],[_LeafCalcStart]],Tasks[[#This Row],[_Days]]-1,WorkWeek,Holidays)))</f>
        <v/>
      </c>
      <c r="CS5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9" s="42">
        <f>IF(Tasks[[#This Row],[_Predecessors]]="","",TRIM(MID(SUBSTITUTE(SUBSTITUTE(SUBSTITUTE(UPPER(Tasks[[#This Row],[_Predecessors]]),";",",")," ",""),",",REPT(" ",99)),1,99)))</f>
        <v/>
      </c>
      <c r="CV59" s="42">
        <f>IF(Tasks[[#This Row],[_Pred1Text]]="","",IFERROR(VALUE(LEFT(Tasks[[#This Row],[_Pred1Text]],MIN(FIND("F",Tasks[[#This Row],[_Pred1Text]]&amp;"F"),FIND("S",Tasks[[#This Row],[_Pred1Text]]&amp;"S"),FIND("+",Tasks[[#This Row],[_Pred1Text]]&amp;"+"),FIND("-",Tasks[[#This Row],[_Pred1Text]]&amp;"-"))-1)),""))</f>
        <v/>
      </c>
      <c r="CW5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9" s="42">
        <f>IF(Tasks[[#This Row],[_Pred1Text]]="","",TRIM(MID(SUBSTITUTE(SUBSTITUTE(SUBSTITUTE(UPPER(Tasks[[#This Row],[_Predecessors]]),";",",")," ",""),",",REPT(" ",99)),100,99)))</f>
        <v/>
      </c>
      <c r="CZ59" s="42">
        <f>IF(Tasks[[#This Row],[_Pred2Text]]="","",IFERROR(VALUE(LEFT(Tasks[[#This Row],[_Pred2Text]],MIN(FIND("F",Tasks[[#This Row],[_Pred2Text]]&amp;"F"),FIND("S",Tasks[[#This Row],[_Pred2Text]]&amp;"S"),FIND("+",Tasks[[#This Row],[_Pred2Text]]&amp;"+"),FIND("-",Tasks[[#This Row],[_Pred2Text]]&amp;"-"))-1)),""))</f>
        <v/>
      </c>
      <c r="DA5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9" s="42">
        <f>IF(Tasks[[#This Row],[_Pred2Text]]="","",TRIM(MID(SUBSTITUTE(SUBSTITUTE(SUBSTITUTE(UPPER(Tasks[[#This Row],[_Predecessors]]),";",",")," ",""),",",REPT(" ",99)),199,99)))</f>
        <v/>
      </c>
      <c r="DD59" s="42">
        <f>IF(Tasks[[#This Row],[_Pred3Text]]="","",IFERROR(VALUE(LEFT(Tasks[[#This Row],[_Pred3Text]],MIN(FIND("F",Tasks[[#This Row],[_Pred3Text]]&amp;"F"),FIND("S",Tasks[[#This Row],[_Pred3Text]]&amp;"S"),FIND("+",Tasks[[#This Row],[_Pred3Text]]&amp;"+"),FIND("-",Tasks[[#This Row],[_Pred3Text]]&amp;"-"))-1)),""))</f>
        <v/>
      </c>
      <c r="DE5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9" s="42">
        <f>IF(Tasks[[#This Row],[_Pred3Text]]="","",TRIM(MID(SUBSTITUTE(SUBSTITUTE(SUBSTITUTE(UPPER(Tasks[[#This Row],[_Predecessors]]),";",",")," ",""),",",REPT(" ",99)),298,99)))</f>
        <v/>
      </c>
      <c r="DH59" s="42">
        <f>IF(Tasks[[#This Row],[_Pred4Text]]="","",IFERROR(VALUE(LEFT(Tasks[[#This Row],[_Pred4Text]],MIN(FIND("F",Tasks[[#This Row],[_Pred4Text]]&amp;"F"),FIND("S",Tasks[[#This Row],[_Pred4Text]]&amp;"S"),FIND("+",Tasks[[#This Row],[_Pred4Text]]&amp;"+"),FIND("-",Tasks[[#This Row],[_Pred4Text]]&amp;"-"))-1)),""))</f>
        <v/>
      </c>
      <c r="DI5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9" s="42">
        <f>IF(OR(Tasks[[#This Row],[Task Name]]="",Tasks[[#This Row],[_Resources]]=""),"",TRIM(MID(SUBSTITUTE(Tasks[[#This Row],[_Resources]],",",REPT(" ",99)),1,99)))</f>
        <v/>
      </c>
      <c r="DL59" s="42">
        <f>IF(Tasks[[#This Row],[_Res1Text]]="","",TRIM(MID(SUBSTITUTE(Tasks[[#This Row],[_Resources]],",",REPT(" ",99)),100,99)))</f>
        <v/>
      </c>
      <c r="DM59" s="42">
        <f>IF(Tasks[[#This Row],[_Res2Text]]="","",TRIM(MID(SUBSTITUTE(Tasks[[#This Row],[_Resources]],",",REPT(" ",99)),199,99)))</f>
        <v/>
      </c>
      <c r="DN59" s="42">
        <f>IF(Tasks[[#This Row],[_Res3Text]]="","",TRIM(MID(SUBSTITUTE(Tasks[[#This Row],[_Resources]],",",REPT(" ",99)),298,99)))</f>
        <v/>
      </c>
      <c r="DO59" s="42">
        <f>IF(Tasks[[#This Row],[_Res1Text]]="",0,IFERROR(MATCH(TRIM(LEFT(Tasks[[#This Row],[_Res1Text]],FIND("[",Tasks[[#This Row],[_Res1Text]]&amp;"[")-1)),res_Name,0),IFERROR(MATCH(TRIM(LEFT(Tasks[[#This Row],[_Res1Text]],FIND("[",Tasks[[#This Row],[_Res1Text]]&amp;"[")-1)),res_Initials,0),0)))</f>
        <v/>
      </c>
      <c r="DP59" s="42">
        <f>IF(Tasks[[#This Row],[_Res2Text]]="",0,IFERROR(MATCH(TRIM(LEFT(Tasks[[#This Row],[_Res2Text]],FIND("[",Tasks[[#This Row],[_Res2Text]]&amp;"[")-1)),res_Name,0),IFERROR(MATCH(TRIM(LEFT(Tasks[[#This Row],[_Res2Text]],FIND("[",Tasks[[#This Row],[_Res2Text]]&amp;"[")-1)),res_Initials,0),0)))</f>
        <v/>
      </c>
      <c r="DQ59" s="42">
        <f>IF(Tasks[[#This Row],[_Res3Text]]="",0,IFERROR(MATCH(TRIM(LEFT(Tasks[[#This Row],[_Res3Text]],FIND("[",Tasks[[#This Row],[_Res3Text]]&amp;"[")-1)),res_Name,0),IFERROR(MATCH(TRIM(LEFT(Tasks[[#This Row],[_Res3Text]],FIND("[",Tasks[[#This Row],[_Res3Text]]&amp;"[")-1)),res_Initials,0),0)))</f>
        <v/>
      </c>
      <c r="DR59" s="42">
        <f>IF(Tasks[[#This Row],[_Res4Text]]="",0,IFERROR(MATCH(TRIM(LEFT(Tasks[[#This Row],[_Res4Text]],FIND("[",Tasks[[#This Row],[_Res4Text]]&amp;"[")-1)),res_Name,0),IFERROR(MATCH(TRIM(LEFT(Tasks[[#This Row],[_Res4Text]],FIND("[",Tasks[[#This Row],[_Res4Text]]&amp;"[")-1)),res_Initials,0),0)))</f>
        <v/>
      </c>
      <c r="DS59" s="42">
        <f>IF(Tasks[[#This Row],[_Res1Text]]="","",IF(Tasks[[#This Row],[_Res1Row]]&gt;0,INDEX(res_Name,Tasks[[#This Row],[_Res1Row]]),TRIM(LEFT(Tasks[[#This Row],[_Res1Text]],FIND("[",Tasks[[#This Row],[_Res1Text]]&amp;"[")-1))))</f>
        <v/>
      </c>
      <c r="DT5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9" s="42">
        <f>IF(NOT(Tasks[[#This Row],[_IsLeaf]]=1),0,(Tasks[[#This Row],[_Resource1]]&lt;&gt;"")+(Tasks[[#This Row],[_Res2]]&lt;&gt;"")+(Tasks[[#This Row],[_Res3]]&lt;&gt;"")+(Tasks[[#This Row],[_Res4]]&lt;&gt;""))</f>
        <v/>
      </c>
      <c r="DV59" s="42">
        <f>IF(Tasks[[#This Row],[_Res2Text]]="","",IF(Tasks[[#This Row],[_Res2Row]]&gt;0,INDEX(res_Name,Tasks[[#This Row],[_Res2Row]]),TRIM(LEFT(Tasks[[#This Row],[_Res2Text]],FIND("[",Tasks[[#This Row],[_Res2Text]]&amp;"[")-1))))</f>
        <v/>
      </c>
      <c r="DW5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9" s="42">
        <f>IF(OR(NOT(Tasks[[#This Row],[_IsLeaf]]=1),Tasks[[#This Row],[_Res2Row]]=0),0,N(Tasks[[#This Row],[_Days]])*HoursPerDay*IF(Tasks[[#This Row],[_Res2Units]]="",DefaultUnits,Tasks[[#This Row],[_Res2Units]]))</f>
        <v/>
      </c>
      <c r="DY59" s="42">
        <f>IF(AND(AND(Tasks[[#This Row],[_IsLeaf]]=1,Tasks[[#This Row],[_LeafTotalWork]]&gt;0),Tasks[[#This Row],[_Res2Work]]&gt;0),Tasks[[#This Row],[_Res2Work]]/(Tasks[[#This Row],[_FinishWorkday]]-Tasks[[#This Row],[_StartWorkday]]+1),0)</f>
        <v/>
      </c>
      <c r="DZ59" s="42">
        <f>Tasks[[#This Row],[_Res2WorkPerWD]]*MAX(0,Tasks[[#This Row],[_StartWorkday]]-1)</f>
        <v/>
      </c>
      <c r="EA59" s="42">
        <f>Tasks[[#This Row],[_Res2Work]]*Tasks[[#This Row],[_LeafProgress]]</f>
        <v/>
      </c>
      <c r="EB59" s="42">
        <f>IF(Tasks[[#This Row],[_Res3Text]]="","",IF(Tasks[[#This Row],[_Res3Row]]&gt;0,INDEX(res_Name,Tasks[[#This Row],[_Res3Row]]),TRIM(LEFT(Tasks[[#This Row],[_Res3Text]],FIND("[",Tasks[[#This Row],[_Res3Text]]&amp;"[")-1))))</f>
        <v/>
      </c>
      <c r="EC5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9" s="42">
        <f>IF(OR(NOT(Tasks[[#This Row],[_IsLeaf]]=1),Tasks[[#This Row],[_Res3Row]]=0),0,N(Tasks[[#This Row],[_Days]])*HoursPerDay*IF(Tasks[[#This Row],[_Res3Units]]="",DefaultUnits,Tasks[[#This Row],[_Res3Units]]))</f>
        <v/>
      </c>
      <c r="EE59" s="42">
        <f>IF(AND(AND(Tasks[[#This Row],[_IsLeaf]]=1,Tasks[[#This Row],[_LeafTotalWork]]&gt;0),Tasks[[#This Row],[_Res3Work]]&gt;0),Tasks[[#This Row],[_Res3Work]]/(Tasks[[#This Row],[_FinishWorkday]]-Tasks[[#This Row],[_StartWorkday]]+1),0)</f>
        <v/>
      </c>
      <c r="EF59" s="42">
        <f>Tasks[[#This Row],[_Res3WorkPerWD]]*MAX(0,Tasks[[#This Row],[_StartWorkday]]-1)</f>
        <v/>
      </c>
      <c r="EG59" s="42">
        <f>Tasks[[#This Row],[_Res3Work]]*Tasks[[#This Row],[_LeafProgress]]</f>
        <v/>
      </c>
      <c r="EH59" s="42">
        <f>IF(Tasks[[#This Row],[_Res4Text]]="","",IF(Tasks[[#This Row],[_Res4Row]]&gt;0,INDEX(res_Name,Tasks[[#This Row],[_Res4Row]]),TRIM(LEFT(Tasks[[#This Row],[_Res4Text]],FIND("[",Tasks[[#This Row],[_Res4Text]]&amp;"[")-1))))</f>
        <v/>
      </c>
      <c r="EI5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9" s="42">
        <f>IF(OR(NOT(Tasks[[#This Row],[_IsLeaf]]=1),Tasks[[#This Row],[_Res4Row]]=0),0,N(Tasks[[#This Row],[_Days]])*HoursPerDay*IF(Tasks[[#This Row],[_Res4Units]]="",DefaultUnits,Tasks[[#This Row],[_Res4Units]]))</f>
        <v/>
      </c>
      <c r="EK59" s="42">
        <f>IF(AND(AND(Tasks[[#This Row],[_IsLeaf]]=1,Tasks[[#This Row],[_LeafTotalWork]]&gt;0),Tasks[[#This Row],[_Res4Work]]&gt;0),Tasks[[#This Row],[_Res4Work]]/(Tasks[[#This Row],[_FinishWorkday]]-Tasks[[#This Row],[_StartWorkday]]+1),0)</f>
        <v/>
      </c>
      <c r="EL59" s="42">
        <f>Tasks[[#This Row],[_Res4WorkPerWD]]*MAX(0,Tasks[[#This Row],[_StartWorkday]]-1)</f>
        <v/>
      </c>
      <c r="EM59" s="42">
        <f>Tasks[[#This Row],[_Res4Work]]*Tasks[[#This Row],[_LeafProgress]]</f>
        <v/>
      </c>
      <c r="EN59" s="42">
        <f>IF(ISNUMBER(Tasks[[#This Row],[% Complete]]),Tasks[[#This Row],[% Complete]],IF(Tasks[[#This Row],[Stage]]="",0,IFERROR(INDEX(stg_Pct,MATCH(Tasks[[#This Row],[Stage]],stg_Name,0)),0)))</f>
        <v/>
      </c>
      <c r="EO59" s="42">
        <f>IF(NOT(Tasks[[#This Row],[_IsLeaf]]=1),0,IF(N(Tasks[[#This Row],[Actual Finish]])&gt;0,1,MIN(1,Tasks[[#This Row],[_Pct]])))</f>
        <v/>
      </c>
      <c r="EP59" s="42">
        <f>IF(OR(NOT(Tasks[[#This Row],[_IsLeaf]]=1),Tasks[[#This Row],[_Res1Row]]=0),0,N(Tasks[[#This Row],[_Days]])*HoursPerDay*IF(Tasks[[#This Row],[_Units1]]="",DefaultUnits,Tasks[[#This Row],[_Units1]]))</f>
        <v/>
      </c>
      <c r="EQ59" s="42">
        <f>Tasks[[#This Row],[_LeafWork]]+Tasks[[#This Row],[_Res2Work]]+Tasks[[#This Row],[_Res3Work]]+Tasks[[#This Row],[_Res4Work]]</f>
        <v/>
      </c>
      <c r="ER5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9" s="42">
        <f>IF(NOT(Tasks[[#This Row],[_IsLeaf]]=1),0,MAX(_xlfn.MAXIFS(Tasks[_Row],Tasks[_Pred1UID],Tasks[[#This Row],[UID]]),_xlfn.MAXIFS(Tasks[_Row],Tasks[_Pred2UID],Tasks[[#This Row],[UID]]),_xlfn.MAXIFS(Tasks[_Row],Tasks[_Pred3UID],Tasks[[#This Row],[UID]]),_xlfn.MAXIFS(Tasks[_Row],Tasks[_Pred4UID],Tasks[[#This Row],[UID]])))</f>
        <v/>
      </c>
      <c r="FA5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9" s="88">
        <f>IF(NOT(Tasks[[#This Row],[_IsLeaf]]=1),"",IF(N(Tasks[[#This Row],[_Days]])&lt;=0,Tasks[[#This Row],[_LeafLateFinish]],WORKDAY.INTL(Tasks[[#This Row],[_LeafLateFinish]],-(Tasks[[#This Row],[_Days]]-1),WorkWeek,Holidays)))</f>
        <v/>
      </c>
      <c r="FD5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9" s="42">
        <f>AND(Tasks[[#This Row],[_IsLeaf]]=1,Tasks[[#This Row],[_LeafProgress]]&lt;1,N(Tasks[[#This Row],[_LeafTotalSlack]])&lt;=CriticalSlackDays)</f>
        <v/>
      </c>
      <c r="FF59" s="42">
        <f>IF(AND(Tasks[[#This Row],[_IsLeaf]]=1,Tasks[[#This Row],[_ConstraintCode]]=1,Tasks[[#This Row],[Mode]]&lt;&gt;"Manual",N(Tasks[[#This Row],[Actual Start]])=0),MAX(0,N(Tasks[[#This Row],[Free Slack]])),0)</f>
        <v/>
      </c>
      <c r="FG59" s="88">
        <f>IF(NOT(Tasks[[#This Row],[_IsLeaf]]=1),"",IF(Tasks[[#This Row],[_AlapShift]]=0,Tasks[[#This Row],[_LeafCalcStart]],WORKDAY.INTL(Tasks[[#This Row],[_LeafCalcStart]],Tasks[[#This Row],[_AlapShift]],WorkWeek,Holidays)))</f>
        <v/>
      </c>
      <c r="FH59" s="88">
        <f>IF(NOT(Tasks[[#This Row],[_IsLeaf]]=1),"",IF(Tasks[[#This Row],[_AlapShift]]=0,Tasks[[#This Row],[_LeafCalcFinish]],WORKDAY.INTL(Tasks[[#This Row],[_LeafCalcFinish]],Tasks[[#This Row],[_AlapShift]],WorkWeek,Holidays)))</f>
        <v/>
      </c>
      <c r="FI59" s="88">
        <f>IF(NOT(Tasks[[#This Row],[_IsLeaf]]=1),"",IF(Tasks[[#This Row],[_AlapShift]]=0,Tasks[[#This Row],[_LeafFcstStart]],WORKDAY.INTL(Tasks[[#This Row],[_LeafFcstStart]],Tasks[[#This Row],[_AlapShift]],WorkWeek,Holidays)))</f>
        <v/>
      </c>
      <c r="FJ59" s="88">
        <f>IF(NOT(Tasks[[#This Row],[_IsLeaf]]=1),"",IF(Tasks[[#This Row],[_AlapShift]]=0,Tasks[[#This Row],[_LeafFcstFinish]],WORKDAY.INTL(Tasks[[#This Row],[_LeafFcstFinish]],Tasks[[#This Row],[_AlapShift]],WorkWeek,Holidays)))</f>
        <v/>
      </c>
      <c r="FK59" s="88">
        <f>IF(Tasks[[#This Row],[Task Name]]="","",IF(Tasks[[#This Row],[_IsSummary]],MIN(INDEX(Tasks[_ShownCalcStart],Tasks[[#This Row],[_Row]]+1):INDEX(Tasks[_ShownCalcStart],Tasks[[#This Row],[_Row]]+Tasks[[#This Row],[_Descendants]])),Tasks[[#This Row],[_ShownCalcStart]]))</f>
        <v/>
      </c>
      <c r="FL59" s="88">
        <f>IF(Tasks[[#This Row],[Task Name]]="","",IF(Tasks[[#This Row],[_IsSummary]],MAX(INDEX(Tasks[_ShownCalcFinish],Tasks[[#This Row],[_Row]]+1):INDEX(Tasks[_ShownCalcFinish],Tasks[[#This Row],[_Row]]+Tasks[[#This Row],[_Descendants]])),Tasks[[#This Row],[_ShownCalcFinish]]))</f>
        <v/>
      </c>
      <c r="FM5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9" s="42">
        <f>IF(AND(Tasks[[#This Row],[_IsLeaf]]=1,Tasks[[#This Row],[_LeafTotalWork]]&gt;0),NETWORKDAYS.INTL(ProjectStart,Tasks[[#This Row],[_ShownFcstStart]],WorkWeek,Holidays),0)</f>
        <v/>
      </c>
      <c r="FZ59" s="42">
        <f>IF(AND(Tasks[[#This Row],[_IsLeaf]]=1,Tasks[[#This Row],[_LeafTotalWork]]&gt;0),MAX(Tasks[[#This Row],[_StartWorkday]],NETWORKDAYS.INTL(ProjectStart,Tasks[[#This Row],[_ShownFcstFinish]],WorkWeek,Holidays)),0)</f>
        <v/>
      </c>
      <c r="GA59" s="42">
        <f>IF(AND(Tasks[[#This Row],[_IsLeaf]]=1,Tasks[[#This Row],[_LeafTotalWork]]&gt;0),Tasks[[#This Row],[_LeafWork]]/(Tasks[[#This Row],[_FinishWorkday]]-Tasks[[#This Row],[_StartWorkday]]+1),0)</f>
        <v/>
      </c>
      <c r="GB59" s="42">
        <f>Tasks[[#This Row],[_WorkPerWorkday]]*(Tasks[[#This Row],[_StartWorkday]]-1)</f>
        <v/>
      </c>
      <c r="GC59" s="42">
        <f>IF(Tasks[[#This Row],[_IsLeaf]]=1,MAX(N(Tasks[[#This Row],[_Days]]),0.1),0)</f>
        <v/>
      </c>
      <c r="GD59" s="42">
        <f>Tasks[[#This Row],[_WeightDur]]*Tasks[[#This Row],[_LeafProgress]]</f>
        <v/>
      </c>
      <c r="GE59" s="42">
        <f>Tasks[[#This Row],[_WeightDur]]*Tasks[[#This Row],[_PlannedPct]]</f>
        <v/>
      </c>
      <c r="GF5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9" s="42">
        <f>IF(AND(Tasks[[#This Row],[_IsLeaf]]=1,N(Tasks[[#This Row],[_Days]])=0,Tasks[[#This Row],[_LeafProgress]]&lt;1),Tasks[[#This Row],[_ShownFcstFinish]]+Tasks[[#This Row],[_Row]]/100000,"")</f>
        <v/>
      </c>
      <c r="GH5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9" s="42">
        <f>IF(Tasks[[#This Row],[Task Name]]="","",LEFT(Tasks[[#This Row],[WBS]],FIND(".",Tasks[[#This Row],[WBS]]&amp;".")-1))</f>
        <v/>
      </c>
      <c r="GJ59" s="42">
        <f>IF(AND(Tasks[[#This Row],[Task Name]]&lt;&gt;"",Tasks[[#This Row],[_Level]]=1),Tasks[[#This Row],[_Row]],"")</f>
        <v/>
      </c>
      <c r="GK59" s="42">
        <f>IF(AND(Tasks[[#This Row],[_IsLeaf]]=1,N(Tasks[[#This Row],[_Days]])=0),Tasks[[#This Row],[Planned Finish]]+Tasks[[#This Row],[_Row]]/100000,"")</f>
        <v/>
      </c>
      <c r="GL59" s="42">
        <f>IF(AND(Tasks[[#This Row],[_IsLeaf]]=1,Tasks[[#This Row],[_LeafProgress]]&lt;1,OR(N(Tasks[[#This Row],[Finish Var]])&gt;0,Tasks[[#This Row],[Status]]="Late Start")),MAX(0,Tasks[[#This Row],[Finish Var]])+1-Tasks[[#This Row],[_Row]]/1000000,"")</f>
        <v/>
      </c>
      <c r="GM59" s="42">
        <f>IF(AND(Tasks[[#This Row],[_IsLeaf]]=1,N(Tasks[[#This Row],[Actual Start]])=0,Tasks[[#This Row],[_ShownFcstStart]]&gt;=StatusDate,Tasks[[#This Row],[_ShownFcstStart]]&lt;=LookaheadEnd),Tasks[[#This Row],[_ShownFcstStart]]+Tasks[[#This Row],[_Row]]/100000,"")</f>
        <v/>
      </c>
      <c r="GN59" s="42">
        <f>IF(AND(Tasks[[#This Row],[_IsLeaf]]=1,Tasks[[#This Row],[_LeafProgress]]&lt;1,Tasks[[#This Row],[_ShownFcstFinish]]&gt;=StatusDate,Tasks[[#This Row],[_ShownFcstFinish]]&lt;=LookaheadEnd),Tasks[[#This Row],[_ShownFcstFinish]]+Tasks[[#This Row],[_Row]]/100000,"")</f>
        <v/>
      </c>
      <c r="GO59" s="42">
        <f>IF(Tasks[[#This Row],[_LeafCritical]],Tasks[[#This Row],[_ShownFcstStart]]+Tasks[[#This Row],[_Row]]/100000,"")</f>
        <v/>
      </c>
      <c r="GP59" s="42">
        <f>Tasks[[#This Row],[_LeafWork]]*Tasks[[#This Row],[_LeafProgress]]</f>
        <v/>
      </c>
      <c r="GQ59" s="88">
        <f>IF(AND(Tasks[[#This Row],[_IsLeaf]]=1,Tasks[[#This Row],[_LeafProgress]]&gt;=1),IF(N(Tasks[[#This Row],[Actual Finish]])&gt;0,Tasks[[#This Row],[Actual Finish]],Tasks[[#This Row],[_ShownFcstFinish]]),"")</f>
        <v/>
      </c>
      <c r="GR59" s="42">
        <f>IF(Tasks[[#This Row],[_IsLeaf]]=1,N(Tasks[[#This Row],[Story Points]]),0)</f>
        <v/>
      </c>
      <c r="GS59" s="42">
        <f>""</f>
        <v/>
      </c>
      <c r="GT59" s="42">
        <f>IF(Tasks[[#This Row],[Task Name]]="",FALSE(),AND(Tasks[[#This Row],[_IsLeaf]]=1,N(Tasks[[#This Row],[_Days]])=0))</f>
        <v/>
      </c>
      <c r="GU59" s="88">
        <f>IF(Tasks[[#This Row],[Task Name]]="",0,IF(AND(Tasks[[#This Row],[_IsLeaf]]=1,NOT(Tasks[[#This Row],[_IsMilestone]]),N(Tasks[[#This Row],[Progress]])&gt;0),Tasks[[#This Row],[Start]],0))</f>
        <v/>
      </c>
      <c r="GV59" s="88">
        <f>IF(Tasks[[#This Row],[_DoneFrom]]=0,0,IF(Tasks[[#This Row],[Progress]]&gt;=1,Tasks[[#This Row],[Finish]],MAX(Tasks[[#This Row],[_DoneFrom]],Tasks[[#This Row],[Start]]+ROUND((Tasks[[#This Row],[Finish]]-Tasks[[#This Row],[Start]]+1)*Tasks[[#This Row],[Progress]],0)-1)))</f>
        <v/>
      </c>
      <c r="GW59" s="88">
        <f>IF(Tasks[[#This Row],[Task Name]]="",0,IF(OR(NOT(Tasks[[#This Row],[_IsLeaf]]=1),Tasks[[#This Row],[_IsMilestone]],N(Tasks[[#This Row],[Progress]])&gt;=1),0,IF(Tasks[[#This Row],[_DoneTo]]&gt;0,Tasks[[#This Row],[_DoneTo]]+1,Tasks[[#This Row],[Start]])))</f>
        <v/>
      </c>
      <c r="GX59" s="88">
        <f>IF(Tasks[[#This Row],[_RemFrom]]=0,0,Tasks[[#This Row],[Finish]])</f>
        <v/>
      </c>
      <c r="GY59" s="42">
        <f>IF(Tasks[[#This Row],[Task Name]]="",FALSE(),OR(NOT(BaselineSet),N(Tasks[[#This Row],[Baseline Start]])&gt;0))</f>
        <v/>
      </c>
      <c r="GZ59" s="42">
        <f>IF(AND(Sandbox="Yes",L_PARSE_DURATION(Tasks[[#This Row],[Sandbox Duration]])&lt;&gt;""),L_PARSE_DURATION(Tasks[[#This Row],[Sandbox Duration]]),L_PARSE_DURATION(Tasks[[#This Row],[Duration]]))</f>
        <v/>
      </c>
      <c r="HA5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5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9" s="42">
        <f>IF(Tasks[[#This Row],[_IsLeaf]]=1,Tasks[[#This Row],[_Row]],"")</f>
        <v/>
      </c>
      <c r="HD59" s="42">
        <f>IFERROR(INDEX(Tasks[UID],SMALL(Tasks[_PickKey],Tasks[[#This Row],[_Row]]))&amp;" "&amp;INDEX(Tasks[Task Name],SMALL(Tasks[_PickKey],Tasks[[#This Row],[_Row]])),"")</f>
        <v/>
      </c>
      <c r="HE59" s="42">
        <f>IF(Tasks[[#This Row],[Task Name]]="","",IF(Tasks[[#This Row],[_IsSummary]],NETWORKDAYS.INTL(Tasks[[#This Row],[Start]],Tasks[[#This Row],[Finish]],WorkWeek,Holidays),N(Tasks[[#This Row],[_Days]])))</f>
        <v/>
      </c>
      <c r="HF59" s="42">
        <f>IF(Tasks[[#This Row],[Expected]]="",0,((Tasks[[#This Row],[Pessimistic]]-Tasks[[#This Row],[Optimistic]])/6)^2)</f>
        <v/>
      </c>
      <c r="HG59" s="42">
        <f>IF(Tasks[[#This Row],[Expected]]="",0,Tasks[[#This Row],[Expected]]-N(Tasks[[#This Row],[_Days]]))</f>
        <v/>
      </c>
    </row>
    <row r="60">
      <c r="A60" s="21">
        <f>IF(Tasks[[#This Row],[Task Name]]="","",COUNTA(Tasks[[#Headers],[Task Name]]:Tasks[[#This Row],[Task Name]])-1)</f>
        <v/>
      </c>
      <c r="B60" s="22" t="n">
        <v>68</v>
      </c>
      <c r="C60" s="22" t="n"/>
      <c r="D60" s="23" t="n"/>
      <c r="E60" s="22" t="n"/>
      <c r="F60" s="23" t="n"/>
      <c r="G60" s="22" t="n"/>
      <c r="H60" s="22" t="n"/>
      <c r="I60" s="23" t="n"/>
      <c r="J60" s="22" t="n"/>
      <c r="K60" s="22" t="n"/>
      <c r="L60" s="23" t="n"/>
      <c r="M60" s="22" t="n"/>
      <c r="N60" s="22" t="n"/>
      <c r="O60" s="23" t="n"/>
      <c r="P60" s="22" t="n"/>
      <c r="Q60" s="22" t="n"/>
      <c r="R60" s="23" t="n"/>
      <c r="S60" s="23" t="n"/>
      <c r="T60" s="82" t="n"/>
      <c r="U60" s="23" t="n"/>
      <c r="V60" s="82" t="n"/>
      <c r="W60" s="23" t="n"/>
      <c r="X60" s="82" t="n"/>
      <c r="Y60" s="23" t="n"/>
      <c r="Z60" s="82" t="n"/>
      <c r="AA60" s="23" t="n"/>
      <c r="AB60" s="23" t="n"/>
      <c r="AC60" s="7" t="n"/>
      <c r="AD60" s="7" t="n"/>
      <c r="AE60" s="61">
        <f>IF(Tasks[[#This Row],[Task Name]]="","",IF(Tasks[[#This Row],[_IsSummary]],MIN(INDEX(Tasks[_ShownFcstStart],Tasks[[#This Row],[_Row]]+1):INDEX(Tasks[_ShownFcstStart],Tasks[[#This Row],[_Row]]+Tasks[[#This Row],[_Descendants]])),Tasks[[#This Row],[_ShownFcstStart]]))</f>
        <v/>
      </c>
      <c r="AF60" s="61">
        <f>IF(Tasks[[#This Row],[Task Name]]="","",IF(Tasks[[#This Row],[_IsSummary]],MAX(INDEX(Tasks[_ShownFcstFinish],Tasks[[#This Row],[_Row]]+1):INDEX(Tasks[_ShownFcstFinish],Tasks[[#This Row],[_Row]]+Tasks[[#This Row],[_Descendants]])),Tasks[[#This Row],[_ShownFcstFinish]]))</f>
        <v/>
      </c>
      <c r="AG60" s="21">
        <f>""</f>
        <v/>
      </c>
      <c r="AH60" s="23" t="n"/>
      <c r="AI6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0" s="7" t="n"/>
      <c r="AK60" s="22" t="n"/>
      <c r="AL60" s="23" t="n"/>
      <c r="AM60" s="7" t="n"/>
      <c r="AN60" s="21">
        <f>IF(Tasks[[#This Row],[Task Name]]="","",IF(Tasks[[#This Row],[Finish]]&gt;=Tasks[[#This Row],[Planned Finish]],NETWORKDAYS.INTL(Tasks[[#This Row],[Planned Finish]],Tasks[[#This Row],[Finish]],WorkWeek,Holidays)-1,1-NETWORKDAYS.INTL(Tasks[[#This Row],[Finish]],Tasks[[#This Row],[Planned Finish]],WorkWeek,Holidays)))</f>
        <v/>
      </c>
      <c r="AO60" s="21">
        <f>IF(Tasks[[#This Row],[Task Name]]="","",IF(Tasks[[#This Row],[Progress]]&gt;=1,"Complete",IF(OR(N(Tasks[[#This Row],[Actual Start]])&gt;0,Tasks[[#This Row],[Progress]]&gt;0),IF(Tasks[[#This Row],[Finish Var]]&gt;0,"Behind","In Progress"),IF(Tasks[[#This Row],[Planned Start]]&lt;StatusDate,"Late Start","Not Started"))))</f>
        <v/>
      </c>
      <c r="AP60" s="21">
        <f>IF(Tasks[[#This Row],[Task Name]]="","",IF(IF(Tasks[[#This Row],[_IsSummary]],COUNTIF(INDEX(Tasks[_LeafCritical],Tasks[[#This Row],[_Row]]+1):INDEX(Tasks[_LeafCritical],Tasks[[#This Row],[_Row]]+Tasks[[#This Row],[_Descendants]]),TRUE())&gt;0,Tasks[[#This Row],[_LeafCritical]]),"Yes",""))</f>
        <v/>
      </c>
      <c r="AQ60" s="61">
        <f>IF(Tasks[[#This Row],[Task Name]]="","",IF(N(Tasks[[#This Row],[Baseline Start]])&gt;0,Tasks[[#This Row],[Baseline Start]],Tasks[[#This Row],[_CalcStart]]))</f>
        <v/>
      </c>
      <c r="AR60" s="61">
        <f>IF(Tasks[[#This Row],[Task Name]]="","",IF(N(Tasks[[#This Row],[Baseline Finish]])&gt;0,Tasks[[#This Row],[Baseline Finish]],Tasks[[#This Row],[_CalcFinish]]))</f>
        <v/>
      </c>
      <c r="AS60" s="21">
        <f>IF(Tasks[[#This Row],[Task Name]]="","",IF(Tasks[[#This Row],[Start]]&gt;=Tasks[[#This Row],[Planned Start]],NETWORKDAYS.INTL(Tasks[[#This Row],[Planned Start]],Tasks[[#This Row],[Start]],WorkWeek,Holidays)-1,1-NETWORKDAYS.INTL(Tasks[[#This Row],[Start]],Tasks[[#This Row],[Planned Start]],WorkWeek,Holidays)))</f>
        <v/>
      </c>
      <c r="AT60" s="61">
        <f>IF(Tasks[[#This Row],[Task Name]]="","",IF(Tasks[[#This Row],[_IsSummary]],MIN(INDEX(Tasks[_LeafLateStart],Tasks[[#This Row],[_Row]]+1):INDEX(Tasks[_LeafLateStart],Tasks[[#This Row],[_Row]]+Tasks[[#This Row],[_Descendants]])),Tasks[[#This Row],[_LeafLateStart]]))</f>
        <v/>
      </c>
      <c r="AU60" s="61">
        <f>IF(Tasks[[#This Row],[Task Name]]="","",IF(Tasks[[#This Row],[_IsSummary]],MAX(INDEX(Tasks[_LeafLateFinish],Tasks[[#This Row],[_Row]]+1):INDEX(Tasks[_LeafLateFinish],Tasks[[#This Row],[_Row]]+Tasks[[#This Row],[_Descendants]])),Tasks[[#This Row],[_LeafLateFinish]]))</f>
        <v/>
      </c>
      <c r="AV60" s="21">
        <f>IF(Tasks[[#This Row],[Task Name]]="","",IF(Tasks[[#This Row],[_IsSummary]],MIN(INDEX(Tasks[_LeafTotalSlack],Tasks[[#This Row],[_Row]]+1):INDEX(Tasks[_LeafTotalSlack],Tasks[[#This Row],[_Row]]+Tasks[[#This Row],[_Descendants]])),Tasks[[#This Row],[_LeafTotalSlack]]))</f>
        <v/>
      </c>
      <c r="AW6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3" t="n"/>
      <c r="BA6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f>IF(Tasks[[#This Row],[Task Name]]="","",IF(Tasks[[#This Row],[_Level]]&lt;=OutlineShowLevel,"Yes","No"))</f>
        <v/>
      </c>
      <c r="BE60" s="84">
        <f>IF(Tasks[[#This Row],[Task Name]]="","",IF(Tasks[[#This Row],[_IsSummary]],SUM(INDEX(Tasks[_LeafTotalWork],Tasks[[#This Row],[_Row]]+1):INDEX(Tasks[_LeafTotalWork],Tasks[[#This Row],[_Row]]+Tasks[[#This Row],[_Descendants]])),Tasks[[#This Row],[_LeafTotalWork]]))</f>
        <v/>
      </c>
      <c r="BF60" s="23" t="n"/>
      <c r="BG6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f>""</f>
        <v/>
      </c>
      <c r="BI60" s="85" t="n"/>
      <c r="BJ60" s="22" t="n"/>
      <c r="BK60" s="21">
        <f>IF(OR(Tasks[[#This Row],[Task Name]]="",Tasks[[#This Row],[Baseline Duration]]=""),"",Tasks[[#This Row],[_SpanDays]]-N(Tasks[[#This Row],[Baseline Duration]]))</f>
        <v/>
      </c>
      <c r="BL60" s="84">
        <f>IF(OR(Tasks[[#This Row],[Task Name]]="",Tasks[[#This Row],[Baseline Work]]=""),"",Tasks[[#This Row],[Work]]-N(Tasks[[#This Row],[Baseline Work]]))</f>
        <v/>
      </c>
      <c r="BM60" s="61">
        <f>IF(Tasks[[#This Row],[Task Name]]="","",IF(OR(TakeBaseline="Yes",N(Tasks[[#This Row],[Baseline Start]])=0),Tasks[[#This Row],[Start]],Tasks[[#This Row],[Baseline Start]]))</f>
        <v/>
      </c>
      <c r="BN60" s="61">
        <f>IF(Tasks[[#This Row],[Task Name]]="","",IF(OR(TakeBaseline="Yes",N(Tasks[[#This Row],[Baseline Finish]])=0),Tasks[[#This Row],[Finish]],Tasks[[#This Row],[Baseline Finish]]))</f>
        <v/>
      </c>
      <c r="BO60" s="21">
        <f>IF(Tasks[[#This Row],[Task Name]]="","",IF(OR(TakeBaseline="Yes",N(Tasks[[#This Row],[Baseline Duration]])=0),Tasks[[#This Row],[_SpanDays]],Tasks[[#This Row],[Baseline Duration]]))</f>
        <v/>
      </c>
      <c r="BP60" s="84">
        <f>IF(Tasks[[#This Row],[Task Name]]="","",IF(OR(TakeBaseline="Yes",N(Tasks[[#This Row],[Baseline Work]])=0),Tasks[[#This Row],[Work]],Tasks[[#This Row],[Baseline Work]]))</f>
        <v/>
      </c>
      <c r="BQ60" s="7" t="n"/>
      <c r="BR60" s="7" t="n"/>
      <c r="BS60" s="22" t="n"/>
      <c r="BT60" s="86" t="n"/>
      <c r="BU60" s="23" t="n"/>
      <c r="BV60" s="23" t="n"/>
      <c r="BW60" s="23" t="n"/>
      <c r="BX60" s="87">
        <f>IF(AND(Tasks[[#This Row],[_IsLeaf]]=1,ISNUMBER(Tasks[[#This Row],[Optimistic]]),ISNUMBER(Tasks[[#This Row],[Pessimistic]])),ROUND((Tasks[[#This Row],[Optimistic]]+4*N(Tasks[[#This Row],[_Days]])+Tasks[[#This Row],[Pessimistic]])/6,1),"")</f>
        <v/>
      </c>
      <c r="BY60" s="85" t="n"/>
      <c r="BZ60" s="85" t="n"/>
      <c r="CA60" s="22" t="n"/>
      <c r="CB60" s="42">
        <f>IF(Tasks[[#This Row],[Task Name]]="","",MAX(1,N(Tasks[[#This Row],[Level]])))</f>
        <v/>
      </c>
      <c r="CC60" s="42">
        <f>ROW()-ROW(Tasks[[#Headers],[ID]])</f>
        <v/>
      </c>
      <c r="CD60" s="42">
        <f>IF(OR(Tasks[[#This Row],[Task Name]]="",Tasks[[#This Row],[_Level]]&lt;=1),0,IFERROR(LOOKUP(2,1/(Tasks[[#Headers],[_Level]]:Tasks[[#This Row],[_Level]]=Tasks[[#This Row],[_Level]]-1),ROW(Tasks[[#Headers],[_Level]]:Tasks[[#This Row],[_Level]])),0))</f>
        <v/>
      </c>
      <c r="CE60" s="42">
        <f>IFERROR(N(INDEX(Tasks[_Level],Tasks[[#This Row],[_Row]]+1)),0)</f>
        <v/>
      </c>
      <c r="CF60" s="42">
        <f>AND(Tasks[[#This Row],[Task Name]]&lt;&gt;"",Tasks[[#This Row],[_NextLevel]]&gt;Tasks[[#This Row],[_Level]])</f>
        <v/>
      </c>
      <c r="CG60" s="42">
        <f>IF(Tasks[[#This Row],[_IsSummary]],COUNTIF(Tasks[WBS],Tasks[[#This Row],[WBS]]&amp;".*"),0)</f>
        <v/>
      </c>
      <c r="CH60" s="42">
        <f>IF(AND(Tasks[[#This Row],[Task Name]]&lt;&gt;"",NOT(Tasks[[#This Row],[_IsSummary]])),1,0)</f>
        <v/>
      </c>
      <c r="CI60" s="42">
        <f>IF(N(Tasks[[#This Row],[_Pred1UID]])=0,0,IFERROR(MATCH(Tasks[[#This Row],[_Pred1UID]],Tasks[UID],0),-1))</f>
        <v/>
      </c>
      <c r="CJ60" s="42">
        <f>IF(N(Tasks[[#This Row],[_Pred2UID]])=0,0,IFERROR(MATCH(Tasks[[#This Row],[_Pred2UID]],Tasks[UID],0),-1))</f>
        <v/>
      </c>
      <c r="CK60" s="42">
        <f>IF(N(Tasks[[#This Row],[_Pred3UID]])=0,0,IFERROR(MATCH(Tasks[[#This Row],[_Pred3UID]],Tasks[UID],0),-1))</f>
        <v/>
      </c>
      <c r="CL60" s="42">
        <f>IF(N(Tasks[[#This Row],[_Pred4UID]])=0,0,IFERROR(MATCH(Tasks[[#This Row],[_Pred4UID]],Tasks[UID],0),-1))</f>
        <v/>
      </c>
      <c r="CM6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0" s="88">
        <f>IF(N(Tasks[[#This Row],[Constraint Date]])=0,0,IF(AND(OR(Tasks[[#This Row],[_ConstraintCode]]=3,Tasks[[#This Row],[_ConstraintCode]]=6,Tasks[[#This Row],[_ConstraintCode]]=7),N(Tasks[[#This Row],[_Days]])&gt;1),WORKDAY.INTL(N(Tasks[[#This Row],[Constraint Date]]),-(N(Tasks[[#This Row],[_Days]])-1),WorkWeek,Holidays),N(Tasks[[#This Row],[Constraint Date]])))</f>
        <v/>
      </c>
      <c r="CO60" s="88">
        <f>IF(OR(Tasks[[#This Row],[_ConstraintCode]]=2,Tasks[[#This Row],[_ConstraintCode]]=3,Tasks[[#This Row],[_ConstraintCode]]=4,Tasks[[#This Row],[_ConstraintCode]]=6),Tasks[[#This Row],[_ConstraintStart]],0)</f>
        <v/>
      </c>
      <c r="CP60" s="88">
        <f>IF(OR(Tasks[[#This Row],[_ConstraintCode]]=2,Tasks[[#This Row],[_ConstraintCode]]=3,Tasks[[#This Row],[_ConstraintCode]]=5,Tasks[[#This Row],[_ConstraintCode]]=7),Tasks[[#This Row],[_ConstraintStart]],2958465)</f>
        <v/>
      </c>
      <c r="CQ6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0" s="88">
        <f>IF(NOT(Tasks[[#This Row],[_IsLeaf]]=1),"",IF(N(Tasks[[#This Row],[_Days]])&lt;=0,Tasks[[#This Row],[_LeafCalcStart]],WORKDAY.INTL(Tasks[[#This Row],[_LeafCalcStart]],Tasks[[#This Row],[_Days]]-1,WorkWeek,Holidays)))</f>
        <v/>
      </c>
      <c r="CS6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0" s="42">
        <f>IF(Tasks[[#This Row],[_Predecessors]]="","",TRIM(MID(SUBSTITUTE(SUBSTITUTE(SUBSTITUTE(UPPER(Tasks[[#This Row],[_Predecessors]]),";",",")," ",""),",",REPT(" ",99)),1,99)))</f>
        <v/>
      </c>
      <c r="CV60" s="42">
        <f>IF(Tasks[[#This Row],[_Pred1Text]]="","",IFERROR(VALUE(LEFT(Tasks[[#This Row],[_Pred1Text]],MIN(FIND("F",Tasks[[#This Row],[_Pred1Text]]&amp;"F"),FIND("S",Tasks[[#This Row],[_Pred1Text]]&amp;"S"),FIND("+",Tasks[[#This Row],[_Pred1Text]]&amp;"+"),FIND("-",Tasks[[#This Row],[_Pred1Text]]&amp;"-"))-1)),""))</f>
        <v/>
      </c>
      <c r="CW6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0" s="42">
        <f>IF(Tasks[[#This Row],[_Pred1Text]]="","",TRIM(MID(SUBSTITUTE(SUBSTITUTE(SUBSTITUTE(UPPER(Tasks[[#This Row],[_Predecessors]]),";",",")," ",""),",",REPT(" ",99)),100,99)))</f>
        <v/>
      </c>
      <c r="CZ60" s="42">
        <f>IF(Tasks[[#This Row],[_Pred2Text]]="","",IFERROR(VALUE(LEFT(Tasks[[#This Row],[_Pred2Text]],MIN(FIND("F",Tasks[[#This Row],[_Pred2Text]]&amp;"F"),FIND("S",Tasks[[#This Row],[_Pred2Text]]&amp;"S"),FIND("+",Tasks[[#This Row],[_Pred2Text]]&amp;"+"),FIND("-",Tasks[[#This Row],[_Pred2Text]]&amp;"-"))-1)),""))</f>
        <v/>
      </c>
      <c r="DA6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0" s="42">
        <f>IF(Tasks[[#This Row],[_Pred2Text]]="","",TRIM(MID(SUBSTITUTE(SUBSTITUTE(SUBSTITUTE(UPPER(Tasks[[#This Row],[_Predecessors]]),";",",")," ",""),",",REPT(" ",99)),199,99)))</f>
        <v/>
      </c>
      <c r="DD60" s="42">
        <f>IF(Tasks[[#This Row],[_Pred3Text]]="","",IFERROR(VALUE(LEFT(Tasks[[#This Row],[_Pred3Text]],MIN(FIND("F",Tasks[[#This Row],[_Pred3Text]]&amp;"F"),FIND("S",Tasks[[#This Row],[_Pred3Text]]&amp;"S"),FIND("+",Tasks[[#This Row],[_Pred3Text]]&amp;"+"),FIND("-",Tasks[[#This Row],[_Pred3Text]]&amp;"-"))-1)),""))</f>
        <v/>
      </c>
      <c r="DE6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0" s="42">
        <f>IF(Tasks[[#This Row],[_Pred3Text]]="","",TRIM(MID(SUBSTITUTE(SUBSTITUTE(SUBSTITUTE(UPPER(Tasks[[#This Row],[_Predecessors]]),";",",")," ",""),",",REPT(" ",99)),298,99)))</f>
        <v/>
      </c>
      <c r="DH60" s="42">
        <f>IF(Tasks[[#This Row],[_Pred4Text]]="","",IFERROR(VALUE(LEFT(Tasks[[#This Row],[_Pred4Text]],MIN(FIND("F",Tasks[[#This Row],[_Pred4Text]]&amp;"F"),FIND("S",Tasks[[#This Row],[_Pred4Text]]&amp;"S"),FIND("+",Tasks[[#This Row],[_Pred4Text]]&amp;"+"),FIND("-",Tasks[[#This Row],[_Pred4Text]]&amp;"-"))-1)),""))</f>
        <v/>
      </c>
      <c r="DI6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0" s="42">
        <f>IF(OR(Tasks[[#This Row],[Task Name]]="",Tasks[[#This Row],[_Resources]]=""),"",TRIM(MID(SUBSTITUTE(Tasks[[#This Row],[_Resources]],",",REPT(" ",99)),1,99)))</f>
        <v/>
      </c>
      <c r="DL60" s="42">
        <f>IF(Tasks[[#This Row],[_Res1Text]]="","",TRIM(MID(SUBSTITUTE(Tasks[[#This Row],[_Resources]],",",REPT(" ",99)),100,99)))</f>
        <v/>
      </c>
      <c r="DM60" s="42">
        <f>IF(Tasks[[#This Row],[_Res2Text]]="","",TRIM(MID(SUBSTITUTE(Tasks[[#This Row],[_Resources]],",",REPT(" ",99)),199,99)))</f>
        <v/>
      </c>
      <c r="DN60" s="42">
        <f>IF(Tasks[[#This Row],[_Res3Text]]="","",TRIM(MID(SUBSTITUTE(Tasks[[#This Row],[_Resources]],",",REPT(" ",99)),298,99)))</f>
        <v/>
      </c>
      <c r="DO60" s="42">
        <f>IF(Tasks[[#This Row],[_Res1Text]]="",0,IFERROR(MATCH(TRIM(LEFT(Tasks[[#This Row],[_Res1Text]],FIND("[",Tasks[[#This Row],[_Res1Text]]&amp;"[")-1)),res_Name,0),IFERROR(MATCH(TRIM(LEFT(Tasks[[#This Row],[_Res1Text]],FIND("[",Tasks[[#This Row],[_Res1Text]]&amp;"[")-1)),res_Initials,0),0)))</f>
        <v/>
      </c>
      <c r="DP60" s="42">
        <f>IF(Tasks[[#This Row],[_Res2Text]]="",0,IFERROR(MATCH(TRIM(LEFT(Tasks[[#This Row],[_Res2Text]],FIND("[",Tasks[[#This Row],[_Res2Text]]&amp;"[")-1)),res_Name,0),IFERROR(MATCH(TRIM(LEFT(Tasks[[#This Row],[_Res2Text]],FIND("[",Tasks[[#This Row],[_Res2Text]]&amp;"[")-1)),res_Initials,0),0)))</f>
        <v/>
      </c>
      <c r="DQ60" s="42">
        <f>IF(Tasks[[#This Row],[_Res3Text]]="",0,IFERROR(MATCH(TRIM(LEFT(Tasks[[#This Row],[_Res3Text]],FIND("[",Tasks[[#This Row],[_Res3Text]]&amp;"[")-1)),res_Name,0),IFERROR(MATCH(TRIM(LEFT(Tasks[[#This Row],[_Res3Text]],FIND("[",Tasks[[#This Row],[_Res3Text]]&amp;"[")-1)),res_Initials,0),0)))</f>
        <v/>
      </c>
      <c r="DR60" s="42">
        <f>IF(Tasks[[#This Row],[_Res4Text]]="",0,IFERROR(MATCH(TRIM(LEFT(Tasks[[#This Row],[_Res4Text]],FIND("[",Tasks[[#This Row],[_Res4Text]]&amp;"[")-1)),res_Name,0),IFERROR(MATCH(TRIM(LEFT(Tasks[[#This Row],[_Res4Text]],FIND("[",Tasks[[#This Row],[_Res4Text]]&amp;"[")-1)),res_Initials,0),0)))</f>
        <v/>
      </c>
      <c r="DS60" s="42">
        <f>IF(Tasks[[#This Row],[_Res1Text]]="","",IF(Tasks[[#This Row],[_Res1Row]]&gt;0,INDEX(res_Name,Tasks[[#This Row],[_Res1Row]]),TRIM(LEFT(Tasks[[#This Row],[_Res1Text]],FIND("[",Tasks[[#This Row],[_Res1Text]]&amp;"[")-1))))</f>
        <v/>
      </c>
      <c r="DT6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0" s="42">
        <f>IF(NOT(Tasks[[#This Row],[_IsLeaf]]=1),0,(Tasks[[#This Row],[_Resource1]]&lt;&gt;"")+(Tasks[[#This Row],[_Res2]]&lt;&gt;"")+(Tasks[[#This Row],[_Res3]]&lt;&gt;"")+(Tasks[[#This Row],[_Res4]]&lt;&gt;""))</f>
        <v/>
      </c>
      <c r="DV60" s="42">
        <f>IF(Tasks[[#This Row],[_Res2Text]]="","",IF(Tasks[[#This Row],[_Res2Row]]&gt;0,INDEX(res_Name,Tasks[[#This Row],[_Res2Row]]),TRIM(LEFT(Tasks[[#This Row],[_Res2Text]],FIND("[",Tasks[[#This Row],[_Res2Text]]&amp;"[")-1))))</f>
        <v/>
      </c>
      <c r="DW6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0" s="42">
        <f>IF(OR(NOT(Tasks[[#This Row],[_IsLeaf]]=1),Tasks[[#This Row],[_Res2Row]]=0),0,N(Tasks[[#This Row],[_Days]])*HoursPerDay*IF(Tasks[[#This Row],[_Res2Units]]="",DefaultUnits,Tasks[[#This Row],[_Res2Units]]))</f>
        <v/>
      </c>
      <c r="DY60" s="42">
        <f>IF(AND(AND(Tasks[[#This Row],[_IsLeaf]]=1,Tasks[[#This Row],[_LeafTotalWork]]&gt;0),Tasks[[#This Row],[_Res2Work]]&gt;0),Tasks[[#This Row],[_Res2Work]]/(Tasks[[#This Row],[_FinishWorkday]]-Tasks[[#This Row],[_StartWorkday]]+1),0)</f>
        <v/>
      </c>
      <c r="DZ60" s="42">
        <f>Tasks[[#This Row],[_Res2WorkPerWD]]*MAX(0,Tasks[[#This Row],[_StartWorkday]]-1)</f>
        <v/>
      </c>
      <c r="EA60" s="42">
        <f>Tasks[[#This Row],[_Res2Work]]*Tasks[[#This Row],[_LeafProgress]]</f>
        <v/>
      </c>
      <c r="EB60" s="42">
        <f>IF(Tasks[[#This Row],[_Res3Text]]="","",IF(Tasks[[#This Row],[_Res3Row]]&gt;0,INDEX(res_Name,Tasks[[#This Row],[_Res3Row]]),TRIM(LEFT(Tasks[[#This Row],[_Res3Text]],FIND("[",Tasks[[#This Row],[_Res3Text]]&amp;"[")-1))))</f>
        <v/>
      </c>
      <c r="EC6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0" s="42">
        <f>IF(OR(NOT(Tasks[[#This Row],[_IsLeaf]]=1),Tasks[[#This Row],[_Res3Row]]=0),0,N(Tasks[[#This Row],[_Days]])*HoursPerDay*IF(Tasks[[#This Row],[_Res3Units]]="",DefaultUnits,Tasks[[#This Row],[_Res3Units]]))</f>
        <v/>
      </c>
      <c r="EE60" s="42">
        <f>IF(AND(AND(Tasks[[#This Row],[_IsLeaf]]=1,Tasks[[#This Row],[_LeafTotalWork]]&gt;0),Tasks[[#This Row],[_Res3Work]]&gt;0),Tasks[[#This Row],[_Res3Work]]/(Tasks[[#This Row],[_FinishWorkday]]-Tasks[[#This Row],[_StartWorkday]]+1),0)</f>
        <v/>
      </c>
      <c r="EF60" s="42">
        <f>Tasks[[#This Row],[_Res3WorkPerWD]]*MAX(0,Tasks[[#This Row],[_StartWorkday]]-1)</f>
        <v/>
      </c>
      <c r="EG60" s="42">
        <f>Tasks[[#This Row],[_Res3Work]]*Tasks[[#This Row],[_LeafProgress]]</f>
        <v/>
      </c>
      <c r="EH60" s="42">
        <f>IF(Tasks[[#This Row],[_Res4Text]]="","",IF(Tasks[[#This Row],[_Res4Row]]&gt;0,INDEX(res_Name,Tasks[[#This Row],[_Res4Row]]),TRIM(LEFT(Tasks[[#This Row],[_Res4Text]],FIND("[",Tasks[[#This Row],[_Res4Text]]&amp;"[")-1))))</f>
        <v/>
      </c>
      <c r="EI6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0" s="42">
        <f>IF(OR(NOT(Tasks[[#This Row],[_IsLeaf]]=1),Tasks[[#This Row],[_Res4Row]]=0),0,N(Tasks[[#This Row],[_Days]])*HoursPerDay*IF(Tasks[[#This Row],[_Res4Units]]="",DefaultUnits,Tasks[[#This Row],[_Res4Units]]))</f>
        <v/>
      </c>
      <c r="EK60" s="42">
        <f>IF(AND(AND(Tasks[[#This Row],[_IsLeaf]]=1,Tasks[[#This Row],[_LeafTotalWork]]&gt;0),Tasks[[#This Row],[_Res4Work]]&gt;0),Tasks[[#This Row],[_Res4Work]]/(Tasks[[#This Row],[_FinishWorkday]]-Tasks[[#This Row],[_StartWorkday]]+1),0)</f>
        <v/>
      </c>
      <c r="EL60" s="42">
        <f>Tasks[[#This Row],[_Res4WorkPerWD]]*MAX(0,Tasks[[#This Row],[_StartWorkday]]-1)</f>
        <v/>
      </c>
      <c r="EM60" s="42">
        <f>Tasks[[#This Row],[_Res4Work]]*Tasks[[#This Row],[_LeafProgress]]</f>
        <v/>
      </c>
      <c r="EN60" s="42">
        <f>IF(ISNUMBER(Tasks[[#This Row],[% Complete]]),Tasks[[#This Row],[% Complete]],IF(Tasks[[#This Row],[Stage]]="",0,IFERROR(INDEX(stg_Pct,MATCH(Tasks[[#This Row],[Stage]],stg_Name,0)),0)))</f>
        <v/>
      </c>
      <c r="EO60" s="42">
        <f>IF(NOT(Tasks[[#This Row],[_IsLeaf]]=1),0,IF(N(Tasks[[#This Row],[Actual Finish]])&gt;0,1,MIN(1,Tasks[[#This Row],[_Pct]])))</f>
        <v/>
      </c>
      <c r="EP60" s="42">
        <f>IF(OR(NOT(Tasks[[#This Row],[_IsLeaf]]=1),Tasks[[#This Row],[_Res1Row]]=0),0,N(Tasks[[#This Row],[_Days]])*HoursPerDay*IF(Tasks[[#This Row],[_Units1]]="",DefaultUnits,Tasks[[#This Row],[_Units1]]))</f>
        <v/>
      </c>
      <c r="EQ60" s="42">
        <f>Tasks[[#This Row],[_LeafWork]]+Tasks[[#This Row],[_Res2Work]]+Tasks[[#This Row],[_Res3Work]]+Tasks[[#This Row],[_Res4Work]]</f>
        <v/>
      </c>
      <c r="ER6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0" s="42">
        <f>IF(NOT(Tasks[[#This Row],[_IsLeaf]]=1),0,MAX(_xlfn.MAXIFS(Tasks[_Row],Tasks[_Pred1UID],Tasks[[#This Row],[UID]]),_xlfn.MAXIFS(Tasks[_Row],Tasks[_Pred2UID],Tasks[[#This Row],[UID]]),_xlfn.MAXIFS(Tasks[_Row],Tasks[_Pred3UID],Tasks[[#This Row],[UID]]),_xlfn.MAXIFS(Tasks[_Row],Tasks[_Pred4UID],Tasks[[#This Row],[UID]])))</f>
        <v/>
      </c>
      <c r="FA6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0" s="88">
        <f>IF(NOT(Tasks[[#This Row],[_IsLeaf]]=1),"",IF(N(Tasks[[#This Row],[_Days]])&lt;=0,Tasks[[#This Row],[_LeafLateFinish]],WORKDAY.INTL(Tasks[[#This Row],[_LeafLateFinish]],-(Tasks[[#This Row],[_Days]]-1),WorkWeek,Holidays)))</f>
        <v/>
      </c>
      <c r="FD6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0" s="42">
        <f>AND(Tasks[[#This Row],[_IsLeaf]]=1,Tasks[[#This Row],[_LeafProgress]]&lt;1,N(Tasks[[#This Row],[_LeafTotalSlack]])&lt;=CriticalSlackDays)</f>
        <v/>
      </c>
      <c r="FF60" s="42">
        <f>IF(AND(Tasks[[#This Row],[_IsLeaf]]=1,Tasks[[#This Row],[_ConstraintCode]]=1,Tasks[[#This Row],[Mode]]&lt;&gt;"Manual",N(Tasks[[#This Row],[Actual Start]])=0),MAX(0,N(Tasks[[#This Row],[Free Slack]])),0)</f>
        <v/>
      </c>
      <c r="FG60" s="88">
        <f>IF(NOT(Tasks[[#This Row],[_IsLeaf]]=1),"",IF(Tasks[[#This Row],[_AlapShift]]=0,Tasks[[#This Row],[_LeafCalcStart]],WORKDAY.INTL(Tasks[[#This Row],[_LeafCalcStart]],Tasks[[#This Row],[_AlapShift]],WorkWeek,Holidays)))</f>
        <v/>
      </c>
      <c r="FH60" s="88">
        <f>IF(NOT(Tasks[[#This Row],[_IsLeaf]]=1),"",IF(Tasks[[#This Row],[_AlapShift]]=0,Tasks[[#This Row],[_LeafCalcFinish]],WORKDAY.INTL(Tasks[[#This Row],[_LeafCalcFinish]],Tasks[[#This Row],[_AlapShift]],WorkWeek,Holidays)))</f>
        <v/>
      </c>
      <c r="FI60" s="88">
        <f>IF(NOT(Tasks[[#This Row],[_IsLeaf]]=1),"",IF(Tasks[[#This Row],[_AlapShift]]=0,Tasks[[#This Row],[_LeafFcstStart]],WORKDAY.INTL(Tasks[[#This Row],[_LeafFcstStart]],Tasks[[#This Row],[_AlapShift]],WorkWeek,Holidays)))</f>
        <v/>
      </c>
      <c r="FJ60" s="88">
        <f>IF(NOT(Tasks[[#This Row],[_IsLeaf]]=1),"",IF(Tasks[[#This Row],[_AlapShift]]=0,Tasks[[#This Row],[_LeafFcstFinish]],WORKDAY.INTL(Tasks[[#This Row],[_LeafFcstFinish]],Tasks[[#This Row],[_AlapShift]],WorkWeek,Holidays)))</f>
        <v/>
      </c>
      <c r="FK60" s="88">
        <f>IF(Tasks[[#This Row],[Task Name]]="","",IF(Tasks[[#This Row],[_IsSummary]],MIN(INDEX(Tasks[_ShownCalcStart],Tasks[[#This Row],[_Row]]+1):INDEX(Tasks[_ShownCalcStart],Tasks[[#This Row],[_Row]]+Tasks[[#This Row],[_Descendants]])),Tasks[[#This Row],[_ShownCalcStart]]))</f>
        <v/>
      </c>
      <c r="FL60" s="88">
        <f>IF(Tasks[[#This Row],[Task Name]]="","",IF(Tasks[[#This Row],[_IsSummary]],MAX(INDEX(Tasks[_ShownCalcFinish],Tasks[[#This Row],[_Row]]+1):INDEX(Tasks[_ShownCalcFinish],Tasks[[#This Row],[_Row]]+Tasks[[#This Row],[_Descendants]])),Tasks[[#This Row],[_ShownCalcFinish]]))</f>
        <v/>
      </c>
      <c r="FM6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0" s="42">
        <f>IF(AND(Tasks[[#This Row],[_IsLeaf]]=1,Tasks[[#This Row],[_LeafTotalWork]]&gt;0),NETWORKDAYS.INTL(ProjectStart,Tasks[[#This Row],[_ShownFcstStart]],WorkWeek,Holidays),0)</f>
        <v/>
      </c>
      <c r="FZ60" s="42">
        <f>IF(AND(Tasks[[#This Row],[_IsLeaf]]=1,Tasks[[#This Row],[_LeafTotalWork]]&gt;0),MAX(Tasks[[#This Row],[_StartWorkday]],NETWORKDAYS.INTL(ProjectStart,Tasks[[#This Row],[_ShownFcstFinish]],WorkWeek,Holidays)),0)</f>
        <v/>
      </c>
      <c r="GA60" s="42">
        <f>IF(AND(Tasks[[#This Row],[_IsLeaf]]=1,Tasks[[#This Row],[_LeafTotalWork]]&gt;0),Tasks[[#This Row],[_LeafWork]]/(Tasks[[#This Row],[_FinishWorkday]]-Tasks[[#This Row],[_StartWorkday]]+1),0)</f>
        <v/>
      </c>
      <c r="GB60" s="42">
        <f>Tasks[[#This Row],[_WorkPerWorkday]]*(Tasks[[#This Row],[_StartWorkday]]-1)</f>
        <v/>
      </c>
      <c r="GC60" s="42">
        <f>IF(Tasks[[#This Row],[_IsLeaf]]=1,MAX(N(Tasks[[#This Row],[_Days]]),0.1),0)</f>
        <v/>
      </c>
      <c r="GD60" s="42">
        <f>Tasks[[#This Row],[_WeightDur]]*Tasks[[#This Row],[_LeafProgress]]</f>
        <v/>
      </c>
      <c r="GE60" s="42">
        <f>Tasks[[#This Row],[_WeightDur]]*Tasks[[#This Row],[_PlannedPct]]</f>
        <v/>
      </c>
      <c r="GF6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0" s="42">
        <f>IF(AND(Tasks[[#This Row],[_IsLeaf]]=1,N(Tasks[[#This Row],[_Days]])=0,Tasks[[#This Row],[_LeafProgress]]&lt;1),Tasks[[#This Row],[_ShownFcstFinish]]+Tasks[[#This Row],[_Row]]/100000,"")</f>
        <v/>
      </c>
      <c r="GH6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0" s="42">
        <f>IF(Tasks[[#This Row],[Task Name]]="","",LEFT(Tasks[[#This Row],[WBS]],FIND(".",Tasks[[#This Row],[WBS]]&amp;".")-1))</f>
        <v/>
      </c>
      <c r="GJ60" s="42">
        <f>IF(AND(Tasks[[#This Row],[Task Name]]&lt;&gt;"",Tasks[[#This Row],[_Level]]=1),Tasks[[#This Row],[_Row]],"")</f>
        <v/>
      </c>
      <c r="GK60" s="42">
        <f>IF(AND(Tasks[[#This Row],[_IsLeaf]]=1,N(Tasks[[#This Row],[_Days]])=0),Tasks[[#This Row],[Planned Finish]]+Tasks[[#This Row],[_Row]]/100000,"")</f>
        <v/>
      </c>
      <c r="GL60" s="42">
        <f>IF(AND(Tasks[[#This Row],[_IsLeaf]]=1,Tasks[[#This Row],[_LeafProgress]]&lt;1,OR(N(Tasks[[#This Row],[Finish Var]])&gt;0,Tasks[[#This Row],[Status]]="Late Start")),MAX(0,Tasks[[#This Row],[Finish Var]])+1-Tasks[[#This Row],[_Row]]/1000000,"")</f>
        <v/>
      </c>
      <c r="GM60" s="42">
        <f>IF(AND(Tasks[[#This Row],[_IsLeaf]]=1,N(Tasks[[#This Row],[Actual Start]])=0,Tasks[[#This Row],[_ShownFcstStart]]&gt;=StatusDate,Tasks[[#This Row],[_ShownFcstStart]]&lt;=LookaheadEnd),Tasks[[#This Row],[_ShownFcstStart]]+Tasks[[#This Row],[_Row]]/100000,"")</f>
        <v/>
      </c>
      <c r="GN60" s="42">
        <f>IF(AND(Tasks[[#This Row],[_IsLeaf]]=1,Tasks[[#This Row],[_LeafProgress]]&lt;1,Tasks[[#This Row],[_ShownFcstFinish]]&gt;=StatusDate,Tasks[[#This Row],[_ShownFcstFinish]]&lt;=LookaheadEnd),Tasks[[#This Row],[_ShownFcstFinish]]+Tasks[[#This Row],[_Row]]/100000,"")</f>
        <v/>
      </c>
      <c r="GO60" s="42">
        <f>IF(Tasks[[#This Row],[_LeafCritical]],Tasks[[#This Row],[_ShownFcstStart]]+Tasks[[#This Row],[_Row]]/100000,"")</f>
        <v/>
      </c>
      <c r="GP60" s="42">
        <f>Tasks[[#This Row],[_LeafWork]]*Tasks[[#This Row],[_LeafProgress]]</f>
        <v/>
      </c>
      <c r="GQ60" s="88">
        <f>IF(AND(Tasks[[#This Row],[_IsLeaf]]=1,Tasks[[#This Row],[_LeafProgress]]&gt;=1),IF(N(Tasks[[#This Row],[Actual Finish]])&gt;0,Tasks[[#This Row],[Actual Finish]],Tasks[[#This Row],[_ShownFcstFinish]]),"")</f>
        <v/>
      </c>
      <c r="GR60" s="42">
        <f>IF(Tasks[[#This Row],[_IsLeaf]]=1,N(Tasks[[#This Row],[Story Points]]),0)</f>
        <v/>
      </c>
      <c r="GS60" s="42">
        <f>""</f>
        <v/>
      </c>
      <c r="GT60" s="42">
        <f>IF(Tasks[[#This Row],[Task Name]]="",FALSE(),AND(Tasks[[#This Row],[_IsLeaf]]=1,N(Tasks[[#This Row],[_Days]])=0))</f>
        <v/>
      </c>
      <c r="GU60" s="88">
        <f>IF(Tasks[[#This Row],[Task Name]]="",0,IF(AND(Tasks[[#This Row],[_IsLeaf]]=1,NOT(Tasks[[#This Row],[_IsMilestone]]),N(Tasks[[#This Row],[Progress]])&gt;0),Tasks[[#This Row],[Start]],0))</f>
        <v/>
      </c>
      <c r="GV60" s="88">
        <f>IF(Tasks[[#This Row],[_DoneFrom]]=0,0,IF(Tasks[[#This Row],[Progress]]&gt;=1,Tasks[[#This Row],[Finish]],MAX(Tasks[[#This Row],[_DoneFrom]],Tasks[[#This Row],[Start]]+ROUND((Tasks[[#This Row],[Finish]]-Tasks[[#This Row],[Start]]+1)*Tasks[[#This Row],[Progress]],0)-1)))</f>
        <v/>
      </c>
      <c r="GW60" s="88">
        <f>IF(Tasks[[#This Row],[Task Name]]="",0,IF(OR(NOT(Tasks[[#This Row],[_IsLeaf]]=1),Tasks[[#This Row],[_IsMilestone]],N(Tasks[[#This Row],[Progress]])&gt;=1),0,IF(Tasks[[#This Row],[_DoneTo]]&gt;0,Tasks[[#This Row],[_DoneTo]]+1,Tasks[[#This Row],[Start]])))</f>
        <v/>
      </c>
      <c r="GX60" s="88">
        <f>IF(Tasks[[#This Row],[_RemFrom]]=0,0,Tasks[[#This Row],[Finish]])</f>
        <v/>
      </c>
      <c r="GY60" s="42">
        <f>IF(Tasks[[#This Row],[Task Name]]="",FALSE(),OR(NOT(BaselineSet),N(Tasks[[#This Row],[Baseline Start]])&gt;0))</f>
        <v/>
      </c>
      <c r="GZ60" s="42">
        <f>IF(AND(Sandbox="Yes",L_PARSE_DURATION(Tasks[[#This Row],[Sandbox Duration]])&lt;&gt;""),L_PARSE_DURATION(Tasks[[#This Row],[Sandbox Duration]]),L_PARSE_DURATION(Tasks[[#This Row],[Duration]]))</f>
        <v/>
      </c>
      <c r="HA6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0" s="42">
        <f>IF(Tasks[[#This Row],[_IsLeaf]]=1,Tasks[[#This Row],[_Row]],"")</f>
        <v/>
      </c>
      <c r="HD60" s="42">
        <f>IFERROR(INDEX(Tasks[UID],SMALL(Tasks[_PickKey],Tasks[[#This Row],[_Row]]))&amp;" "&amp;INDEX(Tasks[Task Name],SMALL(Tasks[_PickKey],Tasks[[#This Row],[_Row]])),"")</f>
        <v/>
      </c>
      <c r="HE60" s="42">
        <f>IF(Tasks[[#This Row],[Task Name]]="","",IF(Tasks[[#This Row],[_IsSummary]],NETWORKDAYS.INTL(Tasks[[#This Row],[Start]],Tasks[[#This Row],[Finish]],WorkWeek,Holidays),N(Tasks[[#This Row],[_Days]])))</f>
        <v/>
      </c>
      <c r="HF60" s="42">
        <f>IF(Tasks[[#This Row],[Expected]]="",0,((Tasks[[#This Row],[Pessimistic]]-Tasks[[#This Row],[Optimistic]])/6)^2)</f>
        <v/>
      </c>
      <c r="HG60" s="42">
        <f>IF(Tasks[[#This Row],[Expected]]="",0,Tasks[[#This Row],[Expected]]-N(Tasks[[#This Row],[_Days]]))</f>
        <v/>
      </c>
    </row>
    <row r="61">
      <c r="A61" s="21">
        <f>IF(Tasks[[#This Row],[Task Name]]="","",COUNTA(Tasks[[#Headers],[Task Name]]:Tasks[[#This Row],[Task Name]])-1)</f>
        <v/>
      </c>
      <c r="B61" s="22" t="n">
        <v>69</v>
      </c>
      <c r="C61" s="22" t="n"/>
      <c r="D61" s="23" t="n"/>
      <c r="E61" s="22" t="n"/>
      <c r="F61" s="23" t="n"/>
      <c r="G61" s="22" t="n"/>
      <c r="H61" s="22" t="n"/>
      <c r="I61" s="23" t="n"/>
      <c r="J61" s="22" t="n"/>
      <c r="K61" s="22" t="n"/>
      <c r="L61" s="23" t="n"/>
      <c r="M61" s="22" t="n"/>
      <c r="N61" s="22" t="n"/>
      <c r="O61" s="23" t="n"/>
      <c r="P61" s="22" t="n"/>
      <c r="Q61" s="22" t="n"/>
      <c r="R61" s="23" t="n"/>
      <c r="S61" s="23" t="n"/>
      <c r="T61" s="82" t="n"/>
      <c r="U61" s="23" t="n"/>
      <c r="V61" s="82" t="n"/>
      <c r="W61" s="23" t="n"/>
      <c r="X61" s="82" t="n"/>
      <c r="Y61" s="23" t="n"/>
      <c r="Z61" s="82" t="n"/>
      <c r="AA61" s="23" t="n"/>
      <c r="AB61" s="23" t="n"/>
      <c r="AC61" s="7" t="n"/>
      <c r="AD61" s="7" t="n"/>
      <c r="AE61" s="61">
        <f>IF(Tasks[[#This Row],[Task Name]]="","",IF(Tasks[[#This Row],[_IsSummary]],MIN(INDEX(Tasks[_ShownFcstStart],Tasks[[#This Row],[_Row]]+1):INDEX(Tasks[_ShownFcstStart],Tasks[[#This Row],[_Row]]+Tasks[[#This Row],[_Descendants]])),Tasks[[#This Row],[_ShownFcstStart]]))</f>
        <v/>
      </c>
      <c r="AF61" s="61">
        <f>IF(Tasks[[#This Row],[Task Name]]="","",IF(Tasks[[#This Row],[_IsSummary]],MAX(INDEX(Tasks[_ShownFcstFinish],Tasks[[#This Row],[_Row]]+1):INDEX(Tasks[_ShownFcstFinish],Tasks[[#This Row],[_Row]]+Tasks[[#This Row],[_Descendants]])),Tasks[[#This Row],[_ShownFcstFinish]]))</f>
        <v/>
      </c>
      <c r="AG61" s="21">
        <f>""</f>
        <v/>
      </c>
      <c r="AH61" s="23" t="n"/>
      <c r="AI6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1" s="7" t="n"/>
      <c r="AK61" s="22" t="n"/>
      <c r="AL61" s="23" t="n"/>
      <c r="AM61" s="7" t="n"/>
      <c r="AN61" s="21">
        <f>IF(Tasks[[#This Row],[Task Name]]="","",IF(Tasks[[#This Row],[Finish]]&gt;=Tasks[[#This Row],[Planned Finish]],NETWORKDAYS.INTL(Tasks[[#This Row],[Planned Finish]],Tasks[[#This Row],[Finish]],WorkWeek,Holidays)-1,1-NETWORKDAYS.INTL(Tasks[[#This Row],[Finish]],Tasks[[#This Row],[Planned Finish]],WorkWeek,Holidays)))</f>
        <v/>
      </c>
      <c r="AO61" s="21">
        <f>IF(Tasks[[#This Row],[Task Name]]="","",IF(Tasks[[#This Row],[Progress]]&gt;=1,"Complete",IF(OR(N(Tasks[[#This Row],[Actual Start]])&gt;0,Tasks[[#This Row],[Progress]]&gt;0),IF(Tasks[[#This Row],[Finish Var]]&gt;0,"Behind","In Progress"),IF(Tasks[[#This Row],[Planned Start]]&lt;StatusDate,"Late Start","Not Started"))))</f>
        <v/>
      </c>
      <c r="AP61" s="21">
        <f>IF(Tasks[[#This Row],[Task Name]]="","",IF(IF(Tasks[[#This Row],[_IsSummary]],COUNTIF(INDEX(Tasks[_LeafCritical],Tasks[[#This Row],[_Row]]+1):INDEX(Tasks[_LeafCritical],Tasks[[#This Row],[_Row]]+Tasks[[#This Row],[_Descendants]]),TRUE())&gt;0,Tasks[[#This Row],[_LeafCritical]]),"Yes",""))</f>
        <v/>
      </c>
      <c r="AQ61" s="61">
        <f>IF(Tasks[[#This Row],[Task Name]]="","",IF(N(Tasks[[#This Row],[Baseline Start]])&gt;0,Tasks[[#This Row],[Baseline Start]],Tasks[[#This Row],[_CalcStart]]))</f>
        <v/>
      </c>
      <c r="AR61" s="61">
        <f>IF(Tasks[[#This Row],[Task Name]]="","",IF(N(Tasks[[#This Row],[Baseline Finish]])&gt;0,Tasks[[#This Row],[Baseline Finish]],Tasks[[#This Row],[_CalcFinish]]))</f>
        <v/>
      </c>
      <c r="AS61" s="21">
        <f>IF(Tasks[[#This Row],[Task Name]]="","",IF(Tasks[[#This Row],[Start]]&gt;=Tasks[[#This Row],[Planned Start]],NETWORKDAYS.INTL(Tasks[[#This Row],[Planned Start]],Tasks[[#This Row],[Start]],WorkWeek,Holidays)-1,1-NETWORKDAYS.INTL(Tasks[[#This Row],[Start]],Tasks[[#This Row],[Planned Start]],WorkWeek,Holidays)))</f>
        <v/>
      </c>
      <c r="AT61" s="61">
        <f>IF(Tasks[[#This Row],[Task Name]]="","",IF(Tasks[[#This Row],[_IsSummary]],MIN(INDEX(Tasks[_LeafLateStart],Tasks[[#This Row],[_Row]]+1):INDEX(Tasks[_LeafLateStart],Tasks[[#This Row],[_Row]]+Tasks[[#This Row],[_Descendants]])),Tasks[[#This Row],[_LeafLateStart]]))</f>
        <v/>
      </c>
      <c r="AU61" s="61">
        <f>IF(Tasks[[#This Row],[Task Name]]="","",IF(Tasks[[#This Row],[_IsSummary]],MAX(INDEX(Tasks[_LeafLateFinish],Tasks[[#This Row],[_Row]]+1):INDEX(Tasks[_LeafLateFinish],Tasks[[#This Row],[_Row]]+Tasks[[#This Row],[_Descendants]])),Tasks[[#This Row],[_LeafLateFinish]]))</f>
        <v/>
      </c>
      <c r="AV61" s="21">
        <f>IF(Tasks[[#This Row],[Task Name]]="","",IF(Tasks[[#This Row],[_IsSummary]],MIN(INDEX(Tasks[_LeafTotalSlack],Tasks[[#This Row],[_Row]]+1):INDEX(Tasks[_LeafTotalSlack],Tasks[[#This Row],[_Row]]+Tasks[[#This Row],[_Descendants]])),Tasks[[#This Row],[_LeafTotalSlack]]))</f>
        <v/>
      </c>
      <c r="AW6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3" t="n"/>
      <c r="BA6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f>IF(Tasks[[#This Row],[Task Name]]="","",IF(Tasks[[#This Row],[_Level]]&lt;=OutlineShowLevel,"Yes","No"))</f>
        <v/>
      </c>
      <c r="BE61" s="84">
        <f>IF(Tasks[[#This Row],[Task Name]]="","",IF(Tasks[[#This Row],[_IsSummary]],SUM(INDEX(Tasks[_LeafTotalWork],Tasks[[#This Row],[_Row]]+1):INDEX(Tasks[_LeafTotalWork],Tasks[[#This Row],[_Row]]+Tasks[[#This Row],[_Descendants]])),Tasks[[#This Row],[_LeafTotalWork]]))</f>
        <v/>
      </c>
      <c r="BF61" s="23" t="n"/>
      <c r="BG6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f>""</f>
        <v/>
      </c>
      <c r="BI61" s="85" t="n"/>
      <c r="BJ61" s="22" t="n"/>
      <c r="BK61" s="21">
        <f>IF(OR(Tasks[[#This Row],[Task Name]]="",Tasks[[#This Row],[Baseline Duration]]=""),"",Tasks[[#This Row],[_SpanDays]]-N(Tasks[[#This Row],[Baseline Duration]]))</f>
        <v/>
      </c>
      <c r="BL61" s="84">
        <f>IF(OR(Tasks[[#This Row],[Task Name]]="",Tasks[[#This Row],[Baseline Work]]=""),"",Tasks[[#This Row],[Work]]-N(Tasks[[#This Row],[Baseline Work]]))</f>
        <v/>
      </c>
      <c r="BM61" s="61">
        <f>IF(Tasks[[#This Row],[Task Name]]="","",IF(OR(TakeBaseline="Yes",N(Tasks[[#This Row],[Baseline Start]])=0),Tasks[[#This Row],[Start]],Tasks[[#This Row],[Baseline Start]]))</f>
        <v/>
      </c>
      <c r="BN61" s="61">
        <f>IF(Tasks[[#This Row],[Task Name]]="","",IF(OR(TakeBaseline="Yes",N(Tasks[[#This Row],[Baseline Finish]])=0),Tasks[[#This Row],[Finish]],Tasks[[#This Row],[Baseline Finish]]))</f>
        <v/>
      </c>
      <c r="BO61" s="21">
        <f>IF(Tasks[[#This Row],[Task Name]]="","",IF(OR(TakeBaseline="Yes",N(Tasks[[#This Row],[Baseline Duration]])=0),Tasks[[#This Row],[_SpanDays]],Tasks[[#This Row],[Baseline Duration]]))</f>
        <v/>
      </c>
      <c r="BP61" s="84">
        <f>IF(Tasks[[#This Row],[Task Name]]="","",IF(OR(TakeBaseline="Yes",N(Tasks[[#This Row],[Baseline Work]])=0),Tasks[[#This Row],[Work]],Tasks[[#This Row],[Baseline Work]]))</f>
        <v/>
      </c>
      <c r="BQ61" s="7" t="n"/>
      <c r="BR61" s="7" t="n"/>
      <c r="BS61" s="22" t="n"/>
      <c r="BT61" s="86" t="n"/>
      <c r="BU61" s="23" t="n"/>
      <c r="BV61" s="23" t="n"/>
      <c r="BW61" s="23" t="n"/>
      <c r="BX61" s="87">
        <f>IF(AND(Tasks[[#This Row],[_IsLeaf]]=1,ISNUMBER(Tasks[[#This Row],[Optimistic]]),ISNUMBER(Tasks[[#This Row],[Pessimistic]])),ROUND((Tasks[[#This Row],[Optimistic]]+4*N(Tasks[[#This Row],[_Days]])+Tasks[[#This Row],[Pessimistic]])/6,1),"")</f>
        <v/>
      </c>
      <c r="BY61" s="85" t="n"/>
      <c r="BZ61" s="85" t="n"/>
      <c r="CA61" s="22" t="n"/>
      <c r="CB61" s="42">
        <f>IF(Tasks[[#This Row],[Task Name]]="","",MAX(1,N(Tasks[[#This Row],[Level]])))</f>
        <v/>
      </c>
      <c r="CC61" s="42">
        <f>ROW()-ROW(Tasks[[#Headers],[ID]])</f>
        <v/>
      </c>
      <c r="CD61" s="42">
        <f>IF(OR(Tasks[[#This Row],[Task Name]]="",Tasks[[#This Row],[_Level]]&lt;=1),0,IFERROR(LOOKUP(2,1/(Tasks[[#Headers],[_Level]]:Tasks[[#This Row],[_Level]]=Tasks[[#This Row],[_Level]]-1),ROW(Tasks[[#Headers],[_Level]]:Tasks[[#This Row],[_Level]])),0))</f>
        <v/>
      </c>
      <c r="CE61" s="42">
        <f>IFERROR(N(INDEX(Tasks[_Level],Tasks[[#This Row],[_Row]]+1)),0)</f>
        <v/>
      </c>
      <c r="CF61" s="42">
        <f>AND(Tasks[[#This Row],[Task Name]]&lt;&gt;"",Tasks[[#This Row],[_NextLevel]]&gt;Tasks[[#This Row],[_Level]])</f>
        <v/>
      </c>
      <c r="CG61" s="42">
        <f>IF(Tasks[[#This Row],[_IsSummary]],COUNTIF(Tasks[WBS],Tasks[[#This Row],[WBS]]&amp;".*"),0)</f>
        <v/>
      </c>
      <c r="CH61" s="42">
        <f>IF(AND(Tasks[[#This Row],[Task Name]]&lt;&gt;"",NOT(Tasks[[#This Row],[_IsSummary]])),1,0)</f>
        <v/>
      </c>
      <c r="CI61" s="42">
        <f>IF(N(Tasks[[#This Row],[_Pred1UID]])=0,0,IFERROR(MATCH(Tasks[[#This Row],[_Pred1UID]],Tasks[UID],0),-1))</f>
        <v/>
      </c>
      <c r="CJ61" s="42">
        <f>IF(N(Tasks[[#This Row],[_Pred2UID]])=0,0,IFERROR(MATCH(Tasks[[#This Row],[_Pred2UID]],Tasks[UID],0),-1))</f>
        <v/>
      </c>
      <c r="CK61" s="42">
        <f>IF(N(Tasks[[#This Row],[_Pred3UID]])=0,0,IFERROR(MATCH(Tasks[[#This Row],[_Pred3UID]],Tasks[UID],0),-1))</f>
        <v/>
      </c>
      <c r="CL61" s="42">
        <f>IF(N(Tasks[[#This Row],[_Pred4UID]])=0,0,IFERROR(MATCH(Tasks[[#This Row],[_Pred4UID]],Tasks[UID],0),-1))</f>
        <v/>
      </c>
      <c r="CM6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1" s="88">
        <f>IF(N(Tasks[[#This Row],[Constraint Date]])=0,0,IF(AND(OR(Tasks[[#This Row],[_ConstraintCode]]=3,Tasks[[#This Row],[_ConstraintCode]]=6,Tasks[[#This Row],[_ConstraintCode]]=7),N(Tasks[[#This Row],[_Days]])&gt;1),WORKDAY.INTL(N(Tasks[[#This Row],[Constraint Date]]),-(N(Tasks[[#This Row],[_Days]])-1),WorkWeek,Holidays),N(Tasks[[#This Row],[Constraint Date]])))</f>
        <v/>
      </c>
      <c r="CO61" s="88">
        <f>IF(OR(Tasks[[#This Row],[_ConstraintCode]]=2,Tasks[[#This Row],[_ConstraintCode]]=3,Tasks[[#This Row],[_ConstraintCode]]=4,Tasks[[#This Row],[_ConstraintCode]]=6),Tasks[[#This Row],[_ConstraintStart]],0)</f>
        <v/>
      </c>
      <c r="CP61" s="88">
        <f>IF(OR(Tasks[[#This Row],[_ConstraintCode]]=2,Tasks[[#This Row],[_ConstraintCode]]=3,Tasks[[#This Row],[_ConstraintCode]]=5,Tasks[[#This Row],[_ConstraintCode]]=7),Tasks[[#This Row],[_ConstraintStart]],2958465)</f>
        <v/>
      </c>
      <c r="CQ6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1" s="88">
        <f>IF(NOT(Tasks[[#This Row],[_IsLeaf]]=1),"",IF(N(Tasks[[#This Row],[_Days]])&lt;=0,Tasks[[#This Row],[_LeafCalcStart]],WORKDAY.INTL(Tasks[[#This Row],[_LeafCalcStart]],Tasks[[#This Row],[_Days]]-1,WorkWeek,Holidays)))</f>
        <v/>
      </c>
      <c r="CS6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1" s="42">
        <f>IF(Tasks[[#This Row],[_Predecessors]]="","",TRIM(MID(SUBSTITUTE(SUBSTITUTE(SUBSTITUTE(UPPER(Tasks[[#This Row],[_Predecessors]]),";",",")," ",""),",",REPT(" ",99)),1,99)))</f>
        <v/>
      </c>
      <c r="CV61" s="42">
        <f>IF(Tasks[[#This Row],[_Pred1Text]]="","",IFERROR(VALUE(LEFT(Tasks[[#This Row],[_Pred1Text]],MIN(FIND("F",Tasks[[#This Row],[_Pred1Text]]&amp;"F"),FIND("S",Tasks[[#This Row],[_Pred1Text]]&amp;"S"),FIND("+",Tasks[[#This Row],[_Pred1Text]]&amp;"+"),FIND("-",Tasks[[#This Row],[_Pred1Text]]&amp;"-"))-1)),""))</f>
        <v/>
      </c>
      <c r="CW6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1" s="42">
        <f>IF(Tasks[[#This Row],[_Pred1Text]]="","",TRIM(MID(SUBSTITUTE(SUBSTITUTE(SUBSTITUTE(UPPER(Tasks[[#This Row],[_Predecessors]]),";",",")," ",""),",",REPT(" ",99)),100,99)))</f>
        <v/>
      </c>
      <c r="CZ61" s="42">
        <f>IF(Tasks[[#This Row],[_Pred2Text]]="","",IFERROR(VALUE(LEFT(Tasks[[#This Row],[_Pred2Text]],MIN(FIND("F",Tasks[[#This Row],[_Pred2Text]]&amp;"F"),FIND("S",Tasks[[#This Row],[_Pred2Text]]&amp;"S"),FIND("+",Tasks[[#This Row],[_Pred2Text]]&amp;"+"),FIND("-",Tasks[[#This Row],[_Pred2Text]]&amp;"-"))-1)),""))</f>
        <v/>
      </c>
      <c r="DA6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1" s="42">
        <f>IF(Tasks[[#This Row],[_Pred2Text]]="","",TRIM(MID(SUBSTITUTE(SUBSTITUTE(SUBSTITUTE(UPPER(Tasks[[#This Row],[_Predecessors]]),";",",")," ",""),",",REPT(" ",99)),199,99)))</f>
        <v/>
      </c>
      <c r="DD61" s="42">
        <f>IF(Tasks[[#This Row],[_Pred3Text]]="","",IFERROR(VALUE(LEFT(Tasks[[#This Row],[_Pred3Text]],MIN(FIND("F",Tasks[[#This Row],[_Pred3Text]]&amp;"F"),FIND("S",Tasks[[#This Row],[_Pred3Text]]&amp;"S"),FIND("+",Tasks[[#This Row],[_Pred3Text]]&amp;"+"),FIND("-",Tasks[[#This Row],[_Pred3Text]]&amp;"-"))-1)),""))</f>
        <v/>
      </c>
      <c r="DE6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1" s="42">
        <f>IF(Tasks[[#This Row],[_Pred3Text]]="","",TRIM(MID(SUBSTITUTE(SUBSTITUTE(SUBSTITUTE(UPPER(Tasks[[#This Row],[_Predecessors]]),";",",")," ",""),",",REPT(" ",99)),298,99)))</f>
        <v/>
      </c>
      <c r="DH61" s="42">
        <f>IF(Tasks[[#This Row],[_Pred4Text]]="","",IFERROR(VALUE(LEFT(Tasks[[#This Row],[_Pred4Text]],MIN(FIND("F",Tasks[[#This Row],[_Pred4Text]]&amp;"F"),FIND("S",Tasks[[#This Row],[_Pred4Text]]&amp;"S"),FIND("+",Tasks[[#This Row],[_Pred4Text]]&amp;"+"),FIND("-",Tasks[[#This Row],[_Pred4Text]]&amp;"-"))-1)),""))</f>
        <v/>
      </c>
      <c r="DI6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1" s="42">
        <f>IF(OR(Tasks[[#This Row],[Task Name]]="",Tasks[[#This Row],[_Resources]]=""),"",TRIM(MID(SUBSTITUTE(Tasks[[#This Row],[_Resources]],",",REPT(" ",99)),1,99)))</f>
        <v/>
      </c>
      <c r="DL61" s="42">
        <f>IF(Tasks[[#This Row],[_Res1Text]]="","",TRIM(MID(SUBSTITUTE(Tasks[[#This Row],[_Resources]],",",REPT(" ",99)),100,99)))</f>
        <v/>
      </c>
      <c r="DM61" s="42">
        <f>IF(Tasks[[#This Row],[_Res2Text]]="","",TRIM(MID(SUBSTITUTE(Tasks[[#This Row],[_Resources]],",",REPT(" ",99)),199,99)))</f>
        <v/>
      </c>
      <c r="DN61" s="42">
        <f>IF(Tasks[[#This Row],[_Res3Text]]="","",TRIM(MID(SUBSTITUTE(Tasks[[#This Row],[_Resources]],",",REPT(" ",99)),298,99)))</f>
        <v/>
      </c>
      <c r="DO61" s="42">
        <f>IF(Tasks[[#This Row],[_Res1Text]]="",0,IFERROR(MATCH(TRIM(LEFT(Tasks[[#This Row],[_Res1Text]],FIND("[",Tasks[[#This Row],[_Res1Text]]&amp;"[")-1)),res_Name,0),IFERROR(MATCH(TRIM(LEFT(Tasks[[#This Row],[_Res1Text]],FIND("[",Tasks[[#This Row],[_Res1Text]]&amp;"[")-1)),res_Initials,0),0)))</f>
        <v/>
      </c>
      <c r="DP61" s="42">
        <f>IF(Tasks[[#This Row],[_Res2Text]]="",0,IFERROR(MATCH(TRIM(LEFT(Tasks[[#This Row],[_Res2Text]],FIND("[",Tasks[[#This Row],[_Res2Text]]&amp;"[")-1)),res_Name,0),IFERROR(MATCH(TRIM(LEFT(Tasks[[#This Row],[_Res2Text]],FIND("[",Tasks[[#This Row],[_Res2Text]]&amp;"[")-1)),res_Initials,0),0)))</f>
        <v/>
      </c>
      <c r="DQ61" s="42">
        <f>IF(Tasks[[#This Row],[_Res3Text]]="",0,IFERROR(MATCH(TRIM(LEFT(Tasks[[#This Row],[_Res3Text]],FIND("[",Tasks[[#This Row],[_Res3Text]]&amp;"[")-1)),res_Name,0),IFERROR(MATCH(TRIM(LEFT(Tasks[[#This Row],[_Res3Text]],FIND("[",Tasks[[#This Row],[_Res3Text]]&amp;"[")-1)),res_Initials,0),0)))</f>
        <v/>
      </c>
      <c r="DR61" s="42">
        <f>IF(Tasks[[#This Row],[_Res4Text]]="",0,IFERROR(MATCH(TRIM(LEFT(Tasks[[#This Row],[_Res4Text]],FIND("[",Tasks[[#This Row],[_Res4Text]]&amp;"[")-1)),res_Name,0),IFERROR(MATCH(TRIM(LEFT(Tasks[[#This Row],[_Res4Text]],FIND("[",Tasks[[#This Row],[_Res4Text]]&amp;"[")-1)),res_Initials,0),0)))</f>
        <v/>
      </c>
      <c r="DS61" s="42">
        <f>IF(Tasks[[#This Row],[_Res1Text]]="","",IF(Tasks[[#This Row],[_Res1Row]]&gt;0,INDEX(res_Name,Tasks[[#This Row],[_Res1Row]]),TRIM(LEFT(Tasks[[#This Row],[_Res1Text]],FIND("[",Tasks[[#This Row],[_Res1Text]]&amp;"[")-1))))</f>
        <v/>
      </c>
      <c r="DT6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1" s="42">
        <f>IF(NOT(Tasks[[#This Row],[_IsLeaf]]=1),0,(Tasks[[#This Row],[_Resource1]]&lt;&gt;"")+(Tasks[[#This Row],[_Res2]]&lt;&gt;"")+(Tasks[[#This Row],[_Res3]]&lt;&gt;"")+(Tasks[[#This Row],[_Res4]]&lt;&gt;""))</f>
        <v/>
      </c>
      <c r="DV61" s="42">
        <f>IF(Tasks[[#This Row],[_Res2Text]]="","",IF(Tasks[[#This Row],[_Res2Row]]&gt;0,INDEX(res_Name,Tasks[[#This Row],[_Res2Row]]),TRIM(LEFT(Tasks[[#This Row],[_Res2Text]],FIND("[",Tasks[[#This Row],[_Res2Text]]&amp;"[")-1))))</f>
        <v/>
      </c>
      <c r="DW6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1" s="42">
        <f>IF(OR(NOT(Tasks[[#This Row],[_IsLeaf]]=1),Tasks[[#This Row],[_Res2Row]]=0),0,N(Tasks[[#This Row],[_Days]])*HoursPerDay*IF(Tasks[[#This Row],[_Res2Units]]="",DefaultUnits,Tasks[[#This Row],[_Res2Units]]))</f>
        <v/>
      </c>
      <c r="DY61" s="42">
        <f>IF(AND(AND(Tasks[[#This Row],[_IsLeaf]]=1,Tasks[[#This Row],[_LeafTotalWork]]&gt;0),Tasks[[#This Row],[_Res2Work]]&gt;0),Tasks[[#This Row],[_Res2Work]]/(Tasks[[#This Row],[_FinishWorkday]]-Tasks[[#This Row],[_StartWorkday]]+1),0)</f>
        <v/>
      </c>
      <c r="DZ61" s="42">
        <f>Tasks[[#This Row],[_Res2WorkPerWD]]*MAX(0,Tasks[[#This Row],[_StartWorkday]]-1)</f>
        <v/>
      </c>
      <c r="EA61" s="42">
        <f>Tasks[[#This Row],[_Res2Work]]*Tasks[[#This Row],[_LeafProgress]]</f>
        <v/>
      </c>
      <c r="EB61" s="42">
        <f>IF(Tasks[[#This Row],[_Res3Text]]="","",IF(Tasks[[#This Row],[_Res3Row]]&gt;0,INDEX(res_Name,Tasks[[#This Row],[_Res3Row]]),TRIM(LEFT(Tasks[[#This Row],[_Res3Text]],FIND("[",Tasks[[#This Row],[_Res3Text]]&amp;"[")-1))))</f>
        <v/>
      </c>
      <c r="EC6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1" s="42">
        <f>IF(OR(NOT(Tasks[[#This Row],[_IsLeaf]]=1),Tasks[[#This Row],[_Res3Row]]=0),0,N(Tasks[[#This Row],[_Days]])*HoursPerDay*IF(Tasks[[#This Row],[_Res3Units]]="",DefaultUnits,Tasks[[#This Row],[_Res3Units]]))</f>
        <v/>
      </c>
      <c r="EE61" s="42">
        <f>IF(AND(AND(Tasks[[#This Row],[_IsLeaf]]=1,Tasks[[#This Row],[_LeafTotalWork]]&gt;0),Tasks[[#This Row],[_Res3Work]]&gt;0),Tasks[[#This Row],[_Res3Work]]/(Tasks[[#This Row],[_FinishWorkday]]-Tasks[[#This Row],[_StartWorkday]]+1),0)</f>
        <v/>
      </c>
      <c r="EF61" s="42">
        <f>Tasks[[#This Row],[_Res3WorkPerWD]]*MAX(0,Tasks[[#This Row],[_StartWorkday]]-1)</f>
        <v/>
      </c>
      <c r="EG61" s="42">
        <f>Tasks[[#This Row],[_Res3Work]]*Tasks[[#This Row],[_LeafProgress]]</f>
        <v/>
      </c>
      <c r="EH61" s="42">
        <f>IF(Tasks[[#This Row],[_Res4Text]]="","",IF(Tasks[[#This Row],[_Res4Row]]&gt;0,INDEX(res_Name,Tasks[[#This Row],[_Res4Row]]),TRIM(LEFT(Tasks[[#This Row],[_Res4Text]],FIND("[",Tasks[[#This Row],[_Res4Text]]&amp;"[")-1))))</f>
        <v/>
      </c>
      <c r="EI6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1" s="42">
        <f>IF(OR(NOT(Tasks[[#This Row],[_IsLeaf]]=1),Tasks[[#This Row],[_Res4Row]]=0),0,N(Tasks[[#This Row],[_Days]])*HoursPerDay*IF(Tasks[[#This Row],[_Res4Units]]="",DefaultUnits,Tasks[[#This Row],[_Res4Units]]))</f>
        <v/>
      </c>
      <c r="EK61" s="42">
        <f>IF(AND(AND(Tasks[[#This Row],[_IsLeaf]]=1,Tasks[[#This Row],[_LeafTotalWork]]&gt;0),Tasks[[#This Row],[_Res4Work]]&gt;0),Tasks[[#This Row],[_Res4Work]]/(Tasks[[#This Row],[_FinishWorkday]]-Tasks[[#This Row],[_StartWorkday]]+1),0)</f>
        <v/>
      </c>
      <c r="EL61" s="42">
        <f>Tasks[[#This Row],[_Res4WorkPerWD]]*MAX(0,Tasks[[#This Row],[_StartWorkday]]-1)</f>
        <v/>
      </c>
      <c r="EM61" s="42">
        <f>Tasks[[#This Row],[_Res4Work]]*Tasks[[#This Row],[_LeafProgress]]</f>
        <v/>
      </c>
      <c r="EN61" s="42">
        <f>IF(ISNUMBER(Tasks[[#This Row],[% Complete]]),Tasks[[#This Row],[% Complete]],IF(Tasks[[#This Row],[Stage]]="",0,IFERROR(INDEX(stg_Pct,MATCH(Tasks[[#This Row],[Stage]],stg_Name,0)),0)))</f>
        <v/>
      </c>
      <c r="EO61" s="42">
        <f>IF(NOT(Tasks[[#This Row],[_IsLeaf]]=1),0,IF(N(Tasks[[#This Row],[Actual Finish]])&gt;0,1,MIN(1,Tasks[[#This Row],[_Pct]])))</f>
        <v/>
      </c>
      <c r="EP61" s="42">
        <f>IF(OR(NOT(Tasks[[#This Row],[_IsLeaf]]=1),Tasks[[#This Row],[_Res1Row]]=0),0,N(Tasks[[#This Row],[_Days]])*HoursPerDay*IF(Tasks[[#This Row],[_Units1]]="",DefaultUnits,Tasks[[#This Row],[_Units1]]))</f>
        <v/>
      </c>
      <c r="EQ61" s="42">
        <f>Tasks[[#This Row],[_LeafWork]]+Tasks[[#This Row],[_Res2Work]]+Tasks[[#This Row],[_Res3Work]]+Tasks[[#This Row],[_Res4Work]]</f>
        <v/>
      </c>
      <c r="ER6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1" s="42">
        <f>IF(NOT(Tasks[[#This Row],[_IsLeaf]]=1),0,MAX(_xlfn.MAXIFS(Tasks[_Row],Tasks[_Pred1UID],Tasks[[#This Row],[UID]]),_xlfn.MAXIFS(Tasks[_Row],Tasks[_Pred2UID],Tasks[[#This Row],[UID]]),_xlfn.MAXIFS(Tasks[_Row],Tasks[_Pred3UID],Tasks[[#This Row],[UID]]),_xlfn.MAXIFS(Tasks[_Row],Tasks[_Pred4UID],Tasks[[#This Row],[UID]])))</f>
        <v/>
      </c>
      <c r="FA6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1" s="88">
        <f>IF(NOT(Tasks[[#This Row],[_IsLeaf]]=1),"",IF(N(Tasks[[#This Row],[_Days]])&lt;=0,Tasks[[#This Row],[_LeafLateFinish]],WORKDAY.INTL(Tasks[[#This Row],[_LeafLateFinish]],-(Tasks[[#This Row],[_Days]]-1),WorkWeek,Holidays)))</f>
        <v/>
      </c>
      <c r="FD6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1" s="42">
        <f>AND(Tasks[[#This Row],[_IsLeaf]]=1,Tasks[[#This Row],[_LeafProgress]]&lt;1,N(Tasks[[#This Row],[_LeafTotalSlack]])&lt;=CriticalSlackDays)</f>
        <v/>
      </c>
      <c r="FF61" s="42">
        <f>IF(AND(Tasks[[#This Row],[_IsLeaf]]=1,Tasks[[#This Row],[_ConstraintCode]]=1,Tasks[[#This Row],[Mode]]&lt;&gt;"Manual",N(Tasks[[#This Row],[Actual Start]])=0),MAX(0,N(Tasks[[#This Row],[Free Slack]])),0)</f>
        <v/>
      </c>
      <c r="FG61" s="88">
        <f>IF(NOT(Tasks[[#This Row],[_IsLeaf]]=1),"",IF(Tasks[[#This Row],[_AlapShift]]=0,Tasks[[#This Row],[_LeafCalcStart]],WORKDAY.INTL(Tasks[[#This Row],[_LeafCalcStart]],Tasks[[#This Row],[_AlapShift]],WorkWeek,Holidays)))</f>
        <v/>
      </c>
      <c r="FH61" s="88">
        <f>IF(NOT(Tasks[[#This Row],[_IsLeaf]]=1),"",IF(Tasks[[#This Row],[_AlapShift]]=0,Tasks[[#This Row],[_LeafCalcFinish]],WORKDAY.INTL(Tasks[[#This Row],[_LeafCalcFinish]],Tasks[[#This Row],[_AlapShift]],WorkWeek,Holidays)))</f>
        <v/>
      </c>
      <c r="FI61" s="88">
        <f>IF(NOT(Tasks[[#This Row],[_IsLeaf]]=1),"",IF(Tasks[[#This Row],[_AlapShift]]=0,Tasks[[#This Row],[_LeafFcstStart]],WORKDAY.INTL(Tasks[[#This Row],[_LeafFcstStart]],Tasks[[#This Row],[_AlapShift]],WorkWeek,Holidays)))</f>
        <v/>
      </c>
      <c r="FJ61" s="88">
        <f>IF(NOT(Tasks[[#This Row],[_IsLeaf]]=1),"",IF(Tasks[[#This Row],[_AlapShift]]=0,Tasks[[#This Row],[_LeafFcstFinish]],WORKDAY.INTL(Tasks[[#This Row],[_LeafFcstFinish]],Tasks[[#This Row],[_AlapShift]],WorkWeek,Holidays)))</f>
        <v/>
      </c>
      <c r="FK61" s="88">
        <f>IF(Tasks[[#This Row],[Task Name]]="","",IF(Tasks[[#This Row],[_IsSummary]],MIN(INDEX(Tasks[_ShownCalcStart],Tasks[[#This Row],[_Row]]+1):INDEX(Tasks[_ShownCalcStart],Tasks[[#This Row],[_Row]]+Tasks[[#This Row],[_Descendants]])),Tasks[[#This Row],[_ShownCalcStart]]))</f>
        <v/>
      </c>
      <c r="FL61" s="88">
        <f>IF(Tasks[[#This Row],[Task Name]]="","",IF(Tasks[[#This Row],[_IsSummary]],MAX(INDEX(Tasks[_ShownCalcFinish],Tasks[[#This Row],[_Row]]+1):INDEX(Tasks[_ShownCalcFinish],Tasks[[#This Row],[_Row]]+Tasks[[#This Row],[_Descendants]])),Tasks[[#This Row],[_ShownCalcFinish]]))</f>
        <v/>
      </c>
      <c r="FM6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1" s="42">
        <f>IF(AND(Tasks[[#This Row],[_IsLeaf]]=1,Tasks[[#This Row],[_LeafTotalWork]]&gt;0),NETWORKDAYS.INTL(ProjectStart,Tasks[[#This Row],[_ShownFcstStart]],WorkWeek,Holidays),0)</f>
        <v/>
      </c>
      <c r="FZ61" s="42">
        <f>IF(AND(Tasks[[#This Row],[_IsLeaf]]=1,Tasks[[#This Row],[_LeafTotalWork]]&gt;0),MAX(Tasks[[#This Row],[_StartWorkday]],NETWORKDAYS.INTL(ProjectStart,Tasks[[#This Row],[_ShownFcstFinish]],WorkWeek,Holidays)),0)</f>
        <v/>
      </c>
      <c r="GA61" s="42">
        <f>IF(AND(Tasks[[#This Row],[_IsLeaf]]=1,Tasks[[#This Row],[_LeafTotalWork]]&gt;0),Tasks[[#This Row],[_LeafWork]]/(Tasks[[#This Row],[_FinishWorkday]]-Tasks[[#This Row],[_StartWorkday]]+1),0)</f>
        <v/>
      </c>
      <c r="GB61" s="42">
        <f>Tasks[[#This Row],[_WorkPerWorkday]]*(Tasks[[#This Row],[_StartWorkday]]-1)</f>
        <v/>
      </c>
      <c r="GC61" s="42">
        <f>IF(Tasks[[#This Row],[_IsLeaf]]=1,MAX(N(Tasks[[#This Row],[_Days]]),0.1),0)</f>
        <v/>
      </c>
      <c r="GD61" s="42">
        <f>Tasks[[#This Row],[_WeightDur]]*Tasks[[#This Row],[_LeafProgress]]</f>
        <v/>
      </c>
      <c r="GE61" s="42">
        <f>Tasks[[#This Row],[_WeightDur]]*Tasks[[#This Row],[_PlannedPct]]</f>
        <v/>
      </c>
      <c r="GF6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1" s="42">
        <f>IF(AND(Tasks[[#This Row],[_IsLeaf]]=1,N(Tasks[[#This Row],[_Days]])=0,Tasks[[#This Row],[_LeafProgress]]&lt;1),Tasks[[#This Row],[_ShownFcstFinish]]+Tasks[[#This Row],[_Row]]/100000,"")</f>
        <v/>
      </c>
      <c r="GH6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1" s="42">
        <f>IF(Tasks[[#This Row],[Task Name]]="","",LEFT(Tasks[[#This Row],[WBS]],FIND(".",Tasks[[#This Row],[WBS]]&amp;".")-1))</f>
        <v/>
      </c>
      <c r="GJ61" s="42">
        <f>IF(AND(Tasks[[#This Row],[Task Name]]&lt;&gt;"",Tasks[[#This Row],[_Level]]=1),Tasks[[#This Row],[_Row]],"")</f>
        <v/>
      </c>
      <c r="GK61" s="42">
        <f>IF(AND(Tasks[[#This Row],[_IsLeaf]]=1,N(Tasks[[#This Row],[_Days]])=0),Tasks[[#This Row],[Planned Finish]]+Tasks[[#This Row],[_Row]]/100000,"")</f>
        <v/>
      </c>
      <c r="GL61" s="42">
        <f>IF(AND(Tasks[[#This Row],[_IsLeaf]]=1,Tasks[[#This Row],[_LeafProgress]]&lt;1,OR(N(Tasks[[#This Row],[Finish Var]])&gt;0,Tasks[[#This Row],[Status]]="Late Start")),MAX(0,Tasks[[#This Row],[Finish Var]])+1-Tasks[[#This Row],[_Row]]/1000000,"")</f>
        <v/>
      </c>
      <c r="GM61" s="42">
        <f>IF(AND(Tasks[[#This Row],[_IsLeaf]]=1,N(Tasks[[#This Row],[Actual Start]])=0,Tasks[[#This Row],[_ShownFcstStart]]&gt;=StatusDate,Tasks[[#This Row],[_ShownFcstStart]]&lt;=LookaheadEnd),Tasks[[#This Row],[_ShownFcstStart]]+Tasks[[#This Row],[_Row]]/100000,"")</f>
        <v/>
      </c>
      <c r="GN61" s="42">
        <f>IF(AND(Tasks[[#This Row],[_IsLeaf]]=1,Tasks[[#This Row],[_LeafProgress]]&lt;1,Tasks[[#This Row],[_ShownFcstFinish]]&gt;=StatusDate,Tasks[[#This Row],[_ShownFcstFinish]]&lt;=LookaheadEnd),Tasks[[#This Row],[_ShownFcstFinish]]+Tasks[[#This Row],[_Row]]/100000,"")</f>
        <v/>
      </c>
      <c r="GO61" s="42">
        <f>IF(Tasks[[#This Row],[_LeafCritical]],Tasks[[#This Row],[_ShownFcstStart]]+Tasks[[#This Row],[_Row]]/100000,"")</f>
        <v/>
      </c>
      <c r="GP61" s="42">
        <f>Tasks[[#This Row],[_LeafWork]]*Tasks[[#This Row],[_LeafProgress]]</f>
        <v/>
      </c>
      <c r="GQ61" s="88">
        <f>IF(AND(Tasks[[#This Row],[_IsLeaf]]=1,Tasks[[#This Row],[_LeafProgress]]&gt;=1),IF(N(Tasks[[#This Row],[Actual Finish]])&gt;0,Tasks[[#This Row],[Actual Finish]],Tasks[[#This Row],[_ShownFcstFinish]]),"")</f>
        <v/>
      </c>
      <c r="GR61" s="42">
        <f>IF(Tasks[[#This Row],[_IsLeaf]]=1,N(Tasks[[#This Row],[Story Points]]),0)</f>
        <v/>
      </c>
      <c r="GS61" s="42">
        <f>""</f>
        <v/>
      </c>
      <c r="GT61" s="42">
        <f>IF(Tasks[[#This Row],[Task Name]]="",FALSE(),AND(Tasks[[#This Row],[_IsLeaf]]=1,N(Tasks[[#This Row],[_Days]])=0))</f>
        <v/>
      </c>
      <c r="GU61" s="88">
        <f>IF(Tasks[[#This Row],[Task Name]]="",0,IF(AND(Tasks[[#This Row],[_IsLeaf]]=1,NOT(Tasks[[#This Row],[_IsMilestone]]),N(Tasks[[#This Row],[Progress]])&gt;0),Tasks[[#This Row],[Start]],0))</f>
        <v/>
      </c>
      <c r="GV61" s="88">
        <f>IF(Tasks[[#This Row],[_DoneFrom]]=0,0,IF(Tasks[[#This Row],[Progress]]&gt;=1,Tasks[[#This Row],[Finish]],MAX(Tasks[[#This Row],[_DoneFrom]],Tasks[[#This Row],[Start]]+ROUND((Tasks[[#This Row],[Finish]]-Tasks[[#This Row],[Start]]+1)*Tasks[[#This Row],[Progress]],0)-1)))</f>
        <v/>
      </c>
      <c r="GW61" s="88">
        <f>IF(Tasks[[#This Row],[Task Name]]="",0,IF(OR(NOT(Tasks[[#This Row],[_IsLeaf]]=1),Tasks[[#This Row],[_IsMilestone]],N(Tasks[[#This Row],[Progress]])&gt;=1),0,IF(Tasks[[#This Row],[_DoneTo]]&gt;0,Tasks[[#This Row],[_DoneTo]]+1,Tasks[[#This Row],[Start]])))</f>
        <v/>
      </c>
      <c r="GX61" s="88">
        <f>IF(Tasks[[#This Row],[_RemFrom]]=0,0,Tasks[[#This Row],[Finish]])</f>
        <v/>
      </c>
      <c r="GY61" s="42">
        <f>IF(Tasks[[#This Row],[Task Name]]="",FALSE(),OR(NOT(BaselineSet),N(Tasks[[#This Row],[Baseline Start]])&gt;0))</f>
        <v/>
      </c>
      <c r="GZ61" s="42">
        <f>IF(AND(Sandbox="Yes",L_PARSE_DURATION(Tasks[[#This Row],[Sandbox Duration]])&lt;&gt;""),L_PARSE_DURATION(Tasks[[#This Row],[Sandbox Duration]]),L_PARSE_DURATION(Tasks[[#This Row],[Duration]]))</f>
        <v/>
      </c>
      <c r="HA6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1" s="42">
        <f>IF(Tasks[[#This Row],[_IsLeaf]]=1,Tasks[[#This Row],[_Row]],"")</f>
        <v/>
      </c>
      <c r="HD61" s="42">
        <f>IFERROR(INDEX(Tasks[UID],SMALL(Tasks[_PickKey],Tasks[[#This Row],[_Row]]))&amp;" "&amp;INDEX(Tasks[Task Name],SMALL(Tasks[_PickKey],Tasks[[#This Row],[_Row]])),"")</f>
        <v/>
      </c>
      <c r="HE61" s="42">
        <f>IF(Tasks[[#This Row],[Task Name]]="","",IF(Tasks[[#This Row],[_IsSummary]],NETWORKDAYS.INTL(Tasks[[#This Row],[Start]],Tasks[[#This Row],[Finish]],WorkWeek,Holidays),N(Tasks[[#This Row],[_Days]])))</f>
        <v/>
      </c>
      <c r="HF61" s="42">
        <f>IF(Tasks[[#This Row],[Expected]]="",0,((Tasks[[#This Row],[Pessimistic]]-Tasks[[#This Row],[Optimistic]])/6)^2)</f>
        <v/>
      </c>
      <c r="HG61" s="42">
        <f>IF(Tasks[[#This Row],[Expected]]="",0,Tasks[[#This Row],[Expected]]-N(Tasks[[#This Row],[_Days]]))</f>
        <v/>
      </c>
    </row>
    <row r="62">
      <c r="A62" s="21">
        <f>IF(Tasks[[#This Row],[Task Name]]="","",COUNTA(Tasks[[#Headers],[Task Name]]:Tasks[[#This Row],[Task Name]])-1)</f>
        <v/>
      </c>
      <c r="B62" s="22" t="n">
        <v>70</v>
      </c>
      <c r="C62" s="22" t="n"/>
      <c r="D62" s="23" t="n"/>
      <c r="E62" s="22" t="n"/>
      <c r="F62" s="23" t="n"/>
      <c r="G62" s="22" t="n"/>
      <c r="H62" s="22" t="n"/>
      <c r="I62" s="23" t="n"/>
      <c r="J62" s="22" t="n"/>
      <c r="K62" s="22" t="n"/>
      <c r="L62" s="23" t="n"/>
      <c r="M62" s="22" t="n"/>
      <c r="N62" s="22" t="n"/>
      <c r="O62" s="23" t="n"/>
      <c r="P62" s="22" t="n"/>
      <c r="Q62" s="22" t="n"/>
      <c r="R62" s="23" t="n"/>
      <c r="S62" s="23" t="n"/>
      <c r="T62" s="82" t="n"/>
      <c r="U62" s="23" t="n"/>
      <c r="V62" s="82" t="n"/>
      <c r="W62" s="23" t="n"/>
      <c r="X62" s="82" t="n"/>
      <c r="Y62" s="23" t="n"/>
      <c r="Z62" s="82" t="n"/>
      <c r="AA62" s="23" t="n"/>
      <c r="AB62" s="23" t="n"/>
      <c r="AC62" s="7" t="n"/>
      <c r="AD62" s="7" t="n"/>
      <c r="AE62" s="61">
        <f>IF(Tasks[[#This Row],[Task Name]]="","",IF(Tasks[[#This Row],[_IsSummary]],MIN(INDEX(Tasks[_ShownFcstStart],Tasks[[#This Row],[_Row]]+1):INDEX(Tasks[_ShownFcstStart],Tasks[[#This Row],[_Row]]+Tasks[[#This Row],[_Descendants]])),Tasks[[#This Row],[_ShownFcstStart]]))</f>
        <v/>
      </c>
      <c r="AF62" s="61">
        <f>IF(Tasks[[#This Row],[Task Name]]="","",IF(Tasks[[#This Row],[_IsSummary]],MAX(INDEX(Tasks[_ShownFcstFinish],Tasks[[#This Row],[_Row]]+1):INDEX(Tasks[_ShownFcstFinish],Tasks[[#This Row],[_Row]]+Tasks[[#This Row],[_Descendants]])),Tasks[[#This Row],[_ShownFcstFinish]]))</f>
        <v/>
      </c>
      <c r="AG62" s="21">
        <f>""</f>
        <v/>
      </c>
      <c r="AH62" s="23" t="n"/>
      <c r="AI6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2" s="7" t="n"/>
      <c r="AK62" s="22" t="n"/>
      <c r="AL62" s="23" t="n"/>
      <c r="AM62" s="7" t="n"/>
      <c r="AN62" s="21">
        <f>IF(Tasks[[#This Row],[Task Name]]="","",IF(Tasks[[#This Row],[Finish]]&gt;=Tasks[[#This Row],[Planned Finish]],NETWORKDAYS.INTL(Tasks[[#This Row],[Planned Finish]],Tasks[[#This Row],[Finish]],WorkWeek,Holidays)-1,1-NETWORKDAYS.INTL(Tasks[[#This Row],[Finish]],Tasks[[#This Row],[Planned Finish]],WorkWeek,Holidays)))</f>
        <v/>
      </c>
      <c r="AO62" s="21">
        <f>IF(Tasks[[#This Row],[Task Name]]="","",IF(Tasks[[#This Row],[Progress]]&gt;=1,"Complete",IF(OR(N(Tasks[[#This Row],[Actual Start]])&gt;0,Tasks[[#This Row],[Progress]]&gt;0),IF(Tasks[[#This Row],[Finish Var]]&gt;0,"Behind","In Progress"),IF(Tasks[[#This Row],[Planned Start]]&lt;StatusDate,"Late Start","Not Started"))))</f>
        <v/>
      </c>
      <c r="AP62" s="21">
        <f>IF(Tasks[[#This Row],[Task Name]]="","",IF(IF(Tasks[[#This Row],[_IsSummary]],COUNTIF(INDEX(Tasks[_LeafCritical],Tasks[[#This Row],[_Row]]+1):INDEX(Tasks[_LeafCritical],Tasks[[#This Row],[_Row]]+Tasks[[#This Row],[_Descendants]]),TRUE())&gt;0,Tasks[[#This Row],[_LeafCritical]]),"Yes",""))</f>
        <v/>
      </c>
      <c r="AQ62" s="61">
        <f>IF(Tasks[[#This Row],[Task Name]]="","",IF(N(Tasks[[#This Row],[Baseline Start]])&gt;0,Tasks[[#This Row],[Baseline Start]],Tasks[[#This Row],[_CalcStart]]))</f>
        <v/>
      </c>
      <c r="AR62" s="61">
        <f>IF(Tasks[[#This Row],[Task Name]]="","",IF(N(Tasks[[#This Row],[Baseline Finish]])&gt;0,Tasks[[#This Row],[Baseline Finish]],Tasks[[#This Row],[_CalcFinish]]))</f>
        <v/>
      </c>
      <c r="AS62" s="21">
        <f>IF(Tasks[[#This Row],[Task Name]]="","",IF(Tasks[[#This Row],[Start]]&gt;=Tasks[[#This Row],[Planned Start]],NETWORKDAYS.INTL(Tasks[[#This Row],[Planned Start]],Tasks[[#This Row],[Start]],WorkWeek,Holidays)-1,1-NETWORKDAYS.INTL(Tasks[[#This Row],[Start]],Tasks[[#This Row],[Planned Start]],WorkWeek,Holidays)))</f>
        <v/>
      </c>
      <c r="AT62" s="61">
        <f>IF(Tasks[[#This Row],[Task Name]]="","",IF(Tasks[[#This Row],[_IsSummary]],MIN(INDEX(Tasks[_LeafLateStart],Tasks[[#This Row],[_Row]]+1):INDEX(Tasks[_LeafLateStart],Tasks[[#This Row],[_Row]]+Tasks[[#This Row],[_Descendants]])),Tasks[[#This Row],[_LeafLateStart]]))</f>
        <v/>
      </c>
      <c r="AU62" s="61">
        <f>IF(Tasks[[#This Row],[Task Name]]="","",IF(Tasks[[#This Row],[_IsSummary]],MAX(INDEX(Tasks[_LeafLateFinish],Tasks[[#This Row],[_Row]]+1):INDEX(Tasks[_LeafLateFinish],Tasks[[#This Row],[_Row]]+Tasks[[#This Row],[_Descendants]])),Tasks[[#This Row],[_LeafLateFinish]]))</f>
        <v/>
      </c>
      <c r="AV62" s="21">
        <f>IF(Tasks[[#This Row],[Task Name]]="","",IF(Tasks[[#This Row],[_IsSummary]],MIN(INDEX(Tasks[_LeafTotalSlack],Tasks[[#This Row],[_Row]]+1):INDEX(Tasks[_LeafTotalSlack],Tasks[[#This Row],[_Row]]+Tasks[[#This Row],[_Descendants]])),Tasks[[#This Row],[_LeafTotalSlack]]))</f>
        <v/>
      </c>
      <c r="AW6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3" t="n"/>
      <c r="BA6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f>IF(Tasks[[#This Row],[Task Name]]="","",IF(Tasks[[#This Row],[_Level]]&lt;=OutlineShowLevel,"Yes","No"))</f>
        <v/>
      </c>
      <c r="BE62" s="84">
        <f>IF(Tasks[[#This Row],[Task Name]]="","",IF(Tasks[[#This Row],[_IsSummary]],SUM(INDEX(Tasks[_LeafTotalWork],Tasks[[#This Row],[_Row]]+1):INDEX(Tasks[_LeafTotalWork],Tasks[[#This Row],[_Row]]+Tasks[[#This Row],[_Descendants]])),Tasks[[#This Row],[_LeafTotalWork]]))</f>
        <v/>
      </c>
      <c r="BF62" s="23" t="n"/>
      <c r="BG6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f>""</f>
        <v/>
      </c>
      <c r="BI62" s="85" t="n"/>
      <c r="BJ62" s="22" t="n"/>
      <c r="BK62" s="21">
        <f>IF(OR(Tasks[[#This Row],[Task Name]]="",Tasks[[#This Row],[Baseline Duration]]=""),"",Tasks[[#This Row],[_SpanDays]]-N(Tasks[[#This Row],[Baseline Duration]]))</f>
        <v/>
      </c>
      <c r="BL62" s="84">
        <f>IF(OR(Tasks[[#This Row],[Task Name]]="",Tasks[[#This Row],[Baseline Work]]=""),"",Tasks[[#This Row],[Work]]-N(Tasks[[#This Row],[Baseline Work]]))</f>
        <v/>
      </c>
      <c r="BM62" s="61">
        <f>IF(Tasks[[#This Row],[Task Name]]="","",IF(OR(TakeBaseline="Yes",N(Tasks[[#This Row],[Baseline Start]])=0),Tasks[[#This Row],[Start]],Tasks[[#This Row],[Baseline Start]]))</f>
        <v/>
      </c>
      <c r="BN62" s="61">
        <f>IF(Tasks[[#This Row],[Task Name]]="","",IF(OR(TakeBaseline="Yes",N(Tasks[[#This Row],[Baseline Finish]])=0),Tasks[[#This Row],[Finish]],Tasks[[#This Row],[Baseline Finish]]))</f>
        <v/>
      </c>
      <c r="BO62" s="21">
        <f>IF(Tasks[[#This Row],[Task Name]]="","",IF(OR(TakeBaseline="Yes",N(Tasks[[#This Row],[Baseline Duration]])=0),Tasks[[#This Row],[_SpanDays]],Tasks[[#This Row],[Baseline Duration]]))</f>
        <v/>
      </c>
      <c r="BP62" s="84">
        <f>IF(Tasks[[#This Row],[Task Name]]="","",IF(OR(TakeBaseline="Yes",N(Tasks[[#This Row],[Baseline Work]])=0),Tasks[[#This Row],[Work]],Tasks[[#This Row],[Baseline Work]]))</f>
        <v/>
      </c>
      <c r="BQ62" s="7" t="n"/>
      <c r="BR62" s="7" t="n"/>
      <c r="BS62" s="22" t="n"/>
      <c r="BT62" s="86" t="n"/>
      <c r="BU62" s="23" t="n"/>
      <c r="BV62" s="23" t="n"/>
      <c r="BW62" s="23" t="n"/>
      <c r="BX62" s="87">
        <f>IF(AND(Tasks[[#This Row],[_IsLeaf]]=1,ISNUMBER(Tasks[[#This Row],[Optimistic]]),ISNUMBER(Tasks[[#This Row],[Pessimistic]])),ROUND((Tasks[[#This Row],[Optimistic]]+4*N(Tasks[[#This Row],[_Days]])+Tasks[[#This Row],[Pessimistic]])/6,1),"")</f>
        <v/>
      </c>
      <c r="BY62" s="85" t="n"/>
      <c r="BZ62" s="85" t="n"/>
      <c r="CA62" s="22" t="n"/>
      <c r="CB62" s="42">
        <f>IF(Tasks[[#This Row],[Task Name]]="","",MAX(1,N(Tasks[[#This Row],[Level]])))</f>
        <v/>
      </c>
      <c r="CC62" s="42">
        <f>ROW()-ROW(Tasks[[#Headers],[ID]])</f>
        <v/>
      </c>
      <c r="CD62" s="42">
        <f>IF(OR(Tasks[[#This Row],[Task Name]]="",Tasks[[#This Row],[_Level]]&lt;=1),0,IFERROR(LOOKUP(2,1/(Tasks[[#Headers],[_Level]]:Tasks[[#This Row],[_Level]]=Tasks[[#This Row],[_Level]]-1),ROW(Tasks[[#Headers],[_Level]]:Tasks[[#This Row],[_Level]])),0))</f>
        <v/>
      </c>
      <c r="CE62" s="42">
        <f>IFERROR(N(INDEX(Tasks[_Level],Tasks[[#This Row],[_Row]]+1)),0)</f>
        <v/>
      </c>
      <c r="CF62" s="42">
        <f>AND(Tasks[[#This Row],[Task Name]]&lt;&gt;"",Tasks[[#This Row],[_NextLevel]]&gt;Tasks[[#This Row],[_Level]])</f>
        <v/>
      </c>
      <c r="CG62" s="42">
        <f>IF(Tasks[[#This Row],[_IsSummary]],COUNTIF(Tasks[WBS],Tasks[[#This Row],[WBS]]&amp;".*"),0)</f>
        <v/>
      </c>
      <c r="CH62" s="42">
        <f>IF(AND(Tasks[[#This Row],[Task Name]]&lt;&gt;"",NOT(Tasks[[#This Row],[_IsSummary]])),1,0)</f>
        <v/>
      </c>
      <c r="CI62" s="42">
        <f>IF(N(Tasks[[#This Row],[_Pred1UID]])=0,0,IFERROR(MATCH(Tasks[[#This Row],[_Pred1UID]],Tasks[UID],0),-1))</f>
        <v/>
      </c>
      <c r="CJ62" s="42">
        <f>IF(N(Tasks[[#This Row],[_Pred2UID]])=0,0,IFERROR(MATCH(Tasks[[#This Row],[_Pred2UID]],Tasks[UID],0),-1))</f>
        <v/>
      </c>
      <c r="CK62" s="42">
        <f>IF(N(Tasks[[#This Row],[_Pred3UID]])=0,0,IFERROR(MATCH(Tasks[[#This Row],[_Pred3UID]],Tasks[UID],0),-1))</f>
        <v/>
      </c>
      <c r="CL62" s="42">
        <f>IF(N(Tasks[[#This Row],[_Pred4UID]])=0,0,IFERROR(MATCH(Tasks[[#This Row],[_Pred4UID]],Tasks[UID],0),-1))</f>
        <v/>
      </c>
      <c r="CM6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2" s="88">
        <f>IF(N(Tasks[[#This Row],[Constraint Date]])=0,0,IF(AND(OR(Tasks[[#This Row],[_ConstraintCode]]=3,Tasks[[#This Row],[_ConstraintCode]]=6,Tasks[[#This Row],[_ConstraintCode]]=7),N(Tasks[[#This Row],[_Days]])&gt;1),WORKDAY.INTL(N(Tasks[[#This Row],[Constraint Date]]),-(N(Tasks[[#This Row],[_Days]])-1),WorkWeek,Holidays),N(Tasks[[#This Row],[Constraint Date]])))</f>
        <v/>
      </c>
      <c r="CO62" s="88">
        <f>IF(OR(Tasks[[#This Row],[_ConstraintCode]]=2,Tasks[[#This Row],[_ConstraintCode]]=3,Tasks[[#This Row],[_ConstraintCode]]=4,Tasks[[#This Row],[_ConstraintCode]]=6),Tasks[[#This Row],[_ConstraintStart]],0)</f>
        <v/>
      </c>
      <c r="CP62" s="88">
        <f>IF(OR(Tasks[[#This Row],[_ConstraintCode]]=2,Tasks[[#This Row],[_ConstraintCode]]=3,Tasks[[#This Row],[_ConstraintCode]]=5,Tasks[[#This Row],[_ConstraintCode]]=7),Tasks[[#This Row],[_ConstraintStart]],2958465)</f>
        <v/>
      </c>
      <c r="CQ6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2" s="88">
        <f>IF(NOT(Tasks[[#This Row],[_IsLeaf]]=1),"",IF(N(Tasks[[#This Row],[_Days]])&lt;=0,Tasks[[#This Row],[_LeafCalcStart]],WORKDAY.INTL(Tasks[[#This Row],[_LeafCalcStart]],Tasks[[#This Row],[_Days]]-1,WorkWeek,Holidays)))</f>
        <v/>
      </c>
      <c r="CS6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2" s="42">
        <f>IF(Tasks[[#This Row],[_Predecessors]]="","",TRIM(MID(SUBSTITUTE(SUBSTITUTE(SUBSTITUTE(UPPER(Tasks[[#This Row],[_Predecessors]]),";",",")," ",""),",",REPT(" ",99)),1,99)))</f>
        <v/>
      </c>
      <c r="CV62" s="42">
        <f>IF(Tasks[[#This Row],[_Pred1Text]]="","",IFERROR(VALUE(LEFT(Tasks[[#This Row],[_Pred1Text]],MIN(FIND("F",Tasks[[#This Row],[_Pred1Text]]&amp;"F"),FIND("S",Tasks[[#This Row],[_Pred1Text]]&amp;"S"),FIND("+",Tasks[[#This Row],[_Pred1Text]]&amp;"+"),FIND("-",Tasks[[#This Row],[_Pred1Text]]&amp;"-"))-1)),""))</f>
        <v/>
      </c>
      <c r="CW6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2" s="42">
        <f>IF(Tasks[[#This Row],[_Pred1Text]]="","",TRIM(MID(SUBSTITUTE(SUBSTITUTE(SUBSTITUTE(UPPER(Tasks[[#This Row],[_Predecessors]]),";",",")," ",""),",",REPT(" ",99)),100,99)))</f>
        <v/>
      </c>
      <c r="CZ62" s="42">
        <f>IF(Tasks[[#This Row],[_Pred2Text]]="","",IFERROR(VALUE(LEFT(Tasks[[#This Row],[_Pred2Text]],MIN(FIND("F",Tasks[[#This Row],[_Pred2Text]]&amp;"F"),FIND("S",Tasks[[#This Row],[_Pred2Text]]&amp;"S"),FIND("+",Tasks[[#This Row],[_Pred2Text]]&amp;"+"),FIND("-",Tasks[[#This Row],[_Pred2Text]]&amp;"-"))-1)),""))</f>
        <v/>
      </c>
      <c r="DA6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2" s="42">
        <f>IF(Tasks[[#This Row],[_Pred2Text]]="","",TRIM(MID(SUBSTITUTE(SUBSTITUTE(SUBSTITUTE(UPPER(Tasks[[#This Row],[_Predecessors]]),";",",")," ",""),",",REPT(" ",99)),199,99)))</f>
        <v/>
      </c>
      <c r="DD62" s="42">
        <f>IF(Tasks[[#This Row],[_Pred3Text]]="","",IFERROR(VALUE(LEFT(Tasks[[#This Row],[_Pred3Text]],MIN(FIND("F",Tasks[[#This Row],[_Pred3Text]]&amp;"F"),FIND("S",Tasks[[#This Row],[_Pred3Text]]&amp;"S"),FIND("+",Tasks[[#This Row],[_Pred3Text]]&amp;"+"),FIND("-",Tasks[[#This Row],[_Pred3Text]]&amp;"-"))-1)),""))</f>
        <v/>
      </c>
      <c r="DE6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2" s="42">
        <f>IF(Tasks[[#This Row],[_Pred3Text]]="","",TRIM(MID(SUBSTITUTE(SUBSTITUTE(SUBSTITUTE(UPPER(Tasks[[#This Row],[_Predecessors]]),";",",")," ",""),",",REPT(" ",99)),298,99)))</f>
        <v/>
      </c>
      <c r="DH62" s="42">
        <f>IF(Tasks[[#This Row],[_Pred4Text]]="","",IFERROR(VALUE(LEFT(Tasks[[#This Row],[_Pred4Text]],MIN(FIND("F",Tasks[[#This Row],[_Pred4Text]]&amp;"F"),FIND("S",Tasks[[#This Row],[_Pred4Text]]&amp;"S"),FIND("+",Tasks[[#This Row],[_Pred4Text]]&amp;"+"),FIND("-",Tasks[[#This Row],[_Pred4Text]]&amp;"-"))-1)),""))</f>
        <v/>
      </c>
      <c r="DI6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2" s="42">
        <f>IF(OR(Tasks[[#This Row],[Task Name]]="",Tasks[[#This Row],[_Resources]]=""),"",TRIM(MID(SUBSTITUTE(Tasks[[#This Row],[_Resources]],",",REPT(" ",99)),1,99)))</f>
        <v/>
      </c>
      <c r="DL62" s="42">
        <f>IF(Tasks[[#This Row],[_Res1Text]]="","",TRIM(MID(SUBSTITUTE(Tasks[[#This Row],[_Resources]],",",REPT(" ",99)),100,99)))</f>
        <v/>
      </c>
      <c r="DM62" s="42">
        <f>IF(Tasks[[#This Row],[_Res2Text]]="","",TRIM(MID(SUBSTITUTE(Tasks[[#This Row],[_Resources]],",",REPT(" ",99)),199,99)))</f>
        <v/>
      </c>
      <c r="DN62" s="42">
        <f>IF(Tasks[[#This Row],[_Res3Text]]="","",TRIM(MID(SUBSTITUTE(Tasks[[#This Row],[_Resources]],",",REPT(" ",99)),298,99)))</f>
        <v/>
      </c>
      <c r="DO62" s="42">
        <f>IF(Tasks[[#This Row],[_Res1Text]]="",0,IFERROR(MATCH(TRIM(LEFT(Tasks[[#This Row],[_Res1Text]],FIND("[",Tasks[[#This Row],[_Res1Text]]&amp;"[")-1)),res_Name,0),IFERROR(MATCH(TRIM(LEFT(Tasks[[#This Row],[_Res1Text]],FIND("[",Tasks[[#This Row],[_Res1Text]]&amp;"[")-1)),res_Initials,0),0)))</f>
        <v/>
      </c>
      <c r="DP62" s="42">
        <f>IF(Tasks[[#This Row],[_Res2Text]]="",0,IFERROR(MATCH(TRIM(LEFT(Tasks[[#This Row],[_Res2Text]],FIND("[",Tasks[[#This Row],[_Res2Text]]&amp;"[")-1)),res_Name,0),IFERROR(MATCH(TRIM(LEFT(Tasks[[#This Row],[_Res2Text]],FIND("[",Tasks[[#This Row],[_Res2Text]]&amp;"[")-1)),res_Initials,0),0)))</f>
        <v/>
      </c>
      <c r="DQ62" s="42">
        <f>IF(Tasks[[#This Row],[_Res3Text]]="",0,IFERROR(MATCH(TRIM(LEFT(Tasks[[#This Row],[_Res3Text]],FIND("[",Tasks[[#This Row],[_Res3Text]]&amp;"[")-1)),res_Name,0),IFERROR(MATCH(TRIM(LEFT(Tasks[[#This Row],[_Res3Text]],FIND("[",Tasks[[#This Row],[_Res3Text]]&amp;"[")-1)),res_Initials,0),0)))</f>
        <v/>
      </c>
      <c r="DR62" s="42">
        <f>IF(Tasks[[#This Row],[_Res4Text]]="",0,IFERROR(MATCH(TRIM(LEFT(Tasks[[#This Row],[_Res4Text]],FIND("[",Tasks[[#This Row],[_Res4Text]]&amp;"[")-1)),res_Name,0),IFERROR(MATCH(TRIM(LEFT(Tasks[[#This Row],[_Res4Text]],FIND("[",Tasks[[#This Row],[_Res4Text]]&amp;"[")-1)),res_Initials,0),0)))</f>
        <v/>
      </c>
      <c r="DS62" s="42">
        <f>IF(Tasks[[#This Row],[_Res1Text]]="","",IF(Tasks[[#This Row],[_Res1Row]]&gt;0,INDEX(res_Name,Tasks[[#This Row],[_Res1Row]]),TRIM(LEFT(Tasks[[#This Row],[_Res1Text]],FIND("[",Tasks[[#This Row],[_Res1Text]]&amp;"[")-1))))</f>
        <v/>
      </c>
      <c r="DT6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2" s="42">
        <f>IF(NOT(Tasks[[#This Row],[_IsLeaf]]=1),0,(Tasks[[#This Row],[_Resource1]]&lt;&gt;"")+(Tasks[[#This Row],[_Res2]]&lt;&gt;"")+(Tasks[[#This Row],[_Res3]]&lt;&gt;"")+(Tasks[[#This Row],[_Res4]]&lt;&gt;""))</f>
        <v/>
      </c>
      <c r="DV62" s="42">
        <f>IF(Tasks[[#This Row],[_Res2Text]]="","",IF(Tasks[[#This Row],[_Res2Row]]&gt;0,INDEX(res_Name,Tasks[[#This Row],[_Res2Row]]),TRIM(LEFT(Tasks[[#This Row],[_Res2Text]],FIND("[",Tasks[[#This Row],[_Res2Text]]&amp;"[")-1))))</f>
        <v/>
      </c>
      <c r="DW6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2" s="42">
        <f>IF(OR(NOT(Tasks[[#This Row],[_IsLeaf]]=1),Tasks[[#This Row],[_Res2Row]]=0),0,N(Tasks[[#This Row],[_Days]])*HoursPerDay*IF(Tasks[[#This Row],[_Res2Units]]="",DefaultUnits,Tasks[[#This Row],[_Res2Units]]))</f>
        <v/>
      </c>
      <c r="DY62" s="42">
        <f>IF(AND(AND(Tasks[[#This Row],[_IsLeaf]]=1,Tasks[[#This Row],[_LeafTotalWork]]&gt;0),Tasks[[#This Row],[_Res2Work]]&gt;0),Tasks[[#This Row],[_Res2Work]]/(Tasks[[#This Row],[_FinishWorkday]]-Tasks[[#This Row],[_StartWorkday]]+1),0)</f>
        <v/>
      </c>
      <c r="DZ62" s="42">
        <f>Tasks[[#This Row],[_Res2WorkPerWD]]*MAX(0,Tasks[[#This Row],[_StartWorkday]]-1)</f>
        <v/>
      </c>
      <c r="EA62" s="42">
        <f>Tasks[[#This Row],[_Res2Work]]*Tasks[[#This Row],[_LeafProgress]]</f>
        <v/>
      </c>
      <c r="EB62" s="42">
        <f>IF(Tasks[[#This Row],[_Res3Text]]="","",IF(Tasks[[#This Row],[_Res3Row]]&gt;0,INDEX(res_Name,Tasks[[#This Row],[_Res3Row]]),TRIM(LEFT(Tasks[[#This Row],[_Res3Text]],FIND("[",Tasks[[#This Row],[_Res3Text]]&amp;"[")-1))))</f>
        <v/>
      </c>
      <c r="EC6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2" s="42">
        <f>IF(OR(NOT(Tasks[[#This Row],[_IsLeaf]]=1),Tasks[[#This Row],[_Res3Row]]=0),0,N(Tasks[[#This Row],[_Days]])*HoursPerDay*IF(Tasks[[#This Row],[_Res3Units]]="",DefaultUnits,Tasks[[#This Row],[_Res3Units]]))</f>
        <v/>
      </c>
      <c r="EE62" s="42">
        <f>IF(AND(AND(Tasks[[#This Row],[_IsLeaf]]=1,Tasks[[#This Row],[_LeafTotalWork]]&gt;0),Tasks[[#This Row],[_Res3Work]]&gt;0),Tasks[[#This Row],[_Res3Work]]/(Tasks[[#This Row],[_FinishWorkday]]-Tasks[[#This Row],[_StartWorkday]]+1),0)</f>
        <v/>
      </c>
      <c r="EF62" s="42">
        <f>Tasks[[#This Row],[_Res3WorkPerWD]]*MAX(0,Tasks[[#This Row],[_StartWorkday]]-1)</f>
        <v/>
      </c>
      <c r="EG62" s="42">
        <f>Tasks[[#This Row],[_Res3Work]]*Tasks[[#This Row],[_LeafProgress]]</f>
        <v/>
      </c>
      <c r="EH62" s="42">
        <f>IF(Tasks[[#This Row],[_Res4Text]]="","",IF(Tasks[[#This Row],[_Res4Row]]&gt;0,INDEX(res_Name,Tasks[[#This Row],[_Res4Row]]),TRIM(LEFT(Tasks[[#This Row],[_Res4Text]],FIND("[",Tasks[[#This Row],[_Res4Text]]&amp;"[")-1))))</f>
        <v/>
      </c>
      <c r="EI6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2" s="42">
        <f>IF(OR(NOT(Tasks[[#This Row],[_IsLeaf]]=1),Tasks[[#This Row],[_Res4Row]]=0),0,N(Tasks[[#This Row],[_Days]])*HoursPerDay*IF(Tasks[[#This Row],[_Res4Units]]="",DefaultUnits,Tasks[[#This Row],[_Res4Units]]))</f>
        <v/>
      </c>
      <c r="EK62" s="42">
        <f>IF(AND(AND(Tasks[[#This Row],[_IsLeaf]]=1,Tasks[[#This Row],[_LeafTotalWork]]&gt;0),Tasks[[#This Row],[_Res4Work]]&gt;0),Tasks[[#This Row],[_Res4Work]]/(Tasks[[#This Row],[_FinishWorkday]]-Tasks[[#This Row],[_StartWorkday]]+1),0)</f>
        <v/>
      </c>
      <c r="EL62" s="42">
        <f>Tasks[[#This Row],[_Res4WorkPerWD]]*MAX(0,Tasks[[#This Row],[_StartWorkday]]-1)</f>
        <v/>
      </c>
      <c r="EM62" s="42">
        <f>Tasks[[#This Row],[_Res4Work]]*Tasks[[#This Row],[_LeafProgress]]</f>
        <v/>
      </c>
      <c r="EN62" s="42">
        <f>IF(ISNUMBER(Tasks[[#This Row],[% Complete]]),Tasks[[#This Row],[% Complete]],IF(Tasks[[#This Row],[Stage]]="",0,IFERROR(INDEX(stg_Pct,MATCH(Tasks[[#This Row],[Stage]],stg_Name,0)),0)))</f>
        <v/>
      </c>
      <c r="EO62" s="42">
        <f>IF(NOT(Tasks[[#This Row],[_IsLeaf]]=1),0,IF(N(Tasks[[#This Row],[Actual Finish]])&gt;0,1,MIN(1,Tasks[[#This Row],[_Pct]])))</f>
        <v/>
      </c>
      <c r="EP62" s="42">
        <f>IF(OR(NOT(Tasks[[#This Row],[_IsLeaf]]=1),Tasks[[#This Row],[_Res1Row]]=0),0,N(Tasks[[#This Row],[_Days]])*HoursPerDay*IF(Tasks[[#This Row],[_Units1]]="",DefaultUnits,Tasks[[#This Row],[_Units1]]))</f>
        <v/>
      </c>
      <c r="EQ62" s="42">
        <f>Tasks[[#This Row],[_LeafWork]]+Tasks[[#This Row],[_Res2Work]]+Tasks[[#This Row],[_Res3Work]]+Tasks[[#This Row],[_Res4Work]]</f>
        <v/>
      </c>
      <c r="ER6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2" s="42">
        <f>IF(NOT(Tasks[[#This Row],[_IsLeaf]]=1),0,MAX(_xlfn.MAXIFS(Tasks[_Row],Tasks[_Pred1UID],Tasks[[#This Row],[UID]]),_xlfn.MAXIFS(Tasks[_Row],Tasks[_Pred2UID],Tasks[[#This Row],[UID]]),_xlfn.MAXIFS(Tasks[_Row],Tasks[_Pred3UID],Tasks[[#This Row],[UID]]),_xlfn.MAXIFS(Tasks[_Row],Tasks[_Pred4UID],Tasks[[#This Row],[UID]])))</f>
        <v/>
      </c>
      <c r="FA6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2" s="88">
        <f>IF(NOT(Tasks[[#This Row],[_IsLeaf]]=1),"",IF(N(Tasks[[#This Row],[_Days]])&lt;=0,Tasks[[#This Row],[_LeafLateFinish]],WORKDAY.INTL(Tasks[[#This Row],[_LeafLateFinish]],-(Tasks[[#This Row],[_Days]]-1),WorkWeek,Holidays)))</f>
        <v/>
      </c>
      <c r="FD6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2" s="42">
        <f>AND(Tasks[[#This Row],[_IsLeaf]]=1,Tasks[[#This Row],[_LeafProgress]]&lt;1,N(Tasks[[#This Row],[_LeafTotalSlack]])&lt;=CriticalSlackDays)</f>
        <v/>
      </c>
      <c r="FF62" s="42">
        <f>IF(AND(Tasks[[#This Row],[_IsLeaf]]=1,Tasks[[#This Row],[_ConstraintCode]]=1,Tasks[[#This Row],[Mode]]&lt;&gt;"Manual",N(Tasks[[#This Row],[Actual Start]])=0),MAX(0,N(Tasks[[#This Row],[Free Slack]])),0)</f>
        <v/>
      </c>
      <c r="FG62" s="88">
        <f>IF(NOT(Tasks[[#This Row],[_IsLeaf]]=1),"",IF(Tasks[[#This Row],[_AlapShift]]=0,Tasks[[#This Row],[_LeafCalcStart]],WORKDAY.INTL(Tasks[[#This Row],[_LeafCalcStart]],Tasks[[#This Row],[_AlapShift]],WorkWeek,Holidays)))</f>
        <v/>
      </c>
      <c r="FH62" s="88">
        <f>IF(NOT(Tasks[[#This Row],[_IsLeaf]]=1),"",IF(Tasks[[#This Row],[_AlapShift]]=0,Tasks[[#This Row],[_LeafCalcFinish]],WORKDAY.INTL(Tasks[[#This Row],[_LeafCalcFinish]],Tasks[[#This Row],[_AlapShift]],WorkWeek,Holidays)))</f>
        <v/>
      </c>
      <c r="FI62" s="88">
        <f>IF(NOT(Tasks[[#This Row],[_IsLeaf]]=1),"",IF(Tasks[[#This Row],[_AlapShift]]=0,Tasks[[#This Row],[_LeafFcstStart]],WORKDAY.INTL(Tasks[[#This Row],[_LeafFcstStart]],Tasks[[#This Row],[_AlapShift]],WorkWeek,Holidays)))</f>
        <v/>
      </c>
      <c r="FJ62" s="88">
        <f>IF(NOT(Tasks[[#This Row],[_IsLeaf]]=1),"",IF(Tasks[[#This Row],[_AlapShift]]=0,Tasks[[#This Row],[_LeafFcstFinish]],WORKDAY.INTL(Tasks[[#This Row],[_LeafFcstFinish]],Tasks[[#This Row],[_AlapShift]],WorkWeek,Holidays)))</f>
        <v/>
      </c>
      <c r="FK62" s="88">
        <f>IF(Tasks[[#This Row],[Task Name]]="","",IF(Tasks[[#This Row],[_IsSummary]],MIN(INDEX(Tasks[_ShownCalcStart],Tasks[[#This Row],[_Row]]+1):INDEX(Tasks[_ShownCalcStart],Tasks[[#This Row],[_Row]]+Tasks[[#This Row],[_Descendants]])),Tasks[[#This Row],[_ShownCalcStart]]))</f>
        <v/>
      </c>
      <c r="FL62" s="88">
        <f>IF(Tasks[[#This Row],[Task Name]]="","",IF(Tasks[[#This Row],[_IsSummary]],MAX(INDEX(Tasks[_ShownCalcFinish],Tasks[[#This Row],[_Row]]+1):INDEX(Tasks[_ShownCalcFinish],Tasks[[#This Row],[_Row]]+Tasks[[#This Row],[_Descendants]])),Tasks[[#This Row],[_ShownCalcFinish]]))</f>
        <v/>
      </c>
      <c r="FM6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2" s="42">
        <f>IF(AND(Tasks[[#This Row],[_IsLeaf]]=1,Tasks[[#This Row],[_LeafTotalWork]]&gt;0),NETWORKDAYS.INTL(ProjectStart,Tasks[[#This Row],[_ShownFcstStart]],WorkWeek,Holidays),0)</f>
        <v/>
      </c>
      <c r="FZ62" s="42">
        <f>IF(AND(Tasks[[#This Row],[_IsLeaf]]=1,Tasks[[#This Row],[_LeafTotalWork]]&gt;0),MAX(Tasks[[#This Row],[_StartWorkday]],NETWORKDAYS.INTL(ProjectStart,Tasks[[#This Row],[_ShownFcstFinish]],WorkWeek,Holidays)),0)</f>
        <v/>
      </c>
      <c r="GA62" s="42">
        <f>IF(AND(Tasks[[#This Row],[_IsLeaf]]=1,Tasks[[#This Row],[_LeafTotalWork]]&gt;0),Tasks[[#This Row],[_LeafWork]]/(Tasks[[#This Row],[_FinishWorkday]]-Tasks[[#This Row],[_StartWorkday]]+1),0)</f>
        <v/>
      </c>
      <c r="GB62" s="42">
        <f>Tasks[[#This Row],[_WorkPerWorkday]]*(Tasks[[#This Row],[_StartWorkday]]-1)</f>
        <v/>
      </c>
      <c r="GC62" s="42">
        <f>IF(Tasks[[#This Row],[_IsLeaf]]=1,MAX(N(Tasks[[#This Row],[_Days]]),0.1),0)</f>
        <v/>
      </c>
      <c r="GD62" s="42">
        <f>Tasks[[#This Row],[_WeightDur]]*Tasks[[#This Row],[_LeafProgress]]</f>
        <v/>
      </c>
      <c r="GE62" s="42">
        <f>Tasks[[#This Row],[_WeightDur]]*Tasks[[#This Row],[_PlannedPct]]</f>
        <v/>
      </c>
      <c r="GF6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2" s="42">
        <f>IF(AND(Tasks[[#This Row],[_IsLeaf]]=1,N(Tasks[[#This Row],[_Days]])=0,Tasks[[#This Row],[_LeafProgress]]&lt;1),Tasks[[#This Row],[_ShownFcstFinish]]+Tasks[[#This Row],[_Row]]/100000,"")</f>
        <v/>
      </c>
      <c r="GH6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2" s="42">
        <f>IF(Tasks[[#This Row],[Task Name]]="","",LEFT(Tasks[[#This Row],[WBS]],FIND(".",Tasks[[#This Row],[WBS]]&amp;".")-1))</f>
        <v/>
      </c>
      <c r="GJ62" s="42">
        <f>IF(AND(Tasks[[#This Row],[Task Name]]&lt;&gt;"",Tasks[[#This Row],[_Level]]=1),Tasks[[#This Row],[_Row]],"")</f>
        <v/>
      </c>
      <c r="GK62" s="42">
        <f>IF(AND(Tasks[[#This Row],[_IsLeaf]]=1,N(Tasks[[#This Row],[_Days]])=0),Tasks[[#This Row],[Planned Finish]]+Tasks[[#This Row],[_Row]]/100000,"")</f>
        <v/>
      </c>
      <c r="GL62" s="42">
        <f>IF(AND(Tasks[[#This Row],[_IsLeaf]]=1,Tasks[[#This Row],[_LeafProgress]]&lt;1,OR(N(Tasks[[#This Row],[Finish Var]])&gt;0,Tasks[[#This Row],[Status]]="Late Start")),MAX(0,Tasks[[#This Row],[Finish Var]])+1-Tasks[[#This Row],[_Row]]/1000000,"")</f>
        <v/>
      </c>
      <c r="GM62" s="42">
        <f>IF(AND(Tasks[[#This Row],[_IsLeaf]]=1,N(Tasks[[#This Row],[Actual Start]])=0,Tasks[[#This Row],[_ShownFcstStart]]&gt;=StatusDate,Tasks[[#This Row],[_ShownFcstStart]]&lt;=LookaheadEnd),Tasks[[#This Row],[_ShownFcstStart]]+Tasks[[#This Row],[_Row]]/100000,"")</f>
        <v/>
      </c>
      <c r="GN62" s="42">
        <f>IF(AND(Tasks[[#This Row],[_IsLeaf]]=1,Tasks[[#This Row],[_LeafProgress]]&lt;1,Tasks[[#This Row],[_ShownFcstFinish]]&gt;=StatusDate,Tasks[[#This Row],[_ShownFcstFinish]]&lt;=LookaheadEnd),Tasks[[#This Row],[_ShownFcstFinish]]+Tasks[[#This Row],[_Row]]/100000,"")</f>
        <v/>
      </c>
      <c r="GO62" s="42">
        <f>IF(Tasks[[#This Row],[_LeafCritical]],Tasks[[#This Row],[_ShownFcstStart]]+Tasks[[#This Row],[_Row]]/100000,"")</f>
        <v/>
      </c>
      <c r="GP62" s="42">
        <f>Tasks[[#This Row],[_LeafWork]]*Tasks[[#This Row],[_LeafProgress]]</f>
        <v/>
      </c>
      <c r="GQ62" s="88">
        <f>IF(AND(Tasks[[#This Row],[_IsLeaf]]=1,Tasks[[#This Row],[_LeafProgress]]&gt;=1),IF(N(Tasks[[#This Row],[Actual Finish]])&gt;0,Tasks[[#This Row],[Actual Finish]],Tasks[[#This Row],[_ShownFcstFinish]]),"")</f>
        <v/>
      </c>
      <c r="GR62" s="42">
        <f>IF(Tasks[[#This Row],[_IsLeaf]]=1,N(Tasks[[#This Row],[Story Points]]),0)</f>
        <v/>
      </c>
      <c r="GS62" s="42">
        <f>""</f>
        <v/>
      </c>
      <c r="GT62" s="42">
        <f>IF(Tasks[[#This Row],[Task Name]]="",FALSE(),AND(Tasks[[#This Row],[_IsLeaf]]=1,N(Tasks[[#This Row],[_Days]])=0))</f>
        <v/>
      </c>
      <c r="GU62" s="88">
        <f>IF(Tasks[[#This Row],[Task Name]]="",0,IF(AND(Tasks[[#This Row],[_IsLeaf]]=1,NOT(Tasks[[#This Row],[_IsMilestone]]),N(Tasks[[#This Row],[Progress]])&gt;0),Tasks[[#This Row],[Start]],0))</f>
        <v/>
      </c>
      <c r="GV62" s="88">
        <f>IF(Tasks[[#This Row],[_DoneFrom]]=0,0,IF(Tasks[[#This Row],[Progress]]&gt;=1,Tasks[[#This Row],[Finish]],MAX(Tasks[[#This Row],[_DoneFrom]],Tasks[[#This Row],[Start]]+ROUND((Tasks[[#This Row],[Finish]]-Tasks[[#This Row],[Start]]+1)*Tasks[[#This Row],[Progress]],0)-1)))</f>
        <v/>
      </c>
      <c r="GW62" s="88">
        <f>IF(Tasks[[#This Row],[Task Name]]="",0,IF(OR(NOT(Tasks[[#This Row],[_IsLeaf]]=1),Tasks[[#This Row],[_IsMilestone]],N(Tasks[[#This Row],[Progress]])&gt;=1),0,IF(Tasks[[#This Row],[_DoneTo]]&gt;0,Tasks[[#This Row],[_DoneTo]]+1,Tasks[[#This Row],[Start]])))</f>
        <v/>
      </c>
      <c r="GX62" s="88">
        <f>IF(Tasks[[#This Row],[_RemFrom]]=0,0,Tasks[[#This Row],[Finish]])</f>
        <v/>
      </c>
      <c r="GY62" s="42">
        <f>IF(Tasks[[#This Row],[Task Name]]="",FALSE(),OR(NOT(BaselineSet),N(Tasks[[#This Row],[Baseline Start]])&gt;0))</f>
        <v/>
      </c>
      <c r="GZ62" s="42">
        <f>IF(AND(Sandbox="Yes",L_PARSE_DURATION(Tasks[[#This Row],[Sandbox Duration]])&lt;&gt;""),L_PARSE_DURATION(Tasks[[#This Row],[Sandbox Duration]]),L_PARSE_DURATION(Tasks[[#This Row],[Duration]]))</f>
        <v/>
      </c>
      <c r="HA6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2" s="42">
        <f>IF(Tasks[[#This Row],[_IsLeaf]]=1,Tasks[[#This Row],[_Row]],"")</f>
        <v/>
      </c>
      <c r="HD62" s="42">
        <f>IFERROR(INDEX(Tasks[UID],SMALL(Tasks[_PickKey],Tasks[[#This Row],[_Row]]))&amp;" "&amp;INDEX(Tasks[Task Name],SMALL(Tasks[_PickKey],Tasks[[#This Row],[_Row]])),"")</f>
        <v/>
      </c>
      <c r="HE62" s="42">
        <f>IF(Tasks[[#This Row],[Task Name]]="","",IF(Tasks[[#This Row],[_IsSummary]],NETWORKDAYS.INTL(Tasks[[#This Row],[Start]],Tasks[[#This Row],[Finish]],WorkWeek,Holidays),N(Tasks[[#This Row],[_Days]])))</f>
        <v/>
      </c>
      <c r="HF62" s="42">
        <f>IF(Tasks[[#This Row],[Expected]]="",0,((Tasks[[#This Row],[Pessimistic]]-Tasks[[#This Row],[Optimistic]])/6)^2)</f>
        <v/>
      </c>
      <c r="HG62" s="42">
        <f>IF(Tasks[[#This Row],[Expected]]="",0,Tasks[[#This Row],[Expected]]-N(Tasks[[#This Row],[_Days]]))</f>
        <v/>
      </c>
    </row>
    <row r="63">
      <c r="A63" s="21">
        <f>IF(Tasks[[#This Row],[Task Name]]="","",COUNTA(Tasks[[#Headers],[Task Name]]:Tasks[[#This Row],[Task Name]])-1)</f>
        <v/>
      </c>
      <c r="B63" s="22" t="n">
        <v>71</v>
      </c>
      <c r="C63" s="22" t="n"/>
      <c r="D63" s="23" t="n"/>
      <c r="E63" s="22" t="n"/>
      <c r="F63" s="23" t="n"/>
      <c r="G63" s="22" t="n"/>
      <c r="H63" s="22" t="n"/>
      <c r="I63" s="23" t="n"/>
      <c r="J63" s="22" t="n"/>
      <c r="K63" s="22" t="n"/>
      <c r="L63" s="23" t="n"/>
      <c r="M63" s="22" t="n"/>
      <c r="N63" s="22" t="n"/>
      <c r="O63" s="23" t="n"/>
      <c r="P63" s="22" t="n"/>
      <c r="Q63" s="22" t="n"/>
      <c r="R63" s="23" t="n"/>
      <c r="S63" s="23" t="n"/>
      <c r="T63" s="82" t="n"/>
      <c r="U63" s="23" t="n"/>
      <c r="V63" s="82" t="n"/>
      <c r="W63" s="23" t="n"/>
      <c r="X63" s="82" t="n"/>
      <c r="Y63" s="23" t="n"/>
      <c r="Z63" s="82" t="n"/>
      <c r="AA63" s="23" t="n"/>
      <c r="AB63" s="23" t="n"/>
      <c r="AC63" s="7" t="n"/>
      <c r="AD63" s="7" t="n"/>
      <c r="AE63" s="61">
        <f>IF(Tasks[[#This Row],[Task Name]]="","",IF(Tasks[[#This Row],[_IsSummary]],MIN(INDEX(Tasks[_ShownFcstStart],Tasks[[#This Row],[_Row]]+1):INDEX(Tasks[_ShownFcstStart],Tasks[[#This Row],[_Row]]+Tasks[[#This Row],[_Descendants]])),Tasks[[#This Row],[_ShownFcstStart]]))</f>
        <v/>
      </c>
      <c r="AF63" s="61">
        <f>IF(Tasks[[#This Row],[Task Name]]="","",IF(Tasks[[#This Row],[_IsSummary]],MAX(INDEX(Tasks[_ShownFcstFinish],Tasks[[#This Row],[_Row]]+1):INDEX(Tasks[_ShownFcstFinish],Tasks[[#This Row],[_Row]]+Tasks[[#This Row],[_Descendants]])),Tasks[[#This Row],[_ShownFcstFinish]]))</f>
        <v/>
      </c>
      <c r="AG63" s="21">
        <f>""</f>
        <v/>
      </c>
      <c r="AH63" s="23" t="n"/>
      <c r="AI6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3" s="7" t="n"/>
      <c r="AK63" s="22" t="n"/>
      <c r="AL63" s="23" t="n"/>
      <c r="AM63" s="7" t="n"/>
      <c r="AN63" s="21">
        <f>IF(Tasks[[#This Row],[Task Name]]="","",IF(Tasks[[#This Row],[Finish]]&gt;=Tasks[[#This Row],[Planned Finish]],NETWORKDAYS.INTL(Tasks[[#This Row],[Planned Finish]],Tasks[[#This Row],[Finish]],WorkWeek,Holidays)-1,1-NETWORKDAYS.INTL(Tasks[[#This Row],[Finish]],Tasks[[#This Row],[Planned Finish]],WorkWeek,Holidays)))</f>
        <v/>
      </c>
      <c r="AO63" s="21">
        <f>IF(Tasks[[#This Row],[Task Name]]="","",IF(Tasks[[#This Row],[Progress]]&gt;=1,"Complete",IF(OR(N(Tasks[[#This Row],[Actual Start]])&gt;0,Tasks[[#This Row],[Progress]]&gt;0),IF(Tasks[[#This Row],[Finish Var]]&gt;0,"Behind","In Progress"),IF(Tasks[[#This Row],[Planned Start]]&lt;StatusDate,"Late Start","Not Started"))))</f>
        <v/>
      </c>
      <c r="AP63" s="21">
        <f>IF(Tasks[[#This Row],[Task Name]]="","",IF(IF(Tasks[[#This Row],[_IsSummary]],COUNTIF(INDEX(Tasks[_LeafCritical],Tasks[[#This Row],[_Row]]+1):INDEX(Tasks[_LeafCritical],Tasks[[#This Row],[_Row]]+Tasks[[#This Row],[_Descendants]]),TRUE())&gt;0,Tasks[[#This Row],[_LeafCritical]]),"Yes",""))</f>
        <v/>
      </c>
      <c r="AQ63" s="61">
        <f>IF(Tasks[[#This Row],[Task Name]]="","",IF(N(Tasks[[#This Row],[Baseline Start]])&gt;0,Tasks[[#This Row],[Baseline Start]],Tasks[[#This Row],[_CalcStart]]))</f>
        <v/>
      </c>
      <c r="AR63" s="61">
        <f>IF(Tasks[[#This Row],[Task Name]]="","",IF(N(Tasks[[#This Row],[Baseline Finish]])&gt;0,Tasks[[#This Row],[Baseline Finish]],Tasks[[#This Row],[_CalcFinish]]))</f>
        <v/>
      </c>
      <c r="AS63" s="21">
        <f>IF(Tasks[[#This Row],[Task Name]]="","",IF(Tasks[[#This Row],[Start]]&gt;=Tasks[[#This Row],[Planned Start]],NETWORKDAYS.INTL(Tasks[[#This Row],[Planned Start]],Tasks[[#This Row],[Start]],WorkWeek,Holidays)-1,1-NETWORKDAYS.INTL(Tasks[[#This Row],[Start]],Tasks[[#This Row],[Planned Start]],WorkWeek,Holidays)))</f>
        <v/>
      </c>
      <c r="AT63" s="61">
        <f>IF(Tasks[[#This Row],[Task Name]]="","",IF(Tasks[[#This Row],[_IsSummary]],MIN(INDEX(Tasks[_LeafLateStart],Tasks[[#This Row],[_Row]]+1):INDEX(Tasks[_LeafLateStart],Tasks[[#This Row],[_Row]]+Tasks[[#This Row],[_Descendants]])),Tasks[[#This Row],[_LeafLateStart]]))</f>
        <v/>
      </c>
      <c r="AU63" s="61">
        <f>IF(Tasks[[#This Row],[Task Name]]="","",IF(Tasks[[#This Row],[_IsSummary]],MAX(INDEX(Tasks[_LeafLateFinish],Tasks[[#This Row],[_Row]]+1):INDEX(Tasks[_LeafLateFinish],Tasks[[#This Row],[_Row]]+Tasks[[#This Row],[_Descendants]])),Tasks[[#This Row],[_LeafLateFinish]]))</f>
        <v/>
      </c>
      <c r="AV63" s="21">
        <f>IF(Tasks[[#This Row],[Task Name]]="","",IF(Tasks[[#This Row],[_IsSummary]],MIN(INDEX(Tasks[_LeafTotalSlack],Tasks[[#This Row],[_Row]]+1):INDEX(Tasks[_LeafTotalSlack],Tasks[[#This Row],[_Row]]+Tasks[[#This Row],[_Descendants]])),Tasks[[#This Row],[_LeafTotalSlack]]))</f>
        <v/>
      </c>
      <c r="AW6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3" t="n"/>
      <c r="BA6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f>IF(Tasks[[#This Row],[Task Name]]="","",IF(Tasks[[#This Row],[_Level]]&lt;=OutlineShowLevel,"Yes","No"))</f>
        <v/>
      </c>
      <c r="BE63" s="84">
        <f>IF(Tasks[[#This Row],[Task Name]]="","",IF(Tasks[[#This Row],[_IsSummary]],SUM(INDEX(Tasks[_LeafTotalWork],Tasks[[#This Row],[_Row]]+1):INDEX(Tasks[_LeafTotalWork],Tasks[[#This Row],[_Row]]+Tasks[[#This Row],[_Descendants]])),Tasks[[#This Row],[_LeafTotalWork]]))</f>
        <v/>
      </c>
      <c r="BF63" s="23" t="n"/>
      <c r="BG6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f>""</f>
        <v/>
      </c>
      <c r="BI63" s="85" t="n"/>
      <c r="BJ63" s="22" t="n"/>
      <c r="BK63" s="21">
        <f>IF(OR(Tasks[[#This Row],[Task Name]]="",Tasks[[#This Row],[Baseline Duration]]=""),"",Tasks[[#This Row],[_SpanDays]]-N(Tasks[[#This Row],[Baseline Duration]]))</f>
        <v/>
      </c>
      <c r="BL63" s="84">
        <f>IF(OR(Tasks[[#This Row],[Task Name]]="",Tasks[[#This Row],[Baseline Work]]=""),"",Tasks[[#This Row],[Work]]-N(Tasks[[#This Row],[Baseline Work]]))</f>
        <v/>
      </c>
      <c r="BM63" s="61">
        <f>IF(Tasks[[#This Row],[Task Name]]="","",IF(OR(TakeBaseline="Yes",N(Tasks[[#This Row],[Baseline Start]])=0),Tasks[[#This Row],[Start]],Tasks[[#This Row],[Baseline Start]]))</f>
        <v/>
      </c>
      <c r="BN63" s="61">
        <f>IF(Tasks[[#This Row],[Task Name]]="","",IF(OR(TakeBaseline="Yes",N(Tasks[[#This Row],[Baseline Finish]])=0),Tasks[[#This Row],[Finish]],Tasks[[#This Row],[Baseline Finish]]))</f>
        <v/>
      </c>
      <c r="BO63" s="21">
        <f>IF(Tasks[[#This Row],[Task Name]]="","",IF(OR(TakeBaseline="Yes",N(Tasks[[#This Row],[Baseline Duration]])=0),Tasks[[#This Row],[_SpanDays]],Tasks[[#This Row],[Baseline Duration]]))</f>
        <v/>
      </c>
      <c r="BP63" s="84">
        <f>IF(Tasks[[#This Row],[Task Name]]="","",IF(OR(TakeBaseline="Yes",N(Tasks[[#This Row],[Baseline Work]])=0),Tasks[[#This Row],[Work]],Tasks[[#This Row],[Baseline Work]]))</f>
        <v/>
      </c>
      <c r="BQ63" s="7" t="n"/>
      <c r="BR63" s="7" t="n"/>
      <c r="BS63" s="22" t="n"/>
      <c r="BT63" s="86" t="n"/>
      <c r="BU63" s="23" t="n"/>
      <c r="BV63" s="23" t="n"/>
      <c r="BW63" s="23" t="n"/>
      <c r="BX63" s="87">
        <f>IF(AND(Tasks[[#This Row],[_IsLeaf]]=1,ISNUMBER(Tasks[[#This Row],[Optimistic]]),ISNUMBER(Tasks[[#This Row],[Pessimistic]])),ROUND((Tasks[[#This Row],[Optimistic]]+4*N(Tasks[[#This Row],[_Days]])+Tasks[[#This Row],[Pessimistic]])/6,1),"")</f>
        <v/>
      </c>
      <c r="BY63" s="85" t="n"/>
      <c r="BZ63" s="85" t="n"/>
      <c r="CA63" s="22" t="n"/>
      <c r="CB63" s="42">
        <f>IF(Tasks[[#This Row],[Task Name]]="","",MAX(1,N(Tasks[[#This Row],[Level]])))</f>
        <v/>
      </c>
      <c r="CC63" s="42">
        <f>ROW()-ROW(Tasks[[#Headers],[ID]])</f>
        <v/>
      </c>
      <c r="CD63" s="42">
        <f>IF(OR(Tasks[[#This Row],[Task Name]]="",Tasks[[#This Row],[_Level]]&lt;=1),0,IFERROR(LOOKUP(2,1/(Tasks[[#Headers],[_Level]]:Tasks[[#This Row],[_Level]]=Tasks[[#This Row],[_Level]]-1),ROW(Tasks[[#Headers],[_Level]]:Tasks[[#This Row],[_Level]])),0))</f>
        <v/>
      </c>
      <c r="CE63" s="42">
        <f>IFERROR(N(INDEX(Tasks[_Level],Tasks[[#This Row],[_Row]]+1)),0)</f>
        <v/>
      </c>
      <c r="CF63" s="42">
        <f>AND(Tasks[[#This Row],[Task Name]]&lt;&gt;"",Tasks[[#This Row],[_NextLevel]]&gt;Tasks[[#This Row],[_Level]])</f>
        <v/>
      </c>
      <c r="CG63" s="42">
        <f>IF(Tasks[[#This Row],[_IsSummary]],COUNTIF(Tasks[WBS],Tasks[[#This Row],[WBS]]&amp;".*"),0)</f>
        <v/>
      </c>
      <c r="CH63" s="42">
        <f>IF(AND(Tasks[[#This Row],[Task Name]]&lt;&gt;"",NOT(Tasks[[#This Row],[_IsSummary]])),1,0)</f>
        <v/>
      </c>
      <c r="CI63" s="42">
        <f>IF(N(Tasks[[#This Row],[_Pred1UID]])=0,0,IFERROR(MATCH(Tasks[[#This Row],[_Pred1UID]],Tasks[UID],0),-1))</f>
        <v/>
      </c>
      <c r="CJ63" s="42">
        <f>IF(N(Tasks[[#This Row],[_Pred2UID]])=0,0,IFERROR(MATCH(Tasks[[#This Row],[_Pred2UID]],Tasks[UID],0),-1))</f>
        <v/>
      </c>
      <c r="CK63" s="42">
        <f>IF(N(Tasks[[#This Row],[_Pred3UID]])=0,0,IFERROR(MATCH(Tasks[[#This Row],[_Pred3UID]],Tasks[UID],0),-1))</f>
        <v/>
      </c>
      <c r="CL63" s="42">
        <f>IF(N(Tasks[[#This Row],[_Pred4UID]])=0,0,IFERROR(MATCH(Tasks[[#This Row],[_Pred4UID]],Tasks[UID],0),-1))</f>
        <v/>
      </c>
      <c r="CM6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3" s="88">
        <f>IF(N(Tasks[[#This Row],[Constraint Date]])=0,0,IF(AND(OR(Tasks[[#This Row],[_ConstraintCode]]=3,Tasks[[#This Row],[_ConstraintCode]]=6,Tasks[[#This Row],[_ConstraintCode]]=7),N(Tasks[[#This Row],[_Days]])&gt;1),WORKDAY.INTL(N(Tasks[[#This Row],[Constraint Date]]),-(N(Tasks[[#This Row],[_Days]])-1),WorkWeek,Holidays),N(Tasks[[#This Row],[Constraint Date]])))</f>
        <v/>
      </c>
      <c r="CO63" s="88">
        <f>IF(OR(Tasks[[#This Row],[_ConstraintCode]]=2,Tasks[[#This Row],[_ConstraintCode]]=3,Tasks[[#This Row],[_ConstraintCode]]=4,Tasks[[#This Row],[_ConstraintCode]]=6),Tasks[[#This Row],[_ConstraintStart]],0)</f>
        <v/>
      </c>
      <c r="CP63" s="88">
        <f>IF(OR(Tasks[[#This Row],[_ConstraintCode]]=2,Tasks[[#This Row],[_ConstraintCode]]=3,Tasks[[#This Row],[_ConstraintCode]]=5,Tasks[[#This Row],[_ConstraintCode]]=7),Tasks[[#This Row],[_ConstraintStart]],2958465)</f>
        <v/>
      </c>
      <c r="CQ6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3" s="88">
        <f>IF(NOT(Tasks[[#This Row],[_IsLeaf]]=1),"",IF(N(Tasks[[#This Row],[_Days]])&lt;=0,Tasks[[#This Row],[_LeafCalcStart]],WORKDAY.INTL(Tasks[[#This Row],[_LeafCalcStart]],Tasks[[#This Row],[_Days]]-1,WorkWeek,Holidays)))</f>
        <v/>
      </c>
      <c r="CS6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3" s="42">
        <f>IF(Tasks[[#This Row],[_Predecessors]]="","",TRIM(MID(SUBSTITUTE(SUBSTITUTE(SUBSTITUTE(UPPER(Tasks[[#This Row],[_Predecessors]]),";",",")," ",""),",",REPT(" ",99)),1,99)))</f>
        <v/>
      </c>
      <c r="CV63" s="42">
        <f>IF(Tasks[[#This Row],[_Pred1Text]]="","",IFERROR(VALUE(LEFT(Tasks[[#This Row],[_Pred1Text]],MIN(FIND("F",Tasks[[#This Row],[_Pred1Text]]&amp;"F"),FIND("S",Tasks[[#This Row],[_Pred1Text]]&amp;"S"),FIND("+",Tasks[[#This Row],[_Pred1Text]]&amp;"+"),FIND("-",Tasks[[#This Row],[_Pred1Text]]&amp;"-"))-1)),""))</f>
        <v/>
      </c>
      <c r="CW6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3" s="42">
        <f>IF(Tasks[[#This Row],[_Pred1Text]]="","",TRIM(MID(SUBSTITUTE(SUBSTITUTE(SUBSTITUTE(UPPER(Tasks[[#This Row],[_Predecessors]]),";",",")," ",""),",",REPT(" ",99)),100,99)))</f>
        <v/>
      </c>
      <c r="CZ63" s="42">
        <f>IF(Tasks[[#This Row],[_Pred2Text]]="","",IFERROR(VALUE(LEFT(Tasks[[#This Row],[_Pred2Text]],MIN(FIND("F",Tasks[[#This Row],[_Pred2Text]]&amp;"F"),FIND("S",Tasks[[#This Row],[_Pred2Text]]&amp;"S"),FIND("+",Tasks[[#This Row],[_Pred2Text]]&amp;"+"),FIND("-",Tasks[[#This Row],[_Pred2Text]]&amp;"-"))-1)),""))</f>
        <v/>
      </c>
      <c r="DA6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3" s="42">
        <f>IF(Tasks[[#This Row],[_Pred2Text]]="","",TRIM(MID(SUBSTITUTE(SUBSTITUTE(SUBSTITUTE(UPPER(Tasks[[#This Row],[_Predecessors]]),";",",")," ",""),",",REPT(" ",99)),199,99)))</f>
        <v/>
      </c>
      <c r="DD63" s="42">
        <f>IF(Tasks[[#This Row],[_Pred3Text]]="","",IFERROR(VALUE(LEFT(Tasks[[#This Row],[_Pred3Text]],MIN(FIND("F",Tasks[[#This Row],[_Pred3Text]]&amp;"F"),FIND("S",Tasks[[#This Row],[_Pred3Text]]&amp;"S"),FIND("+",Tasks[[#This Row],[_Pred3Text]]&amp;"+"),FIND("-",Tasks[[#This Row],[_Pred3Text]]&amp;"-"))-1)),""))</f>
        <v/>
      </c>
      <c r="DE6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3" s="42">
        <f>IF(Tasks[[#This Row],[_Pred3Text]]="","",TRIM(MID(SUBSTITUTE(SUBSTITUTE(SUBSTITUTE(UPPER(Tasks[[#This Row],[_Predecessors]]),";",",")," ",""),",",REPT(" ",99)),298,99)))</f>
        <v/>
      </c>
      <c r="DH63" s="42">
        <f>IF(Tasks[[#This Row],[_Pred4Text]]="","",IFERROR(VALUE(LEFT(Tasks[[#This Row],[_Pred4Text]],MIN(FIND("F",Tasks[[#This Row],[_Pred4Text]]&amp;"F"),FIND("S",Tasks[[#This Row],[_Pred4Text]]&amp;"S"),FIND("+",Tasks[[#This Row],[_Pred4Text]]&amp;"+"),FIND("-",Tasks[[#This Row],[_Pred4Text]]&amp;"-"))-1)),""))</f>
        <v/>
      </c>
      <c r="DI6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3" s="42">
        <f>IF(OR(Tasks[[#This Row],[Task Name]]="",Tasks[[#This Row],[_Resources]]=""),"",TRIM(MID(SUBSTITUTE(Tasks[[#This Row],[_Resources]],",",REPT(" ",99)),1,99)))</f>
        <v/>
      </c>
      <c r="DL63" s="42">
        <f>IF(Tasks[[#This Row],[_Res1Text]]="","",TRIM(MID(SUBSTITUTE(Tasks[[#This Row],[_Resources]],",",REPT(" ",99)),100,99)))</f>
        <v/>
      </c>
      <c r="DM63" s="42">
        <f>IF(Tasks[[#This Row],[_Res2Text]]="","",TRIM(MID(SUBSTITUTE(Tasks[[#This Row],[_Resources]],",",REPT(" ",99)),199,99)))</f>
        <v/>
      </c>
      <c r="DN63" s="42">
        <f>IF(Tasks[[#This Row],[_Res3Text]]="","",TRIM(MID(SUBSTITUTE(Tasks[[#This Row],[_Resources]],",",REPT(" ",99)),298,99)))</f>
        <v/>
      </c>
      <c r="DO63" s="42">
        <f>IF(Tasks[[#This Row],[_Res1Text]]="",0,IFERROR(MATCH(TRIM(LEFT(Tasks[[#This Row],[_Res1Text]],FIND("[",Tasks[[#This Row],[_Res1Text]]&amp;"[")-1)),res_Name,0),IFERROR(MATCH(TRIM(LEFT(Tasks[[#This Row],[_Res1Text]],FIND("[",Tasks[[#This Row],[_Res1Text]]&amp;"[")-1)),res_Initials,0),0)))</f>
        <v/>
      </c>
      <c r="DP63" s="42">
        <f>IF(Tasks[[#This Row],[_Res2Text]]="",0,IFERROR(MATCH(TRIM(LEFT(Tasks[[#This Row],[_Res2Text]],FIND("[",Tasks[[#This Row],[_Res2Text]]&amp;"[")-1)),res_Name,0),IFERROR(MATCH(TRIM(LEFT(Tasks[[#This Row],[_Res2Text]],FIND("[",Tasks[[#This Row],[_Res2Text]]&amp;"[")-1)),res_Initials,0),0)))</f>
        <v/>
      </c>
      <c r="DQ63" s="42">
        <f>IF(Tasks[[#This Row],[_Res3Text]]="",0,IFERROR(MATCH(TRIM(LEFT(Tasks[[#This Row],[_Res3Text]],FIND("[",Tasks[[#This Row],[_Res3Text]]&amp;"[")-1)),res_Name,0),IFERROR(MATCH(TRIM(LEFT(Tasks[[#This Row],[_Res3Text]],FIND("[",Tasks[[#This Row],[_Res3Text]]&amp;"[")-1)),res_Initials,0),0)))</f>
        <v/>
      </c>
      <c r="DR63" s="42">
        <f>IF(Tasks[[#This Row],[_Res4Text]]="",0,IFERROR(MATCH(TRIM(LEFT(Tasks[[#This Row],[_Res4Text]],FIND("[",Tasks[[#This Row],[_Res4Text]]&amp;"[")-1)),res_Name,0),IFERROR(MATCH(TRIM(LEFT(Tasks[[#This Row],[_Res4Text]],FIND("[",Tasks[[#This Row],[_Res4Text]]&amp;"[")-1)),res_Initials,0),0)))</f>
        <v/>
      </c>
      <c r="DS63" s="42">
        <f>IF(Tasks[[#This Row],[_Res1Text]]="","",IF(Tasks[[#This Row],[_Res1Row]]&gt;0,INDEX(res_Name,Tasks[[#This Row],[_Res1Row]]),TRIM(LEFT(Tasks[[#This Row],[_Res1Text]],FIND("[",Tasks[[#This Row],[_Res1Text]]&amp;"[")-1))))</f>
        <v/>
      </c>
      <c r="DT6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3" s="42">
        <f>IF(NOT(Tasks[[#This Row],[_IsLeaf]]=1),0,(Tasks[[#This Row],[_Resource1]]&lt;&gt;"")+(Tasks[[#This Row],[_Res2]]&lt;&gt;"")+(Tasks[[#This Row],[_Res3]]&lt;&gt;"")+(Tasks[[#This Row],[_Res4]]&lt;&gt;""))</f>
        <v/>
      </c>
      <c r="DV63" s="42">
        <f>IF(Tasks[[#This Row],[_Res2Text]]="","",IF(Tasks[[#This Row],[_Res2Row]]&gt;0,INDEX(res_Name,Tasks[[#This Row],[_Res2Row]]),TRIM(LEFT(Tasks[[#This Row],[_Res2Text]],FIND("[",Tasks[[#This Row],[_Res2Text]]&amp;"[")-1))))</f>
        <v/>
      </c>
      <c r="DW6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3" s="42">
        <f>IF(OR(NOT(Tasks[[#This Row],[_IsLeaf]]=1),Tasks[[#This Row],[_Res2Row]]=0),0,N(Tasks[[#This Row],[_Days]])*HoursPerDay*IF(Tasks[[#This Row],[_Res2Units]]="",DefaultUnits,Tasks[[#This Row],[_Res2Units]]))</f>
        <v/>
      </c>
      <c r="DY63" s="42">
        <f>IF(AND(AND(Tasks[[#This Row],[_IsLeaf]]=1,Tasks[[#This Row],[_LeafTotalWork]]&gt;0),Tasks[[#This Row],[_Res2Work]]&gt;0),Tasks[[#This Row],[_Res2Work]]/(Tasks[[#This Row],[_FinishWorkday]]-Tasks[[#This Row],[_StartWorkday]]+1),0)</f>
        <v/>
      </c>
      <c r="DZ63" s="42">
        <f>Tasks[[#This Row],[_Res2WorkPerWD]]*MAX(0,Tasks[[#This Row],[_StartWorkday]]-1)</f>
        <v/>
      </c>
      <c r="EA63" s="42">
        <f>Tasks[[#This Row],[_Res2Work]]*Tasks[[#This Row],[_LeafProgress]]</f>
        <v/>
      </c>
      <c r="EB63" s="42">
        <f>IF(Tasks[[#This Row],[_Res3Text]]="","",IF(Tasks[[#This Row],[_Res3Row]]&gt;0,INDEX(res_Name,Tasks[[#This Row],[_Res3Row]]),TRIM(LEFT(Tasks[[#This Row],[_Res3Text]],FIND("[",Tasks[[#This Row],[_Res3Text]]&amp;"[")-1))))</f>
        <v/>
      </c>
      <c r="EC6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3" s="42">
        <f>IF(OR(NOT(Tasks[[#This Row],[_IsLeaf]]=1),Tasks[[#This Row],[_Res3Row]]=0),0,N(Tasks[[#This Row],[_Days]])*HoursPerDay*IF(Tasks[[#This Row],[_Res3Units]]="",DefaultUnits,Tasks[[#This Row],[_Res3Units]]))</f>
        <v/>
      </c>
      <c r="EE63" s="42">
        <f>IF(AND(AND(Tasks[[#This Row],[_IsLeaf]]=1,Tasks[[#This Row],[_LeafTotalWork]]&gt;0),Tasks[[#This Row],[_Res3Work]]&gt;0),Tasks[[#This Row],[_Res3Work]]/(Tasks[[#This Row],[_FinishWorkday]]-Tasks[[#This Row],[_StartWorkday]]+1),0)</f>
        <v/>
      </c>
      <c r="EF63" s="42">
        <f>Tasks[[#This Row],[_Res3WorkPerWD]]*MAX(0,Tasks[[#This Row],[_StartWorkday]]-1)</f>
        <v/>
      </c>
      <c r="EG63" s="42">
        <f>Tasks[[#This Row],[_Res3Work]]*Tasks[[#This Row],[_LeafProgress]]</f>
        <v/>
      </c>
      <c r="EH63" s="42">
        <f>IF(Tasks[[#This Row],[_Res4Text]]="","",IF(Tasks[[#This Row],[_Res4Row]]&gt;0,INDEX(res_Name,Tasks[[#This Row],[_Res4Row]]),TRIM(LEFT(Tasks[[#This Row],[_Res4Text]],FIND("[",Tasks[[#This Row],[_Res4Text]]&amp;"[")-1))))</f>
        <v/>
      </c>
      <c r="EI6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3" s="42">
        <f>IF(OR(NOT(Tasks[[#This Row],[_IsLeaf]]=1),Tasks[[#This Row],[_Res4Row]]=0),0,N(Tasks[[#This Row],[_Days]])*HoursPerDay*IF(Tasks[[#This Row],[_Res4Units]]="",DefaultUnits,Tasks[[#This Row],[_Res4Units]]))</f>
        <v/>
      </c>
      <c r="EK63" s="42">
        <f>IF(AND(AND(Tasks[[#This Row],[_IsLeaf]]=1,Tasks[[#This Row],[_LeafTotalWork]]&gt;0),Tasks[[#This Row],[_Res4Work]]&gt;0),Tasks[[#This Row],[_Res4Work]]/(Tasks[[#This Row],[_FinishWorkday]]-Tasks[[#This Row],[_StartWorkday]]+1),0)</f>
        <v/>
      </c>
      <c r="EL63" s="42">
        <f>Tasks[[#This Row],[_Res4WorkPerWD]]*MAX(0,Tasks[[#This Row],[_StartWorkday]]-1)</f>
        <v/>
      </c>
      <c r="EM63" s="42">
        <f>Tasks[[#This Row],[_Res4Work]]*Tasks[[#This Row],[_LeafProgress]]</f>
        <v/>
      </c>
      <c r="EN63" s="42">
        <f>IF(ISNUMBER(Tasks[[#This Row],[% Complete]]),Tasks[[#This Row],[% Complete]],IF(Tasks[[#This Row],[Stage]]="",0,IFERROR(INDEX(stg_Pct,MATCH(Tasks[[#This Row],[Stage]],stg_Name,0)),0)))</f>
        <v/>
      </c>
      <c r="EO63" s="42">
        <f>IF(NOT(Tasks[[#This Row],[_IsLeaf]]=1),0,IF(N(Tasks[[#This Row],[Actual Finish]])&gt;0,1,MIN(1,Tasks[[#This Row],[_Pct]])))</f>
        <v/>
      </c>
      <c r="EP63" s="42">
        <f>IF(OR(NOT(Tasks[[#This Row],[_IsLeaf]]=1),Tasks[[#This Row],[_Res1Row]]=0),0,N(Tasks[[#This Row],[_Days]])*HoursPerDay*IF(Tasks[[#This Row],[_Units1]]="",DefaultUnits,Tasks[[#This Row],[_Units1]]))</f>
        <v/>
      </c>
      <c r="EQ63" s="42">
        <f>Tasks[[#This Row],[_LeafWork]]+Tasks[[#This Row],[_Res2Work]]+Tasks[[#This Row],[_Res3Work]]+Tasks[[#This Row],[_Res4Work]]</f>
        <v/>
      </c>
      <c r="ER6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3" s="42">
        <f>IF(NOT(Tasks[[#This Row],[_IsLeaf]]=1),0,MAX(_xlfn.MAXIFS(Tasks[_Row],Tasks[_Pred1UID],Tasks[[#This Row],[UID]]),_xlfn.MAXIFS(Tasks[_Row],Tasks[_Pred2UID],Tasks[[#This Row],[UID]]),_xlfn.MAXIFS(Tasks[_Row],Tasks[_Pred3UID],Tasks[[#This Row],[UID]]),_xlfn.MAXIFS(Tasks[_Row],Tasks[_Pred4UID],Tasks[[#This Row],[UID]])))</f>
        <v/>
      </c>
      <c r="FA6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3" s="88">
        <f>IF(NOT(Tasks[[#This Row],[_IsLeaf]]=1),"",IF(N(Tasks[[#This Row],[_Days]])&lt;=0,Tasks[[#This Row],[_LeafLateFinish]],WORKDAY.INTL(Tasks[[#This Row],[_LeafLateFinish]],-(Tasks[[#This Row],[_Days]]-1),WorkWeek,Holidays)))</f>
        <v/>
      </c>
      <c r="FD6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3" s="42">
        <f>AND(Tasks[[#This Row],[_IsLeaf]]=1,Tasks[[#This Row],[_LeafProgress]]&lt;1,N(Tasks[[#This Row],[_LeafTotalSlack]])&lt;=CriticalSlackDays)</f>
        <v/>
      </c>
      <c r="FF63" s="42">
        <f>IF(AND(Tasks[[#This Row],[_IsLeaf]]=1,Tasks[[#This Row],[_ConstraintCode]]=1,Tasks[[#This Row],[Mode]]&lt;&gt;"Manual",N(Tasks[[#This Row],[Actual Start]])=0),MAX(0,N(Tasks[[#This Row],[Free Slack]])),0)</f>
        <v/>
      </c>
      <c r="FG63" s="88">
        <f>IF(NOT(Tasks[[#This Row],[_IsLeaf]]=1),"",IF(Tasks[[#This Row],[_AlapShift]]=0,Tasks[[#This Row],[_LeafCalcStart]],WORKDAY.INTL(Tasks[[#This Row],[_LeafCalcStart]],Tasks[[#This Row],[_AlapShift]],WorkWeek,Holidays)))</f>
        <v/>
      </c>
      <c r="FH63" s="88">
        <f>IF(NOT(Tasks[[#This Row],[_IsLeaf]]=1),"",IF(Tasks[[#This Row],[_AlapShift]]=0,Tasks[[#This Row],[_LeafCalcFinish]],WORKDAY.INTL(Tasks[[#This Row],[_LeafCalcFinish]],Tasks[[#This Row],[_AlapShift]],WorkWeek,Holidays)))</f>
        <v/>
      </c>
      <c r="FI63" s="88">
        <f>IF(NOT(Tasks[[#This Row],[_IsLeaf]]=1),"",IF(Tasks[[#This Row],[_AlapShift]]=0,Tasks[[#This Row],[_LeafFcstStart]],WORKDAY.INTL(Tasks[[#This Row],[_LeafFcstStart]],Tasks[[#This Row],[_AlapShift]],WorkWeek,Holidays)))</f>
        <v/>
      </c>
      <c r="FJ63" s="88">
        <f>IF(NOT(Tasks[[#This Row],[_IsLeaf]]=1),"",IF(Tasks[[#This Row],[_AlapShift]]=0,Tasks[[#This Row],[_LeafFcstFinish]],WORKDAY.INTL(Tasks[[#This Row],[_LeafFcstFinish]],Tasks[[#This Row],[_AlapShift]],WorkWeek,Holidays)))</f>
        <v/>
      </c>
      <c r="FK63" s="88">
        <f>IF(Tasks[[#This Row],[Task Name]]="","",IF(Tasks[[#This Row],[_IsSummary]],MIN(INDEX(Tasks[_ShownCalcStart],Tasks[[#This Row],[_Row]]+1):INDEX(Tasks[_ShownCalcStart],Tasks[[#This Row],[_Row]]+Tasks[[#This Row],[_Descendants]])),Tasks[[#This Row],[_ShownCalcStart]]))</f>
        <v/>
      </c>
      <c r="FL63" s="88">
        <f>IF(Tasks[[#This Row],[Task Name]]="","",IF(Tasks[[#This Row],[_IsSummary]],MAX(INDEX(Tasks[_ShownCalcFinish],Tasks[[#This Row],[_Row]]+1):INDEX(Tasks[_ShownCalcFinish],Tasks[[#This Row],[_Row]]+Tasks[[#This Row],[_Descendants]])),Tasks[[#This Row],[_ShownCalcFinish]]))</f>
        <v/>
      </c>
      <c r="FM6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3" s="42">
        <f>IF(AND(Tasks[[#This Row],[_IsLeaf]]=1,Tasks[[#This Row],[_LeafTotalWork]]&gt;0),NETWORKDAYS.INTL(ProjectStart,Tasks[[#This Row],[_ShownFcstStart]],WorkWeek,Holidays),0)</f>
        <v/>
      </c>
      <c r="FZ63" s="42">
        <f>IF(AND(Tasks[[#This Row],[_IsLeaf]]=1,Tasks[[#This Row],[_LeafTotalWork]]&gt;0),MAX(Tasks[[#This Row],[_StartWorkday]],NETWORKDAYS.INTL(ProjectStart,Tasks[[#This Row],[_ShownFcstFinish]],WorkWeek,Holidays)),0)</f>
        <v/>
      </c>
      <c r="GA63" s="42">
        <f>IF(AND(Tasks[[#This Row],[_IsLeaf]]=1,Tasks[[#This Row],[_LeafTotalWork]]&gt;0),Tasks[[#This Row],[_LeafWork]]/(Tasks[[#This Row],[_FinishWorkday]]-Tasks[[#This Row],[_StartWorkday]]+1),0)</f>
        <v/>
      </c>
      <c r="GB63" s="42">
        <f>Tasks[[#This Row],[_WorkPerWorkday]]*(Tasks[[#This Row],[_StartWorkday]]-1)</f>
        <v/>
      </c>
      <c r="GC63" s="42">
        <f>IF(Tasks[[#This Row],[_IsLeaf]]=1,MAX(N(Tasks[[#This Row],[_Days]]),0.1),0)</f>
        <v/>
      </c>
      <c r="GD63" s="42">
        <f>Tasks[[#This Row],[_WeightDur]]*Tasks[[#This Row],[_LeafProgress]]</f>
        <v/>
      </c>
      <c r="GE63" s="42">
        <f>Tasks[[#This Row],[_WeightDur]]*Tasks[[#This Row],[_PlannedPct]]</f>
        <v/>
      </c>
      <c r="GF6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3" s="42">
        <f>IF(AND(Tasks[[#This Row],[_IsLeaf]]=1,N(Tasks[[#This Row],[_Days]])=0,Tasks[[#This Row],[_LeafProgress]]&lt;1),Tasks[[#This Row],[_ShownFcstFinish]]+Tasks[[#This Row],[_Row]]/100000,"")</f>
        <v/>
      </c>
      <c r="GH6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3" s="42">
        <f>IF(Tasks[[#This Row],[Task Name]]="","",LEFT(Tasks[[#This Row],[WBS]],FIND(".",Tasks[[#This Row],[WBS]]&amp;".")-1))</f>
        <v/>
      </c>
      <c r="GJ63" s="42">
        <f>IF(AND(Tasks[[#This Row],[Task Name]]&lt;&gt;"",Tasks[[#This Row],[_Level]]=1),Tasks[[#This Row],[_Row]],"")</f>
        <v/>
      </c>
      <c r="GK63" s="42">
        <f>IF(AND(Tasks[[#This Row],[_IsLeaf]]=1,N(Tasks[[#This Row],[_Days]])=0),Tasks[[#This Row],[Planned Finish]]+Tasks[[#This Row],[_Row]]/100000,"")</f>
        <v/>
      </c>
      <c r="GL63" s="42">
        <f>IF(AND(Tasks[[#This Row],[_IsLeaf]]=1,Tasks[[#This Row],[_LeafProgress]]&lt;1,OR(N(Tasks[[#This Row],[Finish Var]])&gt;0,Tasks[[#This Row],[Status]]="Late Start")),MAX(0,Tasks[[#This Row],[Finish Var]])+1-Tasks[[#This Row],[_Row]]/1000000,"")</f>
        <v/>
      </c>
      <c r="GM63" s="42">
        <f>IF(AND(Tasks[[#This Row],[_IsLeaf]]=1,N(Tasks[[#This Row],[Actual Start]])=0,Tasks[[#This Row],[_ShownFcstStart]]&gt;=StatusDate,Tasks[[#This Row],[_ShownFcstStart]]&lt;=LookaheadEnd),Tasks[[#This Row],[_ShownFcstStart]]+Tasks[[#This Row],[_Row]]/100000,"")</f>
        <v/>
      </c>
      <c r="GN63" s="42">
        <f>IF(AND(Tasks[[#This Row],[_IsLeaf]]=1,Tasks[[#This Row],[_LeafProgress]]&lt;1,Tasks[[#This Row],[_ShownFcstFinish]]&gt;=StatusDate,Tasks[[#This Row],[_ShownFcstFinish]]&lt;=LookaheadEnd),Tasks[[#This Row],[_ShownFcstFinish]]+Tasks[[#This Row],[_Row]]/100000,"")</f>
        <v/>
      </c>
      <c r="GO63" s="42">
        <f>IF(Tasks[[#This Row],[_LeafCritical]],Tasks[[#This Row],[_ShownFcstStart]]+Tasks[[#This Row],[_Row]]/100000,"")</f>
        <v/>
      </c>
      <c r="GP63" s="42">
        <f>Tasks[[#This Row],[_LeafWork]]*Tasks[[#This Row],[_LeafProgress]]</f>
        <v/>
      </c>
      <c r="GQ63" s="88">
        <f>IF(AND(Tasks[[#This Row],[_IsLeaf]]=1,Tasks[[#This Row],[_LeafProgress]]&gt;=1),IF(N(Tasks[[#This Row],[Actual Finish]])&gt;0,Tasks[[#This Row],[Actual Finish]],Tasks[[#This Row],[_ShownFcstFinish]]),"")</f>
        <v/>
      </c>
      <c r="GR63" s="42">
        <f>IF(Tasks[[#This Row],[_IsLeaf]]=1,N(Tasks[[#This Row],[Story Points]]),0)</f>
        <v/>
      </c>
      <c r="GS63" s="42">
        <f>""</f>
        <v/>
      </c>
      <c r="GT63" s="42">
        <f>IF(Tasks[[#This Row],[Task Name]]="",FALSE(),AND(Tasks[[#This Row],[_IsLeaf]]=1,N(Tasks[[#This Row],[_Days]])=0))</f>
        <v/>
      </c>
      <c r="GU63" s="88">
        <f>IF(Tasks[[#This Row],[Task Name]]="",0,IF(AND(Tasks[[#This Row],[_IsLeaf]]=1,NOT(Tasks[[#This Row],[_IsMilestone]]),N(Tasks[[#This Row],[Progress]])&gt;0),Tasks[[#This Row],[Start]],0))</f>
        <v/>
      </c>
      <c r="GV63" s="88">
        <f>IF(Tasks[[#This Row],[_DoneFrom]]=0,0,IF(Tasks[[#This Row],[Progress]]&gt;=1,Tasks[[#This Row],[Finish]],MAX(Tasks[[#This Row],[_DoneFrom]],Tasks[[#This Row],[Start]]+ROUND((Tasks[[#This Row],[Finish]]-Tasks[[#This Row],[Start]]+1)*Tasks[[#This Row],[Progress]],0)-1)))</f>
        <v/>
      </c>
      <c r="GW63" s="88">
        <f>IF(Tasks[[#This Row],[Task Name]]="",0,IF(OR(NOT(Tasks[[#This Row],[_IsLeaf]]=1),Tasks[[#This Row],[_IsMilestone]],N(Tasks[[#This Row],[Progress]])&gt;=1),0,IF(Tasks[[#This Row],[_DoneTo]]&gt;0,Tasks[[#This Row],[_DoneTo]]+1,Tasks[[#This Row],[Start]])))</f>
        <v/>
      </c>
      <c r="GX63" s="88">
        <f>IF(Tasks[[#This Row],[_RemFrom]]=0,0,Tasks[[#This Row],[Finish]])</f>
        <v/>
      </c>
      <c r="GY63" s="42">
        <f>IF(Tasks[[#This Row],[Task Name]]="",FALSE(),OR(NOT(BaselineSet),N(Tasks[[#This Row],[Baseline Start]])&gt;0))</f>
        <v/>
      </c>
      <c r="GZ63" s="42">
        <f>IF(AND(Sandbox="Yes",L_PARSE_DURATION(Tasks[[#This Row],[Sandbox Duration]])&lt;&gt;""),L_PARSE_DURATION(Tasks[[#This Row],[Sandbox Duration]]),L_PARSE_DURATION(Tasks[[#This Row],[Duration]]))</f>
        <v/>
      </c>
      <c r="HA6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3" s="42">
        <f>IF(Tasks[[#This Row],[_IsLeaf]]=1,Tasks[[#This Row],[_Row]],"")</f>
        <v/>
      </c>
      <c r="HD63" s="42">
        <f>IFERROR(INDEX(Tasks[UID],SMALL(Tasks[_PickKey],Tasks[[#This Row],[_Row]]))&amp;" "&amp;INDEX(Tasks[Task Name],SMALL(Tasks[_PickKey],Tasks[[#This Row],[_Row]])),"")</f>
        <v/>
      </c>
      <c r="HE63" s="42">
        <f>IF(Tasks[[#This Row],[Task Name]]="","",IF(Tasks[[#This Row],[_IsSummary]],NETWORKDAYS.INTL(Tasks[[#This Row],[Start]],Tasks[[#This Row],[Finish]],WorkWeek,Holidays),N(Tasks[[#This Row],[_Days]])))</f>
        <v/>
      </c>
      <c r="HF63" s="42">
        <f>IF(Tasks[[#This Row],[Expected]]="",0,((Tasks[[#This Row],[Pessimistic]]-Tasks[[#This Row],[Optimistic]])/6)^2)</f>
        <v/>
      </c>
      <c r="HG63" s="42">
        <f>IF(Tasks[[#This Row],[Expected]]="",0,Tasks[[#This Row],[Expected]]-N(Tasks[[#This Row],[_Days]]))</f>
        <v/>
      </c>
    </row>
    <row r="64">
      <c r="A64" s="21">
        <f>IF(Tasks[[#This Row],[Task Name]]="","",COUNTA(Tasks[[#Headers],[Task Name]]:Tasks[[#This Row],[Task Name]])-1)</f>
        <v/>
      </c>
      <c r="B64" s="22" t="n">
        <v>72</v>
      </c>
      <c r="C64" s="22" t="n"/>
      <c r="D64" s="23" t="n"/>
      <c r="E64" s="22" t="n"/>
      <c r="F64" s="23" t="n"/>
      <c r="G64" s="22" t="n"/>
      <c r="H64" s="22" t="n"/>
      <c r="I64" s="23" t="n"/>
      <c r="J64" s="22" t="n"/>
      <c r="K64" s="22" t="n"/>
      <c r="L64" s="23" t="n"/>
      <c r="M64" s="22" t="n"/>
      <c r="N64" s="22" t="n"/>
      <c r="O64" s="23" t="n"/>
      <c r="P64" s="22" t="n"/>
      <c r="Q64" s="22" t="n"/>
      <c r="R64" s="23" t="n"/>
      <c r="S64" s="23" t="n"/>
      <c r="T64" s="82" t="n"/>
      <c r="U64" s="23" t="n"/>
      <c r="V64" s="82" t="n"/>
      <c r="W64" s="23" t="n"/>
      <c r="X64" s="82" t="n"/>
      <c r="Y64" s="23" t="n"/>
      <c r="Z64" s="82" t="n"/>
      <c r="AA64" s="23" t="n"/>
      <c r="AB64" s="23" t="n"/>
      <c r="AC64" s="7" t="n"/>
      <c r="AD64" s="7" t="n"/>
      <c r="AE64" s="61">
        <f>IF(Tasks[[#This Row],[Task Name]]="","",IF(Tasks[[#This Row],[_IsSummary]],MIN(INDEX(Tasks[_ShownFcstStart],Tasks[[#This Row],[_Row]]+1):INDEX(Tasks[_ShownFcstStart],Tasks[[#This Row],[_Row]]+Tasks[[#This Row],[_Descendants]])),Tasks[[#This Row],[_ShownFcstStart]]))</f>
        <v/>
      </c>
      <c r="AF64" s="61">
        <f>IF(Tasks[[#This Row],[Task Name]]="","",IF(Tasks[[#This Row],[_IsSummary]],MAX(INDEX(Tasks[_ShownFcstFinish],Tasks[[#This Row],[_Row]]+1):INDEX(Tasks[_ShownFcstFinish],Tasks[[#This Row],[_Row]]+Tasks[[#This Row],[_Descendants]])),Tasks[[#This Row],[_ShownFcstFinish]]))</f>
        <v/>
      </c>
      <c r="AG64" s="21">
        <f>""</f>
        <v/>
      </c>
      <c r="AH64" s="23" t="n"/>
      <c r="AI6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4" s="7" t="n"/>
      <c r="AK64" s="22" t="n"/>
      <c r="AL64" s="23" t="n"/>
      <c r="AM64" s="7" t="n"/>
      <c r="AN64" s="21">
        <f>IF(Tasks[[#This Row],[Task Name]]="","",IF(Tasks[[#This Row],[Finish]]&gt;=Tasks[[#This Row],[Planned Finish]],NETWORKDAYS.INTL(Tasks[[#This Row],[Planned Finish]],Tasks[[#This Row],[Finish]],WorkWeek,Holidays)-1,1-NETWORKDAYS.INTL(Tasks[[#This Row],[Finish]],Tasks[[#This Row],[Planned Finish]],WorkWeek,Holidays)))</f>
        <v/>
      </c>
      <c r="AO64" s="21">
        <f>IF(Tasks[[#This Row],[Task Name]]="","",IF(Tasks[[#This Row],[Progress]]&gt;=1,"Complete",IF(OR(N(Tasks[[#This Row],[Actual Start]])&gt;0,Tasks[[#This Row],[Progress]]&gt;0),IF(Tasks[[#This Row],[Finish Var]]&gt;0,"Behind","In Progress"),IF(Tasks[[#This Row],[Planned Start]]&lt;StatusDate,"Late Start","Not Started"))))</f>
        <v/>
      </c>
      <c r="AP64" s="21">
        <f>IF(Tasks[[#This Row],[Task Name]]="","",IF(IF(Tasks[[#This Row],[_IsSummary]],COUNTIF(INDEX(Tasks[_LeafCritical],Tasks[[#This Row],[_Row]]+1):INDEX(Tasks[_LeafCritical],Tasks[[#This Row],[_Row]]+Tasks[[#This Row],[_Descendants]]),TRUE())&gt;0,Tasks[[#This Row],[_LeafCritical]]),"Yes",""))</f>
        <v/>
      </c>
      <c r="AQ64" s="61">
        <f>IF(Tasks[[#This Row],[Task Name]]="","",IF(N(Tasks[[#This Row],[Baseline Start]])&gt;0,Tasks[[#This Row],[Baseline Start]],Tasks[[#This Row],[_CalcStart]]))</f>
        <v/>
      </c>
      <c r="AR64" s="61">
        <f>IF(Tasks[[#This Row],[Task Name]]="","",IF(N(Tasks[[#This Row],[Baseline Finish]])&gt;0,Tasks[[#This Row],[Baseline Finish]],Tasks[[#This Row],[_CalcFinish]]))</f>
        <v/>
      </c>
      <c r="AS64" s="21">
        <f>IF(Tasks[[#This Row],[Task Name]]="","",IF(Tasks[[#This Row],[Start]]&gt;=Tasks[[#This Row],[Planned Start]],NETWORKDAYS.INTL(Tasks[[#This Row],[Planned Start]],Tasks[[#This Row],[Start]],WorkWeek,Holidays)-1,1-NETWORKDAYS.INTL(Tasks[[#This Row],[Start]],Tasks[[#This Row],[Planned Start]],WorkWeek,Holidays)))</f>
        <v/>
      </c>
      <c r="AT64" s="61">
        <f>IF(Tasks[[#This Row],[Task Name]]="","",IF(Tasks[[#This Row],[_IsSummary]],MIN(INDEX(Tasks[_LeafLateStart],Tasks[[#This Row],[_Row]]+1):INDEX(Tasks[_LeafLateStart],Tasks[[#This Row],[_Row]]+Tasks[[#This Row],[_Descendants]])),Tasks[[#This Row],[_LeafLateStart]]))</f>
        <v/>
      </c>
      <c r="AU64" s="61">
        <f>IF(Tasks[[#This Row],[Task Name]]="","",IF(Tasks[[#This Row],[_IsSummary]],MAX(INDEX(Tasks[_LeafLateFinish],Tasks[[#This Row],[_Row]]+1):INDEX(Tasks[_LeafLateFinish],Tasks[[#This Row],[_Row]]+Tasks[[#This Row],[_Descendants]])),Tasks[[#This Row],[_LeafLateFinish]]))</f>
        <v/>
      </c>
      <c r="AV64" s="21">
        <f>IF(Tasks[[#This Row],[Task Name]]="","",IF(Tasks[[#This Row],[_IsSummary]],MIN(INDEX(Tasks[_LeafTotalSlack],Tasks[[#This Row],[_Row]]+1):INDEX(Tasks[_LeafTotalSlack],Tasks[[#This Row],[_Row]]+Tasks[[#This Row],[_Descendants]])),Tasks[[#This Row],[_LeafTotalSlack]]))</f>
        <v/>
      </c>
      <c r="AW6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3" t="n"/>
      <c r="BA6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f>IF(Tasks[[#This Row],[Task Name]]="","",IF(Tasks[[#This Row],[_Level]]&lt;=OutlineShowLevel,"Yes","No"))</f>
        <v/>
      </c>
      <c r="BE64" s="84">
        <f>IF(Tasks[[#This Row],[Task Name]]="","",IF(Tasks[[#This Row],[_IsSummary]],SUM(INDEX(Tasks[_LeafTotalWork],Tasks[[#This Row],[_Row]]+1):INDEX(Tasks[_LeafTotalWork],Tasks[[#This Row],[_Row]]+Tasks[[#This Row],[_Descendants]])),Tasks[[#This Row],[_LeafTotalWork]]))</f>
        <v/>
      </c>
      <c r="BF64" s="23" t="n"/>
      <c r="BG6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f>""</f>
        <v/>
      </c>
      <c r="BI64" s="85" t="n"/>
      <c r="BJ64" s="22" t="n"/>
      <c r="BK64" s="21">
        <f>IF(OR(Tasks[[#This Row],[Task Name]]="",Tasks[[#This Row],[Baseline Duration]]=""),"",Tasks[[#This Row],[_SpanDays]]-N(Tasks[[#This Row],[Baseline Duration]]))</f>
        <v/>
      </c>
      <c r="BL64" s="84">
        <f>IF(OR(Tasks[[#This Row],[Task Name]]="",Tasks[[#This Row],[Baseline Work]]=""),"",Tasks[[#This Row],[Work]]-N(Tasks[[#This Row],[Baseline Work]]))</f>
        <v/>
      </c>
      <c r="BM64" s="61">
        <f>IF(Tasks[[#This Row],[Task Name]]="","",IF(OR(TakeBaseline="Yes",N(Tasks[[#This Row],[Baseline Start]])=0),Tasks[[#This Row],[Start]],Tasks[[#This Row],[Baseline Start]]))</f>
        <v/>
      </c>
      <c r="BN64" s="61">
        <f>IF(Tasks[[#This Row],[Task Name]]="","",IF(OR(TakeBaseline="Yes",N(Tasks[[#This Row],[Baseline Finish]])=0),Tasks[[#This Row],[Finish]],Tasks[[#This Row],[Baseline Finish]]))</f>
        <v/>
      </c>
      <c r="BO64" s="21">
        <f>IF(Tasks[[#This Row],[Task Name]]="","",IF(OR(TakeBaseline="Yes",N(Tasks[[#This Row],[Baseline Duration]])=0),Tasks[[#This Row],[_SpanDays]],Tasks[[#This Row],[Baseline Duration]]))</f>
        <v/>
      </c>
      <c r="BP64" s="84">
        <f>IF(Tasks[[#This Row],[Task Name]]="","",IF(OR(TakeBaseline="Yes",N(Tasks[[#This Row],[Baseline Work]])=0),Tasks[[#This Row],[Work]],Tasks[[#This Row],[Baseline Work]]))</f>
        <v/>
      </c>
      <c r="BQ64" s="7" t="n"/>
      <c r="BR64" s="7" t="n"/>
      <c r="BS64" s="22" t="n"/>
      <c r="BT64" s="86" t="n"/>
      <c r="BU64" s="23" t="n"/>
      <c r="BV64" s="23" t="n"/>
      <c r="BW64" s="23" t="n"/>
      <c r="BX64" s="87">
        <f>IF(AND(Tasks[[#This Row],[_IsLeaf]]=1,ISNUMBER(Tasks[[#This Row],[Optimistic]]),ISNUMBER(Tasks[[#This Row],[Pessimistic]])),ROUND((Tasks[[#This Row],[Optimistic]]+4*N(Tasks[[#This Row],[_Days]])+Tasks[[#This Row],[Pessimistic]])/6,1),"")</f>
        <v/>
      </c>
      <c r="BY64" s="85" t="n"/>
      <c r="BZ64" s="85" t="n"/>
      <c r="CA64" s="22" t="n"/>
      <c r="CB64" s="42">
        <f>IF(Tasks[[#This Row],[Task Name]]="","",MAX(1,N(Tasks[[#This Row],[Level]])))</f>
        <v/>
      </c>
      <c r="CC64" s="42">
        <f>ROW()-ROW(Tasks[[#Headers],[ID]])</f>
        <v/>
      </c>
      <c r="CD64" s="42">
        <f>IF(OR(Tasks[[#This Row],[Task Name]]="",Tasks[[#This Row],[_Level]]&lt;=1),0,IFERROR(LOOKUP(2,1/(Tasks[[#Headers],[_Level]]:Tasks[[#This Row],[_Level]]=Tasks[[#This Row],[_Level]]-1),ROW(Tasks[[#Headers],[_Level]]:Tasks[[#This Row],[_Level]])),0))</f>
        <v/>
      </c>
      <c r="CE64" s="42">
        <f>IFERROR(N(INDEX(Tasks[_Level],Tasks[[#This Row],[_Row]]+1)),0)</f>
        <v/>
      </c>
      <c r="CF64" s="42">
        <f>AND(Tasks[[#This Row],[Task Name]]&lt;&gt;"",Tasks[[#This Row],[_NextLevel]]&gt;Tasks[[#This Row],[_Level]])</f>
        <v/>
      </c>
      <c r="CG64" s="42">
        <f>IF(Tasks[[#This Row],[_IsSummary]],COUNTIF(Tasks[WBS],Tasks[[#This Row],[WBS]]&amp;".*"),0)</f>
        <v/>
      </c>
      <c r="CH64" s="42">
        <f>IF(AND(Tasks[[#This Row],[Task Name]]&lt;&gt;"",NOT(Tasks[[#This Row],[_IsSummary]])),1,0)</f>
        <v/>
      </c>
      <c r="CI64" s="42">
        <f>IF(N(Tasks[[#This Row],[_Pred1UID]])=0,0,IFERROR(MATCH(Tasks[[#This Row],[_Pred1UID]],Tasks[UID],0),-1))</f>
        <v/>
      </c>
      <c r="CJ64" s="42">
        <f>IF(N(Tasks[[#This Row],[_Pred2UID]])=0,0,IFERROR(MATCH(Tasks[[#This Row],[_Pred2UID]],Tasks[UID],0),-1))</f>
        <v/>
      </c>
      <c r="CK64" s="42">
        <f>IF(N(Tasks[[#This Row],[_Pred3UID]])=0,0,IFERROR(MATCH(Tasks[[#This Row],[_Pred3UID]],Tasks[UID],0),-1))</f>
        <v/>
      </c>
      <c r="CL64" s="42">
        <f>IF(N(Tasks[[#This Row],[_Pred4UID]])=0,0,IFERROR(MATCH(Tasks[[#This Row],[_Pred4UID]],Tasks[UID],0),-1))</f>
        <v/>
      </c>
      <c r="CM6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4" s="88">
        <f>IF(N(Tasks[[#This Row],[Constraint Date]])=0,0,IF(AND(OR(Tasks[[#This Row],[_ConstraintCode]]=3,Tasks[[#This Row],[_ConstraintCode]]=6,Tasks[[#This Row],[_ConstraintCode]]=7),N(Tasks[[#This Row],[_Days]])&gt;1),WORKDAY.INTL(N(Tasks[[#This Row],[Constraint Date]]),-(N(Tasks[[#This Row],[_Days]])-1),WorkWeek,Holidays),N(Tasks[[#This Row],[Constraint Date]])))</f>
        <v/>
      </c>
      <c r="CO64" s="88">
        <f>IF(OR(Tasks[[#This Row],[_ConstraintCode]]=2,Tasks[[#This Row],[_ConstraintCode]]=3,Tasks[[#This Row],[_ConstraintCode]]=4,Tasks[[#This Row],[_ConstraintCode]]=6),Tasks[[#This Row],[_ConstraintStart]],0)</f>
        <v/>
      </c>
      <c r="CP64" s="88">
        <f>IF(OR(Tasks[[#This Row],[_ConstraintCode]]=2,Tasks[[#This Row],[_ConstraintCode]]=3,Tasks[[#This Row],[_ConstraintCode]]=5,Tasks[[#This Row],[_ConstraintCode]]=7),Tasks[[#This Row],[_ConstraintStart]],2958465)</f>
        <v/>
      </c>
      <c r="CQ6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4" s="88">
        <f>IF(NOT(Tasks[[#This Row],[_IsLeaf]]=1),"",IF(N(Tasks[[#This Row],[_Days]])&lt;=0,Tasks[[#This Row],[_LeafCalcStart]],WORKDAY.INTL(Tasks[[#This Row],[_LeafCalcStart]],Tasks[[#This Row],[_Days]]-1,WorkWeek,Holidays)))</f>
        <v/>
      </c>
      <c r="CS6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4" s="42">
        <f>IF(Tasks[[#This Row],[_Predecessors]]="","",TRIM(MID(SUBSTITUTE(SUBSTITUTE(SUBSTITUTE(UPPER(Tasks[[#This Row],[_Predecessors]]),";",",")," ",""),",",REPT(" ",99)),1,99)))</f>
        <v/>
      </c>
      <c r="CV64" s="42">
        <f>IF(Tasks[[#This Row],[_Pred1Text]]="","",IFERROR(VALUE(LEFT(Tasks[[#This Row],[_Pred1Text]],MIN(FIND("F",Tasks[[#This Row],[_Pred1Text]]&amp;"F"),FIND("S",Tasks[[#This Row],[_Pred1Text]]&amp;"S"),FIND("+",Tasks[[#This Row],[_Pred1Text]]&amp;"+"),FIND("-",Tasks[[#This Row],[_Pred1Text]]&amp;"-"))-1)),""))</f>
        <v/>
      </c>
      <c r="CW6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4" s="42">
        <f>IF(Tasks[[#This Row],[_Pred1Text]]="","",TRIM(MID(SUBSTITUTE(SUBSTITUTE(SUBSTITUTE(UPPER(Tasks[[#This Row],[_Predecessors]]),";",",")," ",""),",",REPT(" ",99)),100,99)))</f>
        <v/>
      </c>
      <c r="CZ64" s="42">
        <f>IF(Tasks[[#This Row],[_Pred2Text]]="","",IFERROR(VALUE(LEFT(Tasks[[#This Row],[_Pred2Text]],MIN(FIND("F",Tasks[[#This Row],[_Pred2Text]]&amp;"F"),FIND("S",Tasks[[#This Row],[_Pred2Text]]&amp;"S"),FIND("+",Tasks[[#This Row],[_Pred2Text]]&amp;"+"),FIND("-",Tasks[[#This Row],[_Pred2Text]]&amp;"-"))-1)),""))</f>
        <v/>
      </c>
      <c r="DA6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4" s="42">
        <f>IF(Tasks[[#This Row],[_Pred2Text]]="","",TRIM(MID(SUBSTITUTE(SUBSTITUTE(SUBSTITUTE(UPPER(Tasks[[#This Row],[_Predecessors]]),";",",")," ",""),",",REPT(" ",99)),199,99)))</f>
        <v/>
      </c>
      <c r="DD64" s="42">
        <f>IF(Tasks[[#This Row],[_Pred3Text]]="","",IFERROR(VALUE(LEFT(Tasks[[#This Row],[_Pred3Text]],MIN(FIND("F",Tasks[[#This Row],[_Pred3Text]]&amp;"F"),FIND("S",Tasks[[#This Row],[_Pred3Text]]&amp;"S"),FIND("+",Tasks[[#This Row],[_Pred3Text]]&amp;"+"),FIND("-",Tasks[[#This Row],[_Pred3Text]]&amp;"-"))-1)),""))</f>
        <v/>
      </c>
      <c r="DE6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4" s="42">
        <f>IF(Tasks[[#This Row],[_Pred3Text]]="","",TRIM(MID(SUBSTITUTE(SUBSTITUTE(SUBSTITUTE(UPPER(Tasks[[#This Row],[_Predecessors]]),";",",")," ",""),",",REPT(" ",99)),298,99)))</f>
        <v/>
      </c>
      <c r="DH64" s="42">
        <f>IF(Tasks[[#This Row],[_Pred4Text]]="","",IFERROR(VALUE(LEFT(Tasks[[#This Row],[_Pred4Text]],MIN(FIND("F",Tasks[[#This Row],[_Pred4Text]]&amp;"F"),FIND("S",Tasks[[#This Row],[_Pred4Text]]&amp;"S"),FIND("+",Tasks[[#This Row],[_Pred4Text]]&amp;"+"),FIND("-",Tasks[[#This Row],[_Pred4Text]]&amp;"-"))-1)),""))</f>
        <v/>
      </c>
      <c r="DI6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4" s="42">
        <f>IF(OR(Tasks[[#This Row],[Task Name]]="",Tasks[[#This Row],[_Resources]]=""),"",TRIM(MID(SUBSTITUTE(Tasks[[#This Row],[_Resources]],",",REPT(" ",99)),1,99)))</f>
        <v/>
      </c>
      <c r="DL64" s="42">
        <f>IF(Tasks[[#This Row],[_Res1Text]]="","",TRIM(MID(SUBSTITUTE(Tasks[[#This Row],[_Resources]],",",REPT(" ",99)),100,99)))</f>
        <v/>
      </c>
      <c r="DM64" s="42">
        <f>IF(Tasks[[#This Row],[_Res2Text]]="","",TRIM(MID(SUBSTITUTE(Tasks[[#This Row],[_Resources]],",",REPT(" ",99)),199,99)))</f>
        <v/>
      </c>
      <c r="DN64" s="42">
        <f>IF(Tasks[[#This Row],[_Res3Text]]="","",TRIM(MID(SUBSTITUTE(Tasks[[#This Row],[_Resources]],",",REPT(" ",99)),298,99)))</f>
        <v/>
      </c>
      <c r="DO64" s="42">
        <f>IF(Tasks[[#This Row],[_Res1Text]]="",0,IFERROR(MATCH(TRIM(LEFT(Tasks[[#This Row],[_Res1Text]],FIND("[",Tasks[[#This Row],[_Res1Text]]&amp;"[")-1)),res_Name,0),IFERROR(MATCH(TRIM(LEFT(Tasks[[#This Row],[_Res1Text]],FIND("[",Tasks[[#This Row],[_Res1Text]]&amp;"[")-1)),res_Initials,0),0)))</f>
        <v/>
      </c>
      <c r="DP64" s="42">
        <f>IF(Tasks[[#This Row],[_Res2Text]]="",0,IFERROR(MATCH(TRIM(LEFT(Tasks[[#This Row],[_Res2Text]],FIND("[",Tasks[[#This Row],[_Res2Text]]&amp;"[")-1)),res_Name,0),IFERROR(MATCH(TRIM(LEFT(Tasks[[#This Row],[_Res2Text]],FIND("[",Tasks[[#This Row],[_Res2Text]]&amp;"[")-1)),res_Initials,0),0)))</f>
        <v/>
      </c>
      <c r="DQ64" s="42">
        <f>IF(Tasks[[#This Row],[_Res3Text]]="",0,IFERROR(MATCH(TRIM(LEFT(Tasks[[#This Row],[_Res3Text]],FIND("[",Tasks[[#This Row],[_Res3Text]]&amp;"[")-1)),res_Name,0),IFERROR(MATCH(TRIM(LEFT(Tasks[[#This Row],[_Res3Text]],FIND("[",Tasks[[#This Row],[_Res3Text]]&amp;"[")-1)),res_Initials,0),0)))</f>
        <v/>
      </c>
      <c r="DR64" s="42">
        <f>IF(Tasks[[#This Row],[_Res4Text]]="",0,IFERROR(MATCH(TRIM(LEFT(Tasks[[#This Row],[_Res4Text]],FIND("[",Tasks[[#This Row],[_Res4Text]]&amp;"[")-1)),res_Name,0),IFERROR(MATCH(TRIM(LEFT(Tasks[[#This Row],[_Res4Text]],FIND("[",Tasks[[#This Row],[_Res4Text]]&amp;"[")-1)),res_Initials,0),0)))</f>
        <v/>
      </c>
      <c r="DS64" s="42">
        <f>IF(Tasks[[#This Row],[_Res1Text]]="","",IF(Tasks[[#This Row],[_Res1Row]]&gt;0,INDEX(res_Name,Tasks[[#This Row],[_Res1Row]]),TRIM(LEFT(Tasks[[#This Row],[_Res1Text]],FIND("[",Tasks[[#This Row],[_Res1Text]]&amp;"[")-1))))</f>
        <v/>
      </c>
      <c r="DT6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4" s="42">
        <f>IF(NOT(Tasks[[#This Row],[_IsLeaf]]=1),0,(Tasks[[#This Row],[_Resource1]]&lt;&gt;"")+(Tasks[[#This Row],[_Res2]]&lt;&gt;"")+(Tasks[[#This Row],[_Res3]]&lt;&gt;"")+(Tasks[[#This Row],[_Res4]]&lt;&gt;""))</f>
        <v/>
      </c>
      <c r="DV64" s="42">
        <f>IF(Tasks[[#This Row],[_Res2Text]]="","",IF(Tasks[[#This Row],[_Res2Row]]&gt;0,INDEX(res_Name,Tasks[[#This Row],[_Res2Row]]),TRIM(LEFT(Tasks[[#This Row],[_Res2Text]],FIND("[",Tasks[[#This Row],[_Res2Text]]&amp;"[")-1))))</f>
        <v/>
      </c>
      <c r="DW6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4" s="42">
        <f>IF(OR(NOT(Tasks[[#This Row],[_IsLeaf]]=1),Tasks[[#This Row],[_Res2Row]]=0),0,N(Tasks[[#This Row],[_Days]])*HoursPerDay*IF(Tasks[[#This Row],[_Res2Units]]="",DefaultUnits,Tasks[[#This Row],[_Res2Units]]))</f>
        <v/>
      </c>
      <c r="DY64" s="42">
        <f>IF(AND(AND(Tasks[[#This Row],[_IsLeaf]]=1,Tasks[[#This Row],[_LeafTotalWork]]&gt;0),Tasks[[#This Row],[_Res2Work]]&gt;0),Tasks[[#This Row],[_Res2Work]]/(Tasks[[#This Row],[_FinishWorkday]]-Tasks[[#This Row],[_StartWorkday]]+1),0)</f>
        <v/>
      </c>
      <c r="DZ64" s="42">
        <f>Tasks[[#This Row],[_Res2WorkPerWD]]*MAX(0,Tasks[[#This Row],[_StartWorkday]]-1)</f>
        <v/>
      </c>
      <c r="EA64" s="42">
        <f>Tasks[[#This Row],[_Res2Work]]*Tasks[[#This Row],[_LeafProgress]]</f>
        <v/>
      </c>
      <c r="EB64" s="42">
        <f>IF(Tasks[[#This Row],[_Res3Text]]="","",IF(Tasks[[#This Row],[_Res3Row]]&gt;0,INDEX(res_Name,Tasks[[#This Row],[_Res3Row]]),TRIM(LEFT(Tasks[[#This Row],[_Res3Text]],FIND("[",Tasks[[#This Row],[_Res3Text]]&amp;"[")-1))))</f>
        <v/>
      </c>
      <c r="EC6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4" s="42">
        <f>IF(OR(NOT(Tasks[[#This Row],[_IsLeaf]]=1),Tasks[[#This Row],[_Res3Row]]=0),0,N(Tasks[[#This Row],[_Days]])*HoursPerDay*IF(Tasks[[#This Row],[_Res3Units]]="",DefaultUnits,Tasks[[#This Row],[_Res3Units]]))</f>
        <v/>
      </c>
      <c r="EE64" s="42">
        <f>IF(AND(AND(Tasks[[#This Row],[_IsLeaf]]=1,Tasks[[#This Row],[_LeafTotalWork]]&gt;0),Tasks[[#This Row],[_Res3Work]]&gt;0),Tasks[[#This Row],[_Res3Work]]/(Tasks[[#This Row],[_FinishWorkday]]-Tasks[[#This Row],[_StartWorkday]]+1),0)</f>
        <v/>
      </c>
      <c r="EF64" s="42">
        <f>Tasks[[#This Row],[_Res3WorkPerWD]]*MAX(0,Tasks[[#This Row],[_StartWorkday]]-1)</f>
        <v/>
      </c>
      <c r="EG64" s="42">
        <f>Tasks[[#This Row],[_Res3Work]]*Tasks[[#This Row],[_LeafProgress]]</f>
        <v/>
      </c>
      <c r="EH64" s="42">
        <f>IF(Tasks[[#This Row],[_Res4Text]]="","",IF(Tasks[[#This Row],[_Res4Row]]&gt;0,INDEX(res_Name,Tasks[[#This Row],[_Res4Row]]),TRIM(LEFT(Tasks[[#This Row],[_Res4Text]],FIND("[",Tasks[[#This Row],[_Res4Text]]&amp;"[")-1))))</f>
        <v/>
      </c>
      <c r="EI6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4" s="42">
        <f>IF(OR(NOT(Tasks[[#This Row],[_IsLeaf]]=1),Tasks[[#This Row],[_Res4Row]]=0),0,N(Tasks[[#This Row],[_Days]])*HoursPerDay*IF(Tasks[[#This Row],[_Res4Units]]="",DefaultUnits,Tasks[[#This Row],[_Res4Units]]))</f>
        <v/>
      </c>
      <c r="EK64" s="42">
        <f>IF(AND(AND(Tasks[[#This Row],[_IsLeaf]]=1,Tasks[[#This Row],[_LeafTotalWork]]&gt;0),Tasks[[#This Row],[_Res4Work]]&gt;0),Tasks[[#This Row],[_Res4Work]]/(Tasks[[#This Row],[_FinishWorkday]]-Tasks[[#This Row],[_StartWorkday]]+1),0)</f>
        <v/>
      </c>
      <c r="EL64" s="42">
        <f>Tasks[[#This Row],[_Res4WorkPerWD]]*MAX(0,Tasks[[#This Row],[_StartWorkday]]-1)</f>
        <v/>
      </c>
      <c r="EM64" s="42">
        <f>Tasks[[#This Row],[_Res4Work]]*Tasks[[#This Row],[_LeafProgress]]</f>
        <v/>
      </c>
      <c r="EN64" s="42">
        <f>IF(ISNUMBER(Tasks[[#This Row],[% Complete]]),Tasks[[#This Row],[% Complete]],IF(Tasks[[#This Row],[Stage]]="",0,IFERROR(INDEX(stg_Pct,MATCH(Tasks[[#This Row],[Stage]],stg_Name,0)),0)))</f>
        <v/>
      </c>
      <c r="EO64" s="42">
        <f>IF(NOT(Tasks[[#This Row],[_IsLeaf]]=1),0,IF(N(Tasks[[#This Row],[Actual Finish]])&gt;0,1,MIN(1,Tasks[[#This Row],[_Pct]])))</f>
        <v/>
      </c>
      <c r="EP64" s="42">
        <f>IF(OR(NOT(Tasks[[#This Row],[_IsLeaf]]=1),Tasks[[#This Row],[_Res1Row]]=0),0,N(Tasks[[#This Row],[_Days]])*HoursPerDay*IF(Tasks[[#This Row],[_Units1]]="",DefaultUnits,Tasks[[#This Row],[_Units1]]))</f>
        <v/>
      </c>
      <c r="EQ64" s="42">
        <f>Tasks[[#This Row],[_LeafWork]]+Tasks[[#This Row],[_Res2Work]]+Tasks[[#This Row],[_Res3Work]]+Tasks[[#This Row],[_Res4Work]]</f>
        <v/>
      </c>
      <c r="ER6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4" s="42">
        <f>IF(NOT(Tasks[[#This Row],[_IsLeaf]]=1),0,MAX(_xlfn.MAXIFS(Tasks[_Row],Tasks[_Pred1UID],Tasks[[#This Row],[UID]]),_xlfn.MAXIFS(Tasks[_Row],Tasks[_Pred2UID],Tasks[[#This Row],[UID]]),_xlfn.MAXIFS(Tasks[_Row],Tasks[_Pred3UID],Tasks[[#This Row],[UID]]),_xlfn.MAXIFS(Tasks[_Row],Tasks[_Pred4UID],Tasks[[#This Row],[UID]])))</f>
        <v/>
      </c>
      <c r="FA6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4" s="88">
        <f>IF(NOT(Tasks[[#This Row],[_IsLeaf]]=1),"",IF(N(Tasks[[#This Row],[_Days]])&lt;=0,Tasks[[#This Row],[_LeafLateFinish]],WORKDAY.INTL(Tasks[[#This Row],[_LeafLateFinish]],-(Tasks[[#This Row],[_Days]]-1),WorkWeek,Holidays)))</f>
        <v/>
      </c>
      <c r="FD6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4" s="42">
        <f>AND(Tasks[[#This Row],[_IsLeaf]]=1,Tasks[[#This Row],[_LeafProgress]]&lt;1,N(Tasks[[#This Row],[_LeafTotalSlack]])&lt;=CriticalSlackDays)</f>
        <v/>
      </c>
      <c r="FF64" s="42">
        <f>IF(AND(Tasks[[#This Row],[_IsLeaf]]=1,Tasks[[#This Row],[_ConstraintCode]]=1,Tasks[[#This Row],[Mode]]&lt;&gt;"Manual",N(Tasks[[#This Row],[Actual Start]])=0),MAX(0,N(Tasks[[#This Row],[Free Slack]])),0)</f>
        <v/>
      </c>
      <c r="FG64" s="88">
        <f>IF(NOT(Tasks[[#This Row],[_IsLeaf]]=1),"",IF(Tasks[[#This Row],[_AlapShift]]=0,Tasks[[#This Row],[_LeafCalcStart]],WORKDAY.INTL(Tasks[[#This Row],[_LeafCalcStart]],Tasks[[#This Row],[_AlapShift]],WorkWeek,Holidays)))</f>
        <v/>
      </c>
      <c r="FH64" s="88">
        <f>IF(NOT(Tasks[[#This Row],[_IsLeaf]]=1),"",IF(Tasks[[#This Row],[_AlapShift]]=0,Tasks[[#This Row],[_LeafCalcFinish]],WORKDAY.INTL(Tasks[[#This Row],[_LeafCalcFinish]],Tasks[[#This Row],[_AlapShift]],WorkWeek,Holidays)))</f>
        <v/>
      </c>
      <c r="FI64" s="88">
        <f>IF(NOT(Tasks[[#This Row],[_IsLeaf]]=1),"",IF(Tasks[[#This Row],[_AlapShift]]=0,Tasks[[#This Row],[_LeafFcstStart]],WORKDAY.INTL(Tasks[[#This Row],[_LeafFcstStart]],Tasks[[#This Row],[_AlapShift]],WorkWeek,Holidays)))</f>
        <v/>
      </c>
      <c r="FJ64" s="88">
        <f>IF(NOT(Tasks[[#This Row],[_IsLeaf]]=1),"",IF(Tasks[[#This Row],[_AlapShift]]=0,Tasks[[#This Row],[_LeafFcstFinish]],WORKDAY.INTL(Tasks[[#This Row],[_LeafFcstFinish]],Tasks[[#This Row],[_AlapShift]],WorkWeek,Holidays)))</f>
        <v/>
      </c>
      <c r="FK64" s="88">
        <f>IF(Tasks[[#This Row],[Task Name]]="","",IF(Tasks[[#This Row],[_IsSummary]],MIN(INDEX(Tasks[_ShownCalcStart],Tasks[[#This Row],[_Row]]+1):INDEX(Tasks[_ShownCalcStart],Tasks[[#This Row],[_Row]]+Tasks[[#This Row],[_Descendants]])),Tasks[[#This Row],[_ShownCalcStart]]))</f>
        <v/>
      </c>
      <c r="FL64" s="88">
        <f>IF(Tasks[[#This Row],[Task Name]]="","",IF(Tasks[[#This Row],[_IsSummary]],MAX(INDEX(Tasks[_ShownCalcFinish],Tasks[[#This Row],[_Row]]+1):INDEX(Tasks[_ShownCalcFinish],Tasks[[#This Row],[_Row]]+Tasks[[#This Row],[_Descendants]])),Tasks[[#This Row],[_ShownCalcFinish]]))</f>
        <v/>
      </c>
      <c r="FM6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4" s="42">
        <f>IF(AND(Tasks[[#This Row],[_IsLeaf]]=1,Tasks[[#This Row],[_LeafTotalWork]]&gt;0),NETWORKDAYS.INTL(ProjectStart,Tasks[[#This Row],[_ShownFcstStart]],WorkWeek,Holidays),0)</f>
        <v/>
      </c>
      <c r="FZ64" s="42">
        <f>IF(AND(Tasks[[#This Row],[_IsLeaf]]=1,Tasks[[#This Row],[_LeafTotalWork]]&gt;0),MAX(Tasks[[#This Row],[_StartWorkday]],NETWORKDAYS.INTL(ProjectStart,Tasks[[#This Row],[_ShownFcstFinish]],WorkWeek,Holidays)),0)</f>
        <v/>
      </c>
      <c r="GA64" s="42">
        <f>IF(AND(Tasks[[#This Row],[_IsLeaf]]=1,Tasks[[#This Row],[_LeafTotalWork]]&gt;0),Tasks[[#This Row],[_LeafWork]]/(Tasks[[#This Row],[_FinishWorkday]]-Tasks[[#This Row],[_StartWorkday]]+1),0)</f>
        <v/>
      </c>
      <c r="GB64" s="42">
        <f>Tasks[[#This Row],[_WorkPerWorkday]]*(Tasks[[#This Row],[_StartWorkday]]-1)</f>
        <v/>
      </c>
      <c r="GC64" s="42">
        <f>IF(Tasks[[#This Row],[_IsLeaf]]=1,MAX(N(Tasks[[#This Row],[_Days]]),0.1),0)</f>
        <v/>
      </c>
      <c r="GD64" s="42">
        <f>Tasks[[#This Row],[_WeightDur]]*Tasks[[#This Row],[_LeafProgress]]</f>
        <v/>
      </c>
      <c r="GE64" s="42">
        <f>Tasks[[#This Row],[_WeightDur]]*Tasks[[#This Row],[_PlannedPct]]</f>
        <v/>
      </c>
      <c r="GF6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4" s="42">
        <f>IF(AND(Tasks[[#This Row],[_IsLeaf]]=1,N(Tasks[[#This Row],[_Days]])=0,Tasks[[#This Row],[_LeafProgress]]&lt;1),Tasks[[#This Row],[_ShownFcstFinish]]+Tasks[[#This Row],[_Row]]/100000,"")</f>
        <v/>
      </c>
      <c r="GH6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4" s="42">
        <f>IF(Tasks[[#This Row],[Task Name]]="","",LEFT(Tasks[[#This Row],[WBS]],FIND(".",Tasks[[#This Row],[WBS]]&amp;".")-1))</f>
        <v/>
      </c>
      <c r="GJ64" s="42">
        <f>IF(AND(Tasks[[#This Row],[Task Name]]&lt;&gt;"",Tasks[[#This Row],[_Level]]=1),Tasks[[#This Row],[_Row]],"")</f>
        <v/>
      </c>
      <c r="GK64" s="42">
        <f>IF(AND(Tasks[[#This Row],[_IsLeaf]]=1,N(Tasks[[#This Row],[_Days]])=0),Tasks[[#This Row],[Planned Finish]]+Tasks[[#This Row],[_Row]]/100000,"")</f>
        <v/>
      </c>
      <c r="GL64" s="42">
        <f>IF(AND(Tasks[[#This Row],[_IsLeaf]]=1,Tasks[[#This Row],[_LeafProgress]]&lt;1,OR(N(Tasks[[#This Row],[Finish Var]])&gt;0,Tasks[[#This Row],[Status]]="Late Start")),MAX(0,Tasks[[#This Row],[Finish Var]])+1-Tasks[[#This Row],[_Row]]/1000000,"")</f>
        <v/>
      </c>
      <c r="GM64" s="42">
        <f>IF(AND(Tasks[[#This Row],[_IsLeaf]]=1,N(Tasks[[#This Row],[Actual Start]])=0,Tasks[[#This Row],[_ShownFcstStart]]&gt;=StatusDate,Tasks[[#This Row],[_ShownFcstStart]]&lt;=LookaheadEnd),Tasks[[#This Row],[_ShownFcstStart]]+Tasks[[#This Row],[_Row]]/100000,"")</f>
        <v/>
      </c>
      <c r="GN64" s="42">
        <f>IF(AND(Tasks[[#This Row],[_IsLeaf]]=1,Tasks[[#This Row],[_LeafProgress]]&lt;1,Tasks[[#This Row],[_ShownFcstFinish]]&gt;=StatusDate,Tasks[[#This Row],[_ShownFcstFinish]]&lt;=LookaheadEnd),Tasks[[#This Row],[_ShownFcstFinish]]+Tasks[[#This Row],[_Row]]/100000,"")</f>
        <v/>
      </c>
      <c r="GO64" s="42">
        <f>IF(Tasks[[#This Row],[_LeafCritical]],Tasks[[#This Row],[_ShownFcstStart]]+Tasks[[#This Row],[_Row]]/100000,"")</f>
        <v/>
      </c>
      <c r="GP64" s="42">
        <f>Tasks[[#This Row],[_LeafWork]]*Tasks[[#This Row],[_LeafProgress]]</f>
        <v/>
      </c>
      <c r="GQ64" s="88">
        <f>IF(AND(Tasks[[#This Row],[_IsLeaf]]=1,Tasks[[#This Row],[_LeafProgress]]&gt;=1),IF(N(Tasks[[#This Row],[Actual Finish]])&gt;0,Tasks[[#This Row],[Actual Finish]],Tasks[[#This Row],[_ShownFcstFinish]]),"")</f>
        <v/>
      </c>
      <c r="GR64" s="42">
        <f>IF(Tasks[[#This Row],[_IsLeaf]]=1,N(Tasks[[#This Row],[Story Points]]),0)</f>
        <v/>
      </c>
      <c r="GS64" s="42">
        <f>""</f>
        <v/>
      </c>
      <c r="GT64" s="42">
        <f>IF(Tasks[[#This Row],[Task Name]]="",FALSE(),AND(Tasks[[#This Row],[_IsLeaf]]=1,N(Tasks[[#This Row],[_Days]])=0))</f>
        <v/>
      </c>
      <c r="GU64" s="88">
        <f>IF(Tasks[[#This Row],[Task Name]]="",0,IF(AND(Tasks[[#This Row],[_IsLeaf]]=1,NOT(Tasks[[#This Row],[_IsMilestone]]),N(Tasks[[#This Row],[Progress]])&gt;0),Tasks[[#This Row],[Start]],0))</f>
        <v/>
      </c>
      <c r="GV64" s="88">
        <f>IF(Tasks[[#This Row],[_DoneFrom]]=0,0,IF(Tasks[[#This Row],[Progress]]&gt;=1,Tasks[[#This Row],[Finish]],MAX(Tasks[[#This Row],[_DoneFrom]],Tasks[[#This Row],[Start]]+ROUND((Tasks[[#This Row],[Finish]]-Tasks[[#This Row],[Start]]+1)*Tasks[[#This Row],[Progress]],0)-1)))</f>
        <v/>
      </c>
      <c r="GW64" s="88">
        <f>IF(Tasks[[#This Row],[Task Name]]="",0,IF(OR(NOT(Tasks[[#This Row],[_IsLeaf]]=1),Tasks[[#This Row],[_IsMilestone]],N(Tasks[[#This Row],[Progress]])&gt;=1),0,IF(Tasks[[#This Row],[_DoneTo]]&gt;0,Tasks[[#This Row],[_DoneTo]]+1,Tasks[[#This Row],[Start]])))</f>
        <v/>
      </c>
      <c r="GX64" s="88">
        <f>IF(Tasks[[#This Row],[_RemFrom]]=0,0,Tasks[[#This Row],[Finish]])</f>
        <v/>
      </c>
      <c r="GY64" s="42">
        <f>IF(Tasks[[#This Row],[Task Name]]="",FALSE(),OR(NOT(BaselineSet),N(Tasks[[#This Row],[Baseline Start]])&gt;0))</f>
        <v/>
      </c>
      <c r="GZ64" s="42">
        <f>IF(AND(Sandbox="Yes",L_PARSE_DURATION(Tasks[[#This Row],[Sandbox Duration]])&lt;&gt;""),L_PARSE_DURATION(Tasks[[#This Row],[Sandbox Duration]]),L_PARSE_DURATION(Tasks[[#This Row],[Duration]]))</f>
        <v/>
      </c>
      <c r="HA6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4" s="42">
        <f>IF(Tasks[[#This Row],[_IsLeaf]]=1,Tasks[[#This Row],[_Row]],"")</f>
        <v/>
      </c>
      <c r="HD64" s="42">
        <f>IFERROR(INDEX(Tasks[UID],SMALL(Tasks[_PickKey],Tasks[[#This Row],[_Row]]))&amp;" "&amp;INDEX(Tasks[Task Name],SMALL(Tasks[_PickKey],Tasks[[#This Row],[_Row]])),"")</f>
        <v/>
      </c>
      <c r="HE64" s="42">
        <f>IF(Tasks[[#This Row],[Task Name]]="","",IF(Tasks[[#This Row],[_IsSummary]],NETWORKDAYS.INTL(Tasks[[#This Row],[Start]],Tasks[[#This Row],[Finish]],WorkWeek,Holidays),N(Tasks[[#This Row],[_Days]])))</f>
        <v/>
      </c>
      <c r="HF64" s="42">
        <f>IF(Tasks[[#This Row],[Expected]]="",0,((Tasks[[#This Row],[Pessimistic]]-Tasks[[#This Row],[Optimistic]])/6)^2)</f>
        <v/>
      </c>
      <c r="HG64" s="42">
        <f>IF(Tasks[[#This Row],[Expected]]="",0,Tasks[[#This Row],[Expected]]-N(Tasks[[#This Row],[_Days]]))</f>
        <v/>
      </c>
    </row>
    <row r="65">
      <c r="A65" s="21">
        <f>IF(Tasks[[#This Row],[Task Name]]="","",COUNTA(Tasks[[#Headers],[Task Name]]:Tasks[[#This Row],[Task Name]])-1)</f>
        <v/>
      </c>
      <c r="B65" s="22" t="n">
        <v>73</v>
      </c>
      <c r="C65" s="22" t="n"/>
      <c r="D65" s="23" t="n"/>
      <c r="E65" s="22" t="n"/>
      <c r="F65" s="23" t="n"/>
      <c r="G65" s="22" t="n"/>
      <c r="H65" s="22" t="n"/>
      <c r="I65" s="23" t="n"/>
      <c r="J65" s="22" t="n"/>
      <c r="K65" s="22" t="n"/>
      <c r="L65" s="23" t="n"/>
      <c r="M65" s="22" t="n"/>
      <c r="N65" s="22" t="n"/>
      <c r="O65" s="23" t="n"/>
      <c r="P65" s="22" t="n"/>
      <c r="Q65" s="22" t="n"/>
      <c r="R65" s="23" t="n"/>
      <c r="S65" s="23" t="n"/>
      <c r="T65" s="82" t="n"/>
      <c r="U65" s="23" t="n"/>
      <c r="V65" s="82" t="n"/>
      <c r="W65" s="23" t="n"/>
      <c r="X65" s="82" t="n"/>
      <c r="Y65" s="23" t="n"/>
      <c r="Z65" s="82" t="n"/>
      <c r="AA65" s="23" t="n"/>
      <c r="AB65" s="23" t="n"/>
      <c r="AC65" s="7" t="n"/>
      <c r="AD65" s="7" t="n"/>
      <c r="AE65" s="61">
        <f>IF(Tasks[[#This Row],[Task Name]]="","",IF(Tasks[[#This Row],[_IsSummary]],MIN(INDEX(Tasks[_ShownFcstStart],Tasks[[#This Row],[_Row]]+1):INDEX(Tasks[_ShownFcstStart],Tasks[[#This Row],[_Row]]+Tasks[[#This Row],[_Descendants]])),Tasks[[#This Row],[_ShownFcstStart]]))</f>
        <v/>
      </c>
      <c r="AF65" s="61">
        <f>IF(Tasks[[#This Row],[Task Name]]="","",IF(Tasks[[#This Row],[_IsSummary]],MAX(INDEX(Tasks[_ShownFcstFinish],Tasks[[#This Row],[_Row]]+1):INDEX(Tasks[_ShownFcstFinish],Tasks[[#This Row],[_Row]]+Tasks[[#This Row],[_Descendants]])),Tasks[[#This Row],[_ShownFcstFinish]]))</f>
        <v/>
      </c>
      <c r="AG65" s="21">
        <f>""</f>
        <v/>
      </c>
      <c r="AH65" s="23" t="n"/>
      <c r="AI6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5" s="7" t="n"/>
      <c r="AK65" s="22" t="n"/>
      <c r="AL65" s="23" t="n"/>
      <c r="AM65" s="7" t="n"/>
      <c r="AN65" s="21">
        <f>IF(Tasks[[#This Row],[Task Name]]="","",IF(Tasks[[#This Row],[Finish]]&gt;=Tasks[[#This Row],[Planned Finish]],NETWORKDAYS.INTL(Tasks[[#This Row],[Planned Finish]],Tasks[[#This Row],[Finish]],WorkWeek,Holidays)-1,1-NETWORKDAYS.INTL(Tasks[[#This Row],[Finish]],Tasks[[#This Row],[Planned Finish]],WorkWeek,Holidays)))</f>
        <v/>
      </c>
      <c r="AO65" s="21">
        <f>IF(Tasks[[#This Row],[Task Name]]="","",IF(Tasks[[#This Row],[Progress]]&gt;=1,"Complete",IF(OR(N(Tasks[[#This Row],[Actual Start]])&gt;0,Tasks[[#This Row],[Progress]]&gt;0),IF(Tasks[[#This Row],[Finish Var]]&gt;0,"Behind","In Progress"),IF(Tasks[[#This Row],[Planned Start]]&lt;StatusDate,"Late Start","Not Started"))))</f>
        <v/>
      </c>
      <c r="AP65" s="21">
        <f>IF(Tasks[[#This Row],[Task Name]]="","",IF(IF(Tasks[[#This Row],[_IsSummary]],COUNTIF(INDEX(Tasks[_LeafCritical],Tasks[[#This Row],[_Row]]+1):INDEX(Tasks[_LeafCritical],Tasks[[#This Row],[_Row]]+Tasks[[#This Row],[_Descendants]]),TRUE())&gt;0,Tasks[[#This Row],[_LeafCritical]]),"Yes",""))</f>
        <v/>
      </c>
      <c r="AQ65" s="61">
        <f>IF(Tasks[[#This Row],[Task Name]]="","",IF(N(Tasks[[#This Row],[Baseline Start]])&gt;0,Tasks[[#This Row],[Baseline Start]],Tasks[[#This Row],[_CalcStart]]))</f>
        <v/>
      </c>
      <c r="AR65" s="61">
        <f>IF(Tasks[[#This Row],[Task Name]]="","",IF(N(Tasks[[#This Row],[Baseline Finish]])&gt;0,Tasks[[#This Row],[Baseline Finish]],Tasks[[#This Row],[_CalcFinish]]))</f>
        <v/>
      </c>
      <c r="AS65" s="21">
        <f>IF(Tasks[[#This Row],[Task Name]]="","",IF(Tasks[[#This Row],[Start]]&gt;=Tasks[[#This Row],[Planned Start]],NETWORKDAYS.INTL(Tasks[[#This Row],[Planned Start]],Tasks[[#This Row],[Start]],WorkWeek,Holidays)-1,1-NETWORKDAYS.INTL(Tasks[[#This Row],[Start]],Tasks[[#This Row],[Planned Start]],WorkWeek,Holidays)))</f>
        <v/>
      </c>
      <c r="AT65" s="61">
        <f>IF(Tasks[[#This Row],[Task Name]]="","",IF(Tasks[[#This Row],[_IsSummary]],MIN(INDEX(Tasks[_LeafLateStart],Tasks[[#This Row],[_Row]]+1):INDEX(Tasks[_LeafLateStart],Tasks[[#This Row],[_Row]]+Tasks[[#This Row],[_Descendants]])),Tasks[[#This Row],[_LeafLateStart]]))</f>
        <v/>
      </c>
      <c r="AU65" s="61">
        <f>IF(Tasks[[#This Row],[Task Name]]="","",IF(Tasks[[#This Row],[_IsSummary]],MAX(INDEX(Tasks[_LeafLateFinish],Tasks[[#This Row],[_Row]]+1):INDEX(Tasks[_LeafLateFinish],Tasks[[#This Row],[_Row]]+Tasks[[#This Row],[_Descendants]])),Tasks[[#This Row],[_LeafLateFinish]]))</f>
        <v/>
      </c>
      <c r="AV65" s="21">
        <f>IF(Tasks[[#This Row],[Task Name]]="","",IF(Tasks[[#This Row],[_IsSummary]],MIN(INDEX(Tasks[_LeafTotalSlack],Tasks[[#This Row],[_Row]]+1):INDEX(Tasks[_LeafTotalSlack],Tasks[[#This Row],[_Row]]+Tasks[[#This Row],[_Descendants]])),Tasks[[#This Row],[_LeafTotalSlack]]))</f>
        <v/>
      </c>
      <c r="AW6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3" t="n"/>
      <c r="BA6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f>IF(Tasks[[#This Row],[Task Name]]="","",IF(Tasks[[#This Row],[_Level]]&lt;=OutlineShowLevel,"Yes","No"))</f>
        <v/>
      </c>
      <c r="BE65" s="84">
        <f>IF(Tasks[[#This Row],[Task Name]]="","",IF(Tasks[[#This Row],[_IsSummary]],SUM(INDEX(Tasks[_LeafTotalWork],Tasks[[#This Row],[_Row]]+1):INDEX(Tasks[_LeafTotalWork],Tasks[[#This Row],[_Row]]+Tasks[[#This Row],[_Descendants]])),Tasks[[#This Row],[_LeafTotalWork]]))</f>
        <v/>
      </c>
      <c r="BF65" s="23" t="n"/>
      <c r="BG6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f>""</f>
        <v/>
      </c>
      <c r="BI65" s="85" t="n"/>
      <c r="BJ65" s="22" t="n"/>
      <c r="BK65" s="21">
        <f>IF(OR(Tasks[[#This Row],[Task Name]]="",Tasks[[#This Row],[Baseline Duration]]=""),"",Tasks[[#This Row],[_SpanDays]]-N(Tasks[[#This Row],[Baseline Duration]]))</f>
        <v/>
      </c>
      <c r="BL65" s="84">
        <f>IF(OR(Tasks[[#This Row],[Task Name]]="",Tasks[[#This Row],[Baseline Work]]=""),"",Tasks[[#This Row],[Work]]-N(Tasks[[#This Row],[Baseline Work]]))</f>
        <v/>
      </c>
      <c r="BM65" s="61">
        <f>IF(Tasks[[#This Row],[Task Name]]="","",IF(OR(TakeBaseline="Yes",N(Tasks[[#This Row],[Baseline Start]])=0),Tasks[[#This Row],[Start]],Tasks[[#This Row],[Baseline Start]]))</f>
        <v/>
      </c>
      <c r="BN65" s="61">
        <f>IF(Tasks[[#This Row],[Task Name]]="","",IF(OR(TakeBaseline="Yes",N(Tasks[[#This Row],[Baseline Finish]])=0),Tasks[[#This Row],[Finish]],Tasks[[#This Row],[Baseline Finish]]))</f>
        <v/>
      </c>
      <c r="BO65" s="21">
        <f>IF(Tasks[[#This Row],[Task Name]]="","",IF(OR(TakeBaseline="Yes",N(Tasks[[#This Row],[Baseline Duration]])=0),Tasks[[#This Row],[_SpanDays]],Tasks[[#This Row],[Baseline Duration]]))</f>
        <v/>
      </c>
      <c r="BP65" s="84">
        <f>IF(Tasks[[#This Row],[Task Name]]="","",IF(OR(TakeBaseline="Yes",N(Tasks[[#This Row],[Baseline Work]])=0),Tasks[[#This Row],[Work]],Tasks[[#This Row],[Baseline Work]]))</f>
        <v/>
      </c>
      <c r="BQ65" s="7" t="n"/>
      <c r="BR65" s="7" t="n"/>
      <c r="BS65" s="22" t="n"/>
      <c r="BT65" s="86" t="n"/>
      <c r="BU65" s="23" t="n"/>
      <c r="BV65" s="23" t="n"/>
      <c r="BW65" s="23" t="n"/>
      <c r="BX65" s="87">
        <f>IF(AND(Tasks[[#This Row],[_IsLeaf]]=1,ISNUMBER(Tasks[[#This Row],[Optimistic]]),ISNUMBER(Tasks[[#This Row],[Pessimistic]])),ROUND((Tasks[[#This Row],[Optimistic]]+4*N(Tasks[[#This Row],[_Days]])+Tasks[[#This Row],[Pessimistic]])/6,1),"")</f>
        <v/>
      </c>
      <c r="BY65" s="85" t="n"/>
      <c r="BZ65" s="85" t="n"/>
      <c r="CA65" s="22" t="n"/>
      <c r="CB65" s="42">
        <f>IF(Tasks[[#This Row],[Task Name]]="","",MAX(1,N(Tasks[[#This Row],[Level]])))</f>
        <v/>
      </c>
      <c r="CC65" s="42">
        <f>ROW()-ROW(Tasks[[#Headers],[ID]])</f>
        <v/>
      </c>
      <c r="CD65" s="42">
        <f>IF(OR(Tasks[[#This Row],[Task Name]]="",Tasks[[#This Row],[_Level]]&lt;=1),0,IFERROR(LOOKUP(2,1/(Tasks[[#Headers],[_Level]]:Tasks[[#This Row],[_Level]]=Tasks[[#This Row],[_Level]]-1),ROW(Tasks[[#Headers],[_Level]]:Tasks[[#This Row],[_Level]])),0))</f>
        <v/>
      </c>
      <c r="CE65" s="42">
        <f>IFERROR(N(INDEX(Tasks[_Level],Tasks[[#This Row],[_Row]]+1)),0)</f>
        <v/>
      </c>
      <c r="CF65" s="42">
        <f>AND(Tasks[[#This Row],[Task Name]]&lt;&gt;"",Tasks[[#This Row],[_NextLevel]]&gt;Tasks[[#This Row],[_Level]])</f>
        <v/>
      </c>
      <c r="CG65" s="42">
        <f>IF(Tasks[[#This Row],[_IsSummary]],COUNTIF(Tasks[WBS],Tasks[[#This Row],[WBS]]&amp;".*"),0)</f>
        <v/>
      </c>
      <c r="CH65" s="42">
        <f>IF(AND(Tasks[[#This Row],[Task Name]]&lt;&gt;"",NOT(Tasks[[#This Row],[_IsSummary]])),1,0)</f>
        <v/>
      </c>
      <c r="CI65" s="42">
        <f>IF(N(Tasks[[#This Row],[_Pred1UID]])=0,0,IFERROR(MATCH(Tasks[[#This Row],[_Pred1UID]],Tasks[UID],0),-1))</f>
        <v/>
      </c>
      <c r="CJ65" s="42">
        <f>IF(N(Tasks[[#This Row],[_Pred2UID]])=0,0,IFERROR(MATCH(Tasks[[#This Row],[_Pred2UID]],Tasks[UID],0),-1))</f>
        <v/>
      </c>
      <c r="CK65" s="42">
        <f>IF(N(Tasks[[#This Row],[_Pred3UID]])=0,0,IFERROR(MATCH(Tasks[[#This Row],[_Pred3UID]],Tasks[UID],0),-1))</f>
        <v/>
      </c>
      <c r="CL65" s="42">
        <f>IF(N(Tasks[[#This Row],[_Pred4UID]])=0,0,IFERROR(MATCH(Tasks[[#This Row],[_Pred4UID]],Tasks[UID],0),-1))</f>
        <v/>
      </c>
      <c r="CM6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5" s="88">
        <f>IF(N(Tasks[[#This Row],[Constraint Date]])=0,0,IF(AND(OR(Tasks[[#This Row],[_ConstraintCode]]=3,Tasks[[#This Row],[_ConstraintCode]]=6,Tasks[[#This Row],[_ConstraintCode]]=7),N(Tasks[[#This Row],[_Days]])&gt;1),WORKDAY.INTL(N(Tasks[[#This Row],[Constraint Date]]),-(N(Tasks[[#This Row],[_Days]])-1),WorkWeek,Holidays),N(Tasks[[#This Row],[Constraint Date]])))</f>
        <v/>
      </c>
      <c r="CO65" s="88">
        <f>IF(OR(Tasks[[#This Row],[_ConstraintCode]]=2,Tasks[[#This Row],[_ConstraintCode]]=3,Tasks[[#This Row],[_ConstraintCode]]=4,Tasks[[#This Row],[_ConstraintCode]]=6),Tasks[[#This Row],[_ConstraintStart]],0)</f>
        <v/>
      </c>
      <c r="CP65" s="88">
        <f>IF(OR(Tasks[[#This Row],[_ConstraintCode]]=2,Tasks[[#This Row],[_ConstraintCode]]=3,Tasks[[#This Row],[_ConstraintCode]]=5,Tasks[[#This Row],[_ConstraintCode]]=7),Tasks[[#This Row],[_ConstraintStart]],2958465)</f>
        <v/>
      </c>
      <c r="CQ6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5" s="88">
        <f>IF(NOT(Tasks[[#This Row],[_IsLeaf]]=1),"",IF(N(Tasks[[#This Row],[_Days]])&lt;=0,Tasks[[#This Row],[_LeafCalcStart]],WORKDAY.INTL(Tasks[[#This Row],[_LeafCalcStart]],Tasks[[#This Row],[_Days]]-1,WorkWeek,Holidays)))</f>
        <v/>
      </c>
      <c r="CS6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5" s="42">
        <f>IF(Tasks[[#This Row],[_Predecessors]]="","",TRIM(MID(SUBSTITUTE(SUBSTITUTE(SUBSTITUTE(UPPER(Tasks[[#This Row],[_Predecessors]]),";",",")," ",""),",",REPT(" ",99)),1,99)))</f>
        <v/>
      </c>
      <c r="CV65" s="42">
        <f>IF(Tasks[[#This Row],[_Pred1Text]]="","",IFERROR(VALUE(LEFT(Tasks[[#This Row],[_Pred1Text]],MIN(FIND("F",Tasks[[#This Row],[_Pred1Text]]&amp;"F"),FIND("S",Tasks[[#This Row],[_Pred1Text]]&amp;"S"),FIND("+",Tasks[[#This Row],[_Pred1Text]]&amp;"+"),FIND("-",Tasks[[#This Row],[_Pred1Text]]&amp;"-"))-1)),""))</f>
        <v/>
      </c>
      <c r="CW6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5" s="42">
        <f>IF(Tasks[[#This Row],[_Pred1Text]]="","",TRIM(MID(SUBSTITUTE(SUBSTITUTE(SUBSTITUTE(UPPER(Tasks[[#This Row],[_Predecessors]]),";",",")," ",""),",",REPT(" ",99)),100,99)))</f>
        <v/>
      </c>
      <c r="CZ65" s="42">
        <f>IF(Tasks[[#This Row],[_Pred2Text]]="","",IFERROR(VALUE(LEFT(Tasks[[#This Row],[_Pred2Text]],MIN(FIND("F",Tasks[[#This Row],[_Pred2Text]]&amp;"F"),FIND("S",Tasks[[#This Row],[_Pred2Text]]&amp;"S"),FIND("+",Tasks[[#This Row],[_Pred2Text]]&amp;"+"),FIND("-",Tasks[[#This Row],[_Pred2Text]]&amp;"-"))-1)),""))</f>
        <v/>
      </c>
      <c r="DA6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5" s="42">
        <f>IF(Tasks[[#This Row],[_Pred2Text]]="","",TRIM(MID(SUBSTITUTE(SUBSTITUTE(SUBSTITUTE(UPPER(Tasks[[#This Row],[_Predecessors]]),";",",")," ",""),",",REPT(" ",99)),199,99)))</f>
        <v/>
      </c>
      <c r="DD65" s="42">
        <f>IF(Tasks[[#This Row],[_Pred3Text]]="","",IFERROR(VALUE(LEFT(Tasks[[#This Row],[_Pred3Text]],MIN(FIND("F",Tasks[[#This Row],[_Pred3Text]]&amp;"F"),FIND("S",Tasks[[#This Row],[_Pred3Text]]&amp;"S"),FIND("+",Tasks[[#This Row],[_Pred3Text]]&amp;"+"),FIND("-",Tasks[[#This Row],[_Pred3Text]]&amp;"-"))-1)),""))</f>
        <v/>
      </c>
      <c r="DE6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5" s="42">
        <f>IF(Tasks[[#This Row],[_Pred3Text]]="","",TRIM(MID(SUBSTITUTE(SUBSTITUTE(SUBSTITUTE(UPPER(Tasks[[#This Row],[_Predecessors]]),";",",")," ",""),",",REPT(" ",99)),298,99)))</f>
        <v/>
      </c>
      <c r="DH65" s="42">
        <f>IF(Tasks[[#This Row],[_Pred4Text]]="","",IFERROR(VALUE(LEFT(Tasks[[#This Row],[_Pred4Text]],MIN(FIND("F",Tasks[[#This Row],[_Pred4Text]]&amp;"F"),FIND("S",Tasks[[#This Row],[_Pred4Text]]&amp;"S"),FIND("+",Tasks[[#This Row],[_Pred4Text]]&amp;"+"),FIND("-",Tasks[[#This Row],[_Pred4Text]]&amp;"-"))-1)),""))</f>
        <v/>
      </c>
      <c r="DI6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5" s="42">
        <f>IF(OR(Tasks[[#This Row],[Task Name]]="",Tasks[[#This Row],[_Resources]]=""),"",TRIM(MID(SUBSTITUTE(Tasks[[#This Row],[_Resources]],",",REPT(" ",99)),1,99)))</f>
        <v/>
      </c>
      <c r="DL65" s="42">
        <f>IF(Tasks[[#This Row],[_Res1Text]]="","",TRIM(MID(SUBSTITUTE(Tasks[[#This Row],[_Resources]],",",REPT(" ",99)),100,99)))</f>
        <v/>
      </c>
      <c r="DM65" s="42">
        <f>IF(Tasks[[#This Row],[_Res2Text]]="","",TRIM(MID(SUBSTITUTE(Tasks[[#This Row],[_Resources]],",",REPT(" ",99)),199,99)))</f>
        <v/>
      </c>
      <c r="DN65" s="42">
        <f>IF(Tasks[[#This Row],[_Res3Text]]="","",TRIM(MID(SUBSTITUTE(Tasks[[#This Row],[_Resources]],",",REPT(" ",99)),298,99)))</f>
        <v/>
      </c>
      <c r="DO65" s="42">
        <f>IF(Tasks[[#This Row],[_Res1Text]]="",0,IFERROR(MATCH(TRIM(LEFT(Tasks[[#This Row],[_Res1Text]],FIND("[",Tasks[[#This Row],[_Res1Text]]&amp;"[")-1)),res_Name,0),IFERROR(MATCH(TRIM(LEFT(Tasks[[#This Row],[_Res1Text]],FIND("[",Tasks[[#This Row],[_Res1Text]]&amp;"[")-1)),res_Initials,0),0)))</f>
        <v/>
      </c>
      <c r="DP65" s="42">
        <f>IF(Tasks[[#This Row],[_Res2Text]]="",0,IFERROR(MATCH(TRIM(LEFT(Tasks[[#This Row],[_Res2Text]],FIND("[",Tasks[[#This Row],[_Res2Text]]&amp;"[")-1)),res_Name,0),IFERROR(MATCH(TRIM(LEFT(Tasks[[#This Row],[_Res2Text]],FIND("[",Tasks[[#This Row],[_Res2Text]]&amp;"[")-1)),res_Initials,0),0)))</f>
        <v/>
      </c>
      <c r="DQ65" s="42">
        <f>IF(Tasks[[#This Row],[_Res3Text]]="",0,IFERROR(MATCH(TRIM(LEFT(Tasks[[#This Row],[_Res3Text]],FIND("[",Tasks[[#This Row],[_Res3Text]]&amp;"[")-1)),res_Name,0),IFERROR(MATCH(TRIM(LEFT(Tasks[[#This Row],[_Res3Text]],FIND("[",Tasks[[#This Row],[_Res3Text]]&amp;"[")-1)),res_Initials,0),0)))</f>
        <v/>
      </c>
      <c r="DR65" s="42">
        <f>IF(Tasks[[#This Row],[_Res4Text]]="",0,IFERROR(MATCH(TRIM(LEFT(Tasks[[#This Row],[_Res4Text]],FIND("[",Tasks[[#This Row],[_Res4Text]]&amp;"[")-1)),res_Name,0),IFERROR(MATCH(TRIM(LEFT(Tasks[[#This Row],[_Res4Text]],FIND("[",Tasks[[#This Row],[_Res4Text]]&amp;"[")-1)),res_Initials,0),0)))</f>
        <v/>
      </c>
      <c r="DS65" s="42">
        <f>IF(Tasks[[#This Row],[_Res1Text]]="","",IF(Tasks[[#This Row],[_Res1Row]]&gt;0,INDEX(res_Name,Tasks[[#This Row],[_Res1Row]]),TRIM(LEFT(Tasks[[#This Row],[_Res1Text]],FIND("[",Tasks[[#This Row],[_Res1Text]]&amp;"[")-1))))</f>
        <v/>
      </c>
      <c r="DT6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5" s="42">
        <f>IF(NOT(Tasks[[#This Row],[_IsLeaf]]=1),0,(Tasks[[#This Row],[_Resource1]]&lt;&gt;"")+(Tasks[[#This Row],[_Res2]]&lt;&gt;"")+(Tasks[[#This Row],[_Res3]]&lt;&gt;"")+(Tasks[[#This Row],[_Res4]]&lt;&gt;""))</f>
        <v/>
      </c>
      <c r="DV65" s="42">
        <f>IF(Tasks[[#This Row],[_Res2Text]]="","",IF(Tasks[[#This Row],[_Res2Row]]&gt;0,INDEX(res_Name,Tasks[[#This Row],[_Res2Row]]),TRIM(LEFT(Tasks[[#This Row],[_Res2Text]],FIND("[",Tasks[[#This Row],[_Res2Text]]&amp;"[")-1))))</f>
        <v/>
      </c>
      <c r="DW6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5" s="42">
        <f>IF(OR(NOT(Tasks[[#This Row],[_IsLeaf]]=1),Tasks[[#This Row],[_Res2Row]]=0),0,N(Tasks[[#This Row],[_Days]])*HoursPerDay*IF(Tasks[[#This Row],[_Res2Units]]="",DefaultUnits,Tasks[[#This Row],[_Res2Units]]))</f>
        <v/>
      </c>
      <c r="DY65" s="42">
        <f>IF(AND(AND(Tasks[[#This Row],[_IsLeaf]]=1,Tasks[[#This Row],[_LeafTotalWork]]&gt;0),Tasks[[#This Row],[_Res2Work]]&gt;0),Tasks[[#This Row],[_Res2Work]]/(Tasks[[#This Row],[_FinishWorkday]]-Tasks[[#This Row],[_StartWorkday]]+1),0)</f>
        <v/>
      </c>
      <c r="DZ65" s="42">
        <f>Tasks[[#This Row],[_Res2WorkPerWD]]*MAX(0,Tasks[[#This Row],[_StartWorkday]]-1)</f>
        <v/>
      </c>
      <c r="EA65" s="42">
        <f>Tasks[[#This Row],[_Res2Work]]*Tasks[[#This Row],[_LeafProgress]]</f>
        <v/>
      </c>
      <c r="EB65" s="42">
        <f>IF(Tasks[[#This Row],[_Res3Text]]="","",IF(Tasks[[#This Row],[_Res3Row]]&gt;0,INDEX(res_Name,Tasks[[#This Row],[_Res3Row]]),TRIM(LEFT(Tasks[[#This Row],[_Res3Text]],FIND("[",Tasks[[#This Row],[_Res3Text]]&amp;"[")-1))))</f>
        <v/>
      </c>
      <c r="EC6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5" s="42">
        <f>IF(OR(NOT(Tasks[[#This Row],[_IsLeaf]]=1),Tasks[[#This Row],[_Res3Row]]=0),0,N(Tasks[[#This Row],[_Days]])*HoursPerDay*IF(Tasks[[#This Row],[_Res3Units]]="",DefaultUnits,Tasks[[#This Row],[_Res3Units]]))</f>
        <v/>
      </c>
      <c r="EE65" s="42">
        <f>IF(AND(AND(Tasks[[#This Row],[_IsLeaf]]=1,Tasks[[#This Row],[_LeafTotalWork]]&gt;0),Tasks[[#This Row],[_Res3Work]]&gt;0),Tasks[[#This Row],[_Res3Work]]/(Tasks[[#This Row],[_FinishWorkday]]-Tasks[[#This Row],[_StartWorkday]]+1),0)</f>
        <v/>
      </c>
      <c r="EF65" s="42">
        <f>Tasks[[#This Row],[_Res3WorkPerWD]]*MAX(0,Tasks[[#This Row],[_StartWorkday]]-1)</f>
        <v/>
      </c>
      <c r="EG65" s="42">
        <f>Tasks[[#This Row],[_Res3Work]]*Tasks[[#This Row],[_LeafProgress]]</f>
        <v/>
      </c>
      <c r="EH65" s="42">
        <f>IF(Tasks[[#This Row],[_Res4Text]]="","",IF(Tasks[[#This Row],[_Res4Row]]&gt;0,INDEX(res_Name,Tasks[[#This Row],[_Res4Row]]),TRIM(LEFT(Tasks[[#This Row],[_Res4Text]],FIND("[",Tasks[[#This Row],[_Res4Text]]&amp;"[")-1))))</f>
        <v/>
      </c>
      <c r="EI6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5" s="42">
        <f>IF(OR(NOT(Tasks[[#This Row],[_IsLeaf]]=1),Tasks[[#This Row],[_Res4Row]]=0),0,N(Tasks[[#This Row],[_Days]])*HoursPerDay*IF(Tasks[[#This Row],[_Res4Units]]="",DefaultUnits,Tasks[[#This Row],[_Res4Units]]))</f>
        <v/>
      </c>
      <c r="EK65" s="42">
        <f>IF(AND(AND(Tasks[[#This Row],[_IsLeaf]]=1,Tasks[[#This Row],[_LeafTotalWork]]&gt;0),Tasks[[#This Row],[_Res4Work]]&gt;0),Tasks[[#This Row],[_Res4Work]]/(Tasks[[#This Row],[_FinishWorkday]]-Tasks[[#This Row],[_StartWorkday]]+1),0)</f>
        <v/>
      </c>
      <c r="EL65" s="42">
        <f>Tasks[[#This Row],[_Res4WorkPerWD]]*MAX(0,Tasks[[#This Row],[_StartWorkday]]-1)</f>
        <v/>
      </c>
      <c r="EM65" s="42">
        <f>Tasks[[#This Row],[_Res4Work]]*Tasks[[#This Row],[_LeafProgress]]</f>
        <v/>
      </c>
      <c r="EN65" s="42">
        <f>IF(ISNUMBER(Tasks[[#This Row],[% Complete]]),Tasks[[#This Row],[% Complete]],IF(Tasks[[#This Row],[Stage]]="",0,IFERROR(INDEX(stg_Pct,MATCH(Tasks[[#This Row],[Stage]],stg_Name,0)),0)))</f>
        <v/>
      </c>
      <c r="EO65" s="42">
        <f>IF(NOT(Tasks[[#This Row],[_IsLeaf]]=1),0,IF(N(Tasks[[#This Row],[Actual Finish]])&gt;0,1,MIN(1,Tasks[[#This Row],[_Pct]])))</f>
        <v/>
      </c>
      <c r="EP65" s="42">
        <f>IF(OR(NOT(Tasks[[#This Row],[_IsLeaf]]=1),Tasks[[#This Row],[_Res1Row]]=0),0,N(Tasks[[#This Row],[_Days]])*HoursPerDay*IF(Tasks[[#This Row],[_Units1]]="",DefaultUnits,Tasks[[#This Row],[_Units1]]))</f>
        <v/>
      </c>
      <c r="EQ65" s="42">
        <f>Tasks[[#This Row],[_LeafWork]]+Tasks[[#This Row],[_Res2Work]]+Tasks[[#This Row],[_Res3Work]]+Tasks[[#This Row],[_Res4Work]]</f>
        <v/>
      </c>
      <c r="ER6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5" s="42">
        <f>IF(NOT(Tasks[[#This Row],[_IsLeaf]]=1),0,MAX(_xlfn.MAXIFS(Tasks[_Row],Tasks[_Pred1UID],Tasks[[#This Row],[UID]]),_xlfn.MAXIFS(Tasks[_Row],Tasks[_Pred2UID],Tasks[[#This Row],[UID]]),_xlfn.MAXIFS(Tasks[_Row],Tasks[_Pred3UID],Tasks[[#This Row],[UID]]),_xlfn.MAXIFS(Tasks[_Row],Tasks[_Pred4UID],Tasks[[#This Row],[UID]])))</f>
        <v/>
      </c>
      <c r="FA6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5" s="88">
        <f>IF(NOT(Tasks[[#This Row],[_IsLeaf]]=1),"",IF(N(Tasks[[#This Row],[_Days]])&lt;=0,Tasks[[#This Row],[_LeafLateFinish]],WORKDAY.INTL(Tasks[[#This Row],[_LeafLateFinish]],-(Tasks[[#This Row],[_Days]]-1),WorkWeek,Holidays)))</f>
        <v/>
      </c>
      <c r="FD6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5" s="42">
        <f>AND(Tasks[[#This Row],[_IsLeaf]]=1,Tasks[[#This Row],[_LeafProgress]]&lt;1,N(Tasks[[#This Row],[_LeafTotalSlack]])&lt;=CriticalSlackDays)</f>
        <v/>
      </c>
      <c r="FF65" s="42">
        <f>IF(AND(Tasks[[#This Row],[_IsLeaf]]=1,Tasks[[#This Row],[_ConstraintCode]]=1,Tasks[[#This Row],[Mode]]&lt;&gt;"Manual",N(Tasks[[#This Row],[Actual Start]])=0),MAX(0,N(Tasks[[#This Row],[Free Slack]])),0)</f>
        <v/>
      </c>
      <c r="FG65" s="88">
        <f>IF(NOT(Tasks[[#This Row],[_IsLeaf]]=1),"",IF(Tasks[[#This Row],[_AlapShift]]=0,Tasks[[#This Row],[_LeafCalcStart]],WORKDAY.INTL(Tasks[[#This Row],[_LeafCalcStart]],Tasks[[#This Row],[_AlapShift]],WorkWeek,Holidays)))</f>
        <v/>
      </c>
      <c r="FH65" s="88">
        <f>IF(NOT(Tasks[[#This Row],[_IsLeaf]]=1),"",IF(Tasks[[#This Row],[_AlapShift]]=0,Tasks[[#This Row],[_LeafCalcFinish]],WORKDAY.INTL(Tasks[[#This Row],[_LeafCalcFinish]],Tasks[[#This Row],[_AlapShift]],WorkWeek,Holidays)))</f>
        <v/>
      </c>
      <c r="FI65" s="88">
        <f>IF(NOT(Tasks[[#This Row],[_IsLeaf]]=1),"",IF(Tasks[[#This Row],[_AlapShift]]=0,Tasks[[#This Row],[_LeafFcstStart]],WORKDAY.INTL(Tasks[[#This Row],[_LeafFcstStart]],Tasks[[#This Row],[_AlapShift]],WorkWeek,Holidays)))</f>
        <v/>
      </c>
      <c r="FJ65" s="88">
        <f>IF(NOT(Tasks[[#This Row],[_IsLeaf]]=1),"",IF(Tasks[[#This Row],[_AlapShift]]=0,Tasks[[#This Row],[_LeafFcstFinish]],WORKDAY.INTL(Tasks[[#This Row],[_LeafFcstFinish]],Tasks[[#This Row],[_AlapShift]],WorkWeek,Holidays)))</f>
        <v/>
      </c>
      <c r="FK65" s="88">
        <f>IF(Tasks[[#This Row],[Task Name]]="","",IF(Tasks[[#This Row],[_IsSummary]],MIN(INDEX(Tasks[_ShownCalcStart],Tasks[[#This Row],[_Row]]+1):INDEX(Tasks[_ShownCalcStart],Tasks[[#This Row],[_Row]]+Tasks[[#This Row],[_Descendants]])),Tasks[[#This Row],[_ShownCalcStart]]))</f>
        <v/>
      </c>
      <c r="FL65" s="88">
        <f>IF(Tasks[[#This Row],[Task Name]]="","",IF(Tasks[[#This Row],[_IsSummary]],MAX(INDEX(Tasks[_ShownCalcFinish],Tasks[[#This Row],[_Row]]+1):INDEX(Tasks[_ShownCalcFinish],Tasks[[#This Row],[_Row]]+Tasks[[#This Row],[_Descendants]])),Tasks[[#This Row],[_ShownCalcFinish]]))</f>
        <v/>
      </c>
      <c r="FM6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5" s="42">
        <f>IF(AND(Tasks[[#This Row],[_IsLeaf]]=1,Tasks[[#This Row],[_LeafTotalWork]]&gt;0),NETWORKDAYS.INTL(ProjectStart,Tasks[[#This Row],[_ShownFcstStart]],WorkWeek,Holidays),0)</f>
        <v/>
      </c>
      <c r="FZ65" s="42">
        <f>IF(AND(Tasks[[#This Row],[_IsLeaf]]=1,Tasks[[#This Row],[_LeafTotalWork]]&gt;0),MAX(Tasks[[#This Row],[_StartWorkday]],NETWORKDAYS.INTL(ProjectStart,Tasks[[#This Row],[_ShownFcstFinish]],WorkWeek,Holidays)),0)</f>
        <v/>
      </c>
      <c r="GA65" s="42">
        <f>IF(AND(Tasks[[#This Row],[_IsLeaf]]=1,Tasks[[#This Row],[_LeafTotalWork]]&gt;0),Tasks[[#This Row],[_LeafWork]]/(Tasks[[#This Row],[_FinishWorkday]]-Tasks[[#This Row],[_StartWorkday]]+1),0)</f>
        <v/>
      </c>
      <c r="GB65" s="42">
        <f>Tasks[[#This Row],[_WorkPerWorkday]]*(Tasks[[#This Row],[_StartWorkday]]-1)</f>
        <v/>
      </c>
      <c r="GC65" s="42">
        <f>IF(Tasks[[#This Row],[_IsLeaf]]=1,MAX(N(Tasks[[#This Row],[_Days]]),0.1),0)</f>
        <v/>
      </c>
      <c r="GD65" s="42">
        <f>Tasks[[#This Row],[_WeightDur]]*Tasks[[#This Row],[_LeafProgress]]</f>
        <v/>
      </c>
      <c r="GE65" s="42">
        <f>Tasks[[#This Row],[_WeightDur]]*Tasks[[#This Row],[_PlannedPct]]</f>
        <v/>
      </c>
      <c r="GF6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5" s="42">
        <f>IF(AND(Tasks[[#This Row],[_IsLeaf]]=1,N(Tasks[[#This Row],[_Days]])=0,Tasks[[#This Row],[_LeafProgress]]&lt;1),Tasks[[#This Row],[_ShownFcstFinish]]+Tasks[[#This Row],[_Row]]/100000,"")</f>
        <v/>
      </c>
      <c r="GH6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5" s="42">
        <f>IF(Tasks[[#This Row],[Task Name]]="","",LEFT(Tasks[[#This Row],[WBS]],FIND(".",Tasks[[#This Row],[WBS]]&amp;".")-1))</f>
        <v/>
      </c>
      <c r="GJ65" s="42">
        <f>IF(AND(Tasks[[#This Row],[Task Name]]&lt;&gt;"",Tasks[[#This Row],[_Level]]=1),Tasks[[#This Row],[_Row]],"")</f>
        <v/>
      </c>
      <c r="GK65" s="42">
        <f>IF(AND(Tasks[[#This Row],[_IsLeaf]]=1,N(Tasks[[#This Row],[_Days]])=0),Tasks[[#This Row],[Planned Finish]]+Tasks[[#This Row],[_Row]]/100000,"")</f>
        <v/>
      </c>
      <c r="GL65" s="42">
        <f>IF(AND(Tasks[[#This Row],[_IsLeaf]]=1,Tasks[[#This Row],[_LeafProgress]]&lt;1,OR(N(Tasks[[#This Row],[Finish Var]])&gt;0,Tasks[[#This Row],[Status]]="Late Start")),MAX(0,Tasks[[#This Row],[Finish Var]])+1-Tasks[[#This Row],[_Row]]/1000000,"")</f>
        <v/>
      </c>
      <c r="GM65" s="42">
        <f>IF(AND(Tasks[[#This Row],[_IsLeaf]]=1,N(Tasks[[#This Row],[Actual Start]])=0,Tasks[[#This Row],[_ShownFcstStart]]&gt;=StatusDate,Tasks[[#This Row],[_ShownFcstStart]]&lt;=LookaheadEnd),Tasks[[#This Row],[_ShownFcstStart]]+Tasks[[#This Row],[_Row]]/100000,"")</f>
        <v/>
      </c>
      <c r="GN65" s="42">
        <f>IF(AND(Tasks[[#This Row],[_IsLeaf]]=1,Tasks[[#This Row],[_LeafProgress]]&lt;1,Tasks[[#This Row],[_ShownFcstFinish]]&gt;=StatusDate,Tasks[[#This Row],[_ShownFcstFinish]]&lt;=LookaheadEnd),Tasks[[#This Row],[_ShownFcstFinish]]+Tasks[[#This Row],[_Row]]/100000,"")</f>
        <v/>
      </c>
      <c r="GO65" s="42">
        <f>IF(Tasks[[#This Row],[_LeafCritical]],Tasks[[#This Row],[_ShownFcstStart]]+Tasks[[#This Row],[_Row]]/100000,"")</f>
        <v/>
      </c>
      <c r="GP65" s="42">
        <f>Tasks[[#This Row],[_LeafWork]]*Tasks[[#This Row],[_LeafProgress]]</f>
        <v/>
      </c>
      <c r="GQ65" s="88">
        <f>IF(AND(Tasks[[#This Row],[_IsLeaf]]=1,Tasks[[#This Row],[_LeafProgress]]&gt;=1),IF(N(Tasks[[#This Row],[Actual Finish]])&gt;0,Tasks[[#This Row],[Actual Finish]],Tasks[[#This Row],[_ShownFcstFinish]]),"")</f>
        <v/>
      </c>
      <c r="GR65" s="42">
        <f>IF(Tasks[[#This Row],[_IsLeaf]]=1,N(Tasks[[#This Row],[Story Points]]),0)</f>
        <v/>
      </c>
      <c r="GS65" s="42">
        <f>""</f>
        <v/>
      </c>
      <c r="GT65" s="42">
        <f>IF(Tasks[[#This Row],[Task Name]]="",FALSE(),AND(Tasks[[#This Row],[_IsLeaf]]=1,N(Tasks[[#This Row],[_Days]])=0))</f>
        <v/>
      </c>
      <c r="GU65" s="88">
        <f>IF(Tasks[[#This Row],[Task Name]]="",0,IF(AND(Tasks[[#This Row],[_IsLeaf]]=1,NOT(Tasks[[#This Row],[_IsMilestone]]),N(Tasks[[#This Row],[Progress]])&gt;0),Tasks[[#This Row],[Start]],0))</f>
        <v/>
      </c>
      <c r="GV65" s="88">
        <f>IF(Tasks[[#This Row],[_DoneFrom]]=0,0,IF(Tasks[[#This Row],[Progress]]&gt;=1,Tasks[[#This Row],[Finish]],MAX(Tasks[[#This Row],[_DoneFrom]],Tasks[[#This Row],[Start]]+ROUND((Tasks[[#This Row],[Finish]]-Tasks[[#This Row],[Start]]+1)*Tasks[[#This Row],[Progress]],0)-1)))</f>
        <v/>
      </c>
      <c r="GW65" s="88">
        <f>IF(Tasks[[#This Row],[Task Name]]="",0,IF(OR(NOT(Tasks[[#This Row],[_IsLeaf]]=1),Tasks[[#This Row],[_IsMilestone]],N(Tasks[[#This Row],[Progress]])&gt;=1),0,IF(Tasks[[#This Row],[_DoneTo]]&gt;0,Tasks[[#This Row],[_DoneTo]]+1,Tasks[[#This Row],[Start]])))</f>
        <v/>
      </c>
      <c r="GX65" s="88">
        <f>IF(Tasks[[#This Row],[_RemFrom]]=0,0,Tasks[[#This Row],[Finish]])</f>
        <v/>
      </c>
      <c r="GY65" s="42">
        <f>IF(Tasks[[#This Row],[Task Name]]="",FALSE(),OR(NOT(BaselineSet),N(Tasks[[#This Row],[Baseline Start]])&gt;0))</f>
        <v/>
      </c>
      <c r="GZ65" s="42">
        <f>IF(AND(Sandbox="Yes",L_PARSE_DURATION(Tasks[[#This Row],[Sandbox Duration]])&lt;&gt;""),L_PARSE_DURATION(Tasks[[#This Row],[Sandbox Duration]]),L_PARSE_DURATION(Tasks[[#This Row],[Duration]]))</f>
        <v/>
      </c>
      <c r="HA6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5" s="42">
        <f>IF(Tasks[[#This Row],[_IsLeaf]]=1,Tasks[[#This Row],[_Row]],"")</f>
        <v/>
      </c>
      <c r="HD65" s="42">
        <f>IFERROR(INDEX(Tasks[UID],SMALL(Tasks[_PickKey],Tasks[[#This Row],[_Row]]))&amp;" "&amp;INDEX(Tasks[Task Name],SMALL(Tasks[_PickKey],Tasks[[#This Row],[_Row]])),"")</f>
        <v/>
      </c>
      <c r="HE65" s="42">
        <f>IF(Tasks[[#This Row],[Task Name]]="","",IF(Tasks[[#This Row],[_IsSummary]],NETWORKDAYS.INTL(Tasks[[#This Row],[Start]],Tasks[[#This Row],[Finish]],WorkWeek,Holidays),N(Tasks[[#This Row],[_Days]])))</f>
        <v/>
      </c>
      <c r="HF65" s="42">
        <f>IF(Tasks[[#This Row],[Expected]]="",0,((Tasks[[#This Row],[Pessimistic]]-Tasks[[#This Row],[Optimistic]])/6)^2)</f>
        <v/>
      </c>
      <c r="HG65" s="42">
        <f>IF(Tasks[[#This Row],[Expected]]="",0,Tasks[[#This Row],[Expected]]-N(Tasks[[#This Row],[_Days]]))</f>
        <v/>
      </c>
    </row>
    <row r="66">
      <c r="A66" s="21">
        <f>IF(Tasks[[#This Row],[Task Name]]="","",COUNTA(Tasks[[#Headers],[Task Name]]:Tasks[[#This Row],[Task Name]])-1)</f>
        <v/>
      </c>
      <c r="B66" s="22" t="n">
        <v>74</v>
      </c>
      <c r="C66" s="22" t="n"/>
      <c r="D66" s="23" t="n"/>
      <c r="E66" s="22" t="n"/>
      <c r="F66" s="23" t="n"/>
      <c r="G66" s="22" t="n"/>
      <c r="H66" s="22" t="n"/>
      <c r="I66" s="23" t="n"/>
      <c r="J66" s="22" t="n"/>
      <c r="K66" s="22" t="n"/>
      <c r="L66" s="23" t="n"/>
      <c r="M66" s="22" t="n"/>
      <c r="N66" s="22" t="n"/>
      <c r="O66" s="23" t="n"/>
      <c r="P66" s="22" t="n"/>
      <c r="Q66" s="22" t="n"/>
      <c r="R66" s="23" t="n"/>
      <c r="S66" s="23" t="n"/>
      <c r="T66" s="82" t="n"/>
      <c r="U66" s="23" t="n"/>
      <c r="V66" s="82" t="n"/>
      <c r="W66" s="23" t="n"/>
      <c r="X66" s="82" t="n"/>
      <c r="Y66" s="23" t="n"/>
      <c r="Z66" s="82" t="n"/>
      <c r="AA66" s="23" t="n"/>
      <c r="AB66" s="23" t="n"/>
      <c r="AC66" s="7" t="n"/>
      <c r="AD66" s="7" t="n"/>
      <c r="AE66" s="61">
        <f>IF(Tasks[[#This Row],[Task Name]]="","",IF(Tasks[[#This Row],[_IsSummary]],MIN(INDEX(Tasks[_ShownFcstStart],Tasks[[#This Row],[_Row]]+1):INDEX(Tasks[_ShownFcstStart],Tasks[[#This Row],[_Row]]+Tasks[[#This Row],[_Descendants]])),Tasks[[#This Row],[_ShownFcstStart]]))</f>
        <v/>
      </c>
      <c r="AF66" s="61">
        <f>IF(Tasks[[#This Row],[Task Name]]="","",IF(Tasks[[#This Row],[_IsSummary]],MAX(INDEX(Tasks[_ShownFcstFinish],Tasks[[#This Row],[_Row]]+1):INDEX(Tasks[_ShownFcstFinish],Tasks[[#This Row],[_Row]]+Tasks[[#This Row],[_Descendants]])),Tasks[[#This Row],[_ShownFcstFinish]]))</f>
        <v/>
      </c>
      <c r="AG66" s="21">
        <f>""</f>
        <v/>
      </c>
      <c r="AH66" s="23" t="n"/>
      <c r="AI6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6" s="7" t="n"/>
      <c r="AK66" s="22" t="n"/>
      <c r="AL66" s="23" t="n"/>
      <c r="AM66" s="7" t="n"/>
      <c r="AN66" s="21">
        <f>IF(Tasks[[#This Row],[Task Name]]="","",IF(Tasks[[#This Row],[Finish]]&gt;=Tasks[[#This Row],[Planned Finish]],NETWORKDAYS.INTL(Tasks[[#This Row],[Planned Finish]],Tasks[[#This Row],[Finish]],WorkWeek,Holidays)-1,1-NETWORKDAYS.INTL(Tasks[[#This Row],[Finish]],Tasks[[#This Row],[Planned Finish]],WorkWeek,Holidays)))</f>
        <v/>
      </c>
      <c r="AO66" s="21">
        <f>IF(Tasks[[#This Row],[Task Name]]="","",IF(Tasks[[#This Row],[Progress]]&gt;=1,"Complete",IF(OR(N(Tasks[[#This Row],[Actual Start]])&gt;0,Tasks[[#This Row],[Progress]]&gt;0),IF(Tasks[[#This Row],[Finish Var]]&gt;0,"Behind","In Progress"),IF(Tasks[[#This Row],[Planned Start]]&lt;StatusDate,"Late Start","Not Started"))))</f>
        <v/>
      </c>
      <c r="AP66" s="21">
        <f>IF(Tasks[[#This Row],[Task Name]]="","",IF(IF(Tasks[[#This Row],[_IsSummary]],COUNTIF(INDEX(Tasks[_LeafCritical],Tasks[[#This Row],[_Row]]+1):INDEX(Tasks[_LeafCritical],Tasks[[#This Row],[_Row]]+Tasks[[#This Row],[_Descendants]]),TRUE())&gt;0,Tasks[[#This Row],[_LeafCritical]]),"Yes",""))</f>
        <v/>
      </c>
      <c r="AQ66" s="61">
        <f>IF(Tasks[[#This Row],[Task Name]]="","",IF(N(Tasks[[#This Row],[Baseline Start]])&gt;0,Tasks[[#This Row],[Baseline Start]],Tasks[[#This Row],[_CalcStart]]))</f>
        <v/>
      </c>
      <c r="AR66" s="61">
        <f>IF(Tasks[[#This Row],[Task Name]]="","",IF(N(Tasks[[#This Row],[Baseline Finish]])&gt;0,Tasks[[#This Row],[Baseline Finish]],Tasks[[#This Row],[_CalcFinish]]))</f>
        <v/>
      </c>
      <c r="AS66" s="21">
        <f>IF(Tasks[[#This Row],[Task Name]]="","",IF(Tasks[[#This Row],[Start]]&gt;=Tasks[[#This Row],[Planned Start]],NETWORKDAYS.INTL(Tasks[[#This Row],[Planned Start]],Tasks[[#This Row],[Start]],WorkWeek,Holidays)-1,1-NETWORKDAYS.INTL(Tasks[[#This Row],[Start]],Tasks[[#This Row],[Planned Start]],WorkWeek,Holidays)))</f>
        <v/>
      </c>
      <c r="AT66" s="61">
        <f>IF(Tasks[[#This Row],[Task Name]]="","",IF(Tasks[[#This Row],[_IsSummary]],MIN(INDEX(Tasks[_LeafLateStart],Tasks[[#This Row],[_Row]]+1):INDEX(Tasks[_LeafLateStart],Tasks[[#This Row],[_Row]]+Tasks[[#This Row],[_Descendants]])),Tasks[[#This Row],[_LeafLateStart]]))</f>
        <v/>
      </c>
      <c r="AU66" s="61">
        <f>IF(Tasks[[#This Row],[Task Name]]="","",IF(Tasks[[#This Row],[_IsSummary]],MAX(INDEX(Tasks[_LeafLateFinish],Tasks[[#This Row],[_Row]]+1):INDEX(Tasks[_LeafLateFinish],Tasks[[#This Row],[_Row]]+Tasks[[#This Row],[_Descendants]])),Tasks[[#This Row],[_LeafLateFinish]]))</f>
        <v/>
      </c>
      <c r="AV66" s="21">
        <f>IF(Tasks[[#This Row],[Task Name]]="","",IF(Tasks[[#This Row],[_IsSummary]],MIN(INDEX(Tasks[_LeafTotalSlack],Tasks[[#This Row],[_Row]]+1):INDEX(Tasks[_LeafTotalSlack],Tasks[[#This Row],[_Row]]+Tasks[[#This Row],[_Descendants]])),Tasks[[#This Row],[_LeafTotalSlack]]))</f>
        <v/>
      </c>
      <c r="AW6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3" t="n"/>
      <c r="BA6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f>IF(Tasks[[#This Row],[Task Name]]="","",IF(Tasks[[#This Row],[_Level]]&lt;=OutlineShowLevel,"Yes","No"))</f>
        <v/>
      </c>
      <c r="BE66" s="84">
        <f>IF(Tasks[[#This Row],[Task Name]]="","",IF(Tasks[[#This Row],[_IsSummary]],SUM(INDEX(Tasks[_LeafTotalWork],Tasks[[#This Row],[_Row]]+1):INDEX(Tasks[_LeafTotalWork],Tasks[[#This Row],[_Row]]+Tasks[[#This Row],[_Descendants]])),Tasks[[#This Row],[_LeafTotalWork]]))</f>
        <v/>
      </c>
      <c r="BF66" s="23" t="n"/>
      <c r="BG6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f>""</f>
        <v/>
      </c>
      <c r="BI66" s="85" t="n"/>
      <c r="BJ66" s="22" t="n"/>
      <c r="BK66" s="21">
        <f>IF(OR(Tasks[[#This Row],[Task Name]]="",Tasks[[#This Row],[Baseline Duration]]=""),"",Tasks[[#This Row],[_SpanDays]]-N(Tasks[[#This Row],[Baseline Duration]]))</f>
        <v/>
      </c>
      <c r="BL66" s="84">
        <f>IF(OR(Tasks[[#This Row],[Task Name]]="",Tasks[[#This Row],[Baseline Work]]=""),"",Tasks[[#This Row],[Work]]-N(Tasks[[#This Row],[Baseline Work]]))</f>
        <v/>
      </c>
      <c r="BM66" s="61">
        <f>IF(Tasks[[#This Row],[Task Name]]="","",IF(OR(TakeBaseline="Yes",N(Tasks[[#This Row],[Baseline Start]])=0),Tasks[[#This Row],[Start]],Tasks[[#This Row],[Baseline Start]]))</f>
        <v/>
      </c>
      <c r="BN66" s="61">
        <f>IF(Tasks[[#This Row],[Task Name]]="","",IF(OR(TakeBaseline="Yes",N(Tasks[[#This Row],[Baseline Finish]])=0),Tasks[[#This Row],[Finish]],Tasks[[#This Row],[Baseline Finish]]))</f>
        <v/>
      </c>
      <c r="BO66" s="21">
        <f>IF(Tasks[[#This Row],[Task Name]]="","",IF(OR(TakeBaseline="Yes",N(Tasks[[#This Row],[Baseline Duration]])=0),Tasks[[#This Row],[_SpanDays]],Tasks[[#This Row],[Baseline Duration]]))</f>
        <v/>
      </c>
      <c r="BP66" s="84">
        <f>IF(Tasks[[#This Row],[Task Name]]="","",IF(OR(TakeBaseline="Yes",N(Tasks[[#This Row],[Baseline Work]])=0),Tasks[[#This Row],[Work]],Tasks[[#This Row],[Baseline Work]]))</f>
        <v/>
      </c>
      <c r="BQ66" s="7" t="n"/>
      <c r="BR66" s="7" t="n"/>
      <c r="BS66" s="22" t="n"/>
      <c r="BT66" s="86" t="n"/>
      <c r="BU66" s="23" t="n"/>
      <c r="BV66" s="23" t="n"/>
      <c r="BW66" s="23" t="n"/>
      <c r="BX66" s="87">
        <f>IF(AND(Tasks[[#This Row],[_IsLeaf]]=1,ISNUMBER(Tasks[[#This Row],[Optimistic]]),ISNUMBER(Tasks[[#This Row],[Pessimistic]])),ROUND((Tasks[[#This Row],[Optimistic]]+4*N(Tasks[[#This Row],[_Days]])+Tasks[[#This Row],[Pessimistic]])/6,1),"")</f>
        <v/>
      </c>
      <c r="BY66" s="85" t="n"/>
      <c r="BZ66" s="85" t="n"/>
      <c r="CA66" s="22" t="n"/>
      <c r="CB66" s="42">
        <f>IF(Tasks[[#This Row],[Task Name]]="","",MAX(1,N(Tasks[[#This Row],[Level]])))</f>
        <v/>
      </c>
      <c r="CC66" s="42">
        <f>ROW()-ROW(Tasks[[#Headers],[ID]])</f>
        <v/>
      </c>
      <c r="CD66" s="42">
        <f>IF(OR(Tasks[[#This Row],[Task Name]]="",Tasks[[#This Row],[_Level]]&lt;=1),0,IFERROR(LOOKUP(2,1/(Tasks[[#Headers],[_Level]]:Tasks[[#This Row],[_Level]]=Tasks[[#This Row],[_Level]]-1),ROW(Tasks[[#Headers],[_Level]]:Tasks[[#This Row],[_Level]])),0))</f>
        <v/>
      </c>
      <c r="CE66" s="42">
        <f>IFERROR(N(INDEX(Tasks[_Level],Tasks[[#This Row],[_Row]]+1)),0)</f>
        <v/>
      </c>
      <c r="CF66" s="42">
        <f>AND(Tasks[[#This Row],[Task Name]]&lt;&gt;"",Tasks[[#This Row],[_NextLevel]]&gt;Tasks[[#This Row],[_Level]])</f>
        <v/>
      </c>
      <c r="CG66" s="42">
        <f>IF(Tasks[[#This Row],[_IsSummary]],COUNTIF(Tasks[WBS],Tasks[[#This Row],[WBS]]&amp;".*"),0)</f>
        <v/>
      </c>
      <c r="CH66" s="42">
        <f>IF(AND(Tasks[[#This Row],[Task Name]]&lt;&gt;"",NOT(Tasks[[#This Row],[_IsSummary]])),1,0)</f>
        <v/>
      </c>
      <c r="CI66" s="42">
        <f>IF(N(Tasks[[#This Row],[_Pred1UID]])=0,0,IFERROR(MATCH(Tasks[[#This Row],[_Pred1UID]],Tasks[UID],0),-1))</f>
        <v/>
      </c>
      <c r="CJ66" s="42">
        <f>IF(N(Tasks[[#This Row],[_Pred2UID]])=0,0,IFERROR(MATCH(Tasks[[#This Row],[_Pred2UID]],Tasks[UID],0),-1))</f>
        <v/>
      </c>
      <c r="CK66" s="42">
        <f>IF(N(Tasks[[#This Row],[_Pred3UID]])=0,0,IFERROR(MATCH(Tasks[[#This Row],[_Pred3UID]],Tasks[UID],0),-1))</f>
        <v/>
      </c>
      <c r="CL66" s="42">
        <f>IF(N(Tasks[[#This Row],[_Pred4UID]])=0,0,IFERROR(MATCH(Tasks[[#This Row],[_Pred4UID]],Tasks[UID],0),-1))</f>
        <v/>
      </c>
      <c r="CM6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6" s="88">
        <f>IF(N(Tasks[[#This Row],[Constraint Date]])=0,0,IF(AND(OR(Tasks[[#This Row],[_ConstraintCode]]=3,Tasks[[#This Row],[_ConstraintCode]]=6,Tasks[[#This Row],[_ConstraintCode]]=7),N(Tasks[[#This Row],[_Days]])&gt;1),WORKDAY.INTL(N(Tasks[[#This Row],[Constraint Date]]),-(N(Tasks[[#This Row],[_Days]])-1),WorkWeek,Holidays),N(Tasks[[#This Row],[Constraint Date]])))</f>
        <v/>
      </c>
      <c r="CO66" s="88">
        <f>IF(OR(Tasks[[#This Row],[_ConstraintCode]]=2,Tasks[[#This Row],[_ConstraintCode]]=3,Tasks[[#This Row],[_ConstraintCode]]=4,Tasks[[#This Row],[_ConstraintCode]]=6),Tasks[[#This Row],[_ConstraintStart]],0)</f>
        <v/>
      </c>
      <c r="CP66" s="88">
        <f>IF(OR(Tasks[[#This Row],[_ConstraintCode]]=2,Tasks[[#This Row],[_ConstraintCode]]=3,Tasks[[#This Row],[_ConstraintCode]]=5,Tasks[[#This Row],[_ConstraintCode]]=7),Tasks[[#This Row],[_ConstraintStart]],2958465)</f>
        <v/>
      </c>
      <c r="CQ6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6" s="88">
        <f>IF(NOT(Tasks[[#This Row],[_IsLeaf]]=1),"",IF(N(Tasks[[#This Row],[_Days]])&lt;=0,Tasks[[#This Row],[_LeafCalcStart]],WORKDAY.INTL(Tasks[[#This Row],[_LeafCalcStart]],Tasks[[#This Row],[_Days]]-1,WorkWeek,Holidays)))</f>
        <v/>
      </c>
      <c r="CS6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6" s="42">
        <f>IF(Tasks[[#This Row],[_Predecessors]]="","",TRIM(MID(SUBSTITUTE(SUBSTITUTE(SUBSTITUTE(UPPER(Tasks[[#This Row],[_Predecessors]]),";",",")," ",""),",",REPT(" ",99)),1,99)))</f>
        <v/>
      </c>
      <c r="CV66" s="42">
        <f>IF(Tasks[[#This Row],[_Pred1Text]]="","",IFERROR(VALUE(LEFT(Tasks[[#This Row],[_Pred1Text]],MIN(FIND("F",Tasks[[#This Row],[_Pred1Text]]&amp;"F"),FIND("S",Tasks[[#This Row],[_Pred1Text]]&amp;"S"),FIND("+",Tasks[[#This Row],[_Pred1Text]]&amp;"+"),FIND("-",Tasks[[#This Row],[_Pred1Text]]&amp;"-"))-1)),""))</f>
        <v/>
      </c>
      <c r="CW6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6" s="42">
        <f>IF(Tasks[[#This Row],[_Pred1Text]]="","",TRIM(MID(SUBSTITUTE(SUBSTITUTE(SUBSTITUTE(UPPER(Tasks[[#This Row],[_Predecessors]]),";",",")," ",""),",",REPT(" ",99)),100,99)))</f>
        <v/>
      </c>
      <c r="CZ66" s="42">
        <f>IF(Tasks[[#This Row],[_Pred2Text]]="","",IFERROR(VALUE(LEFT(Tasks[[#This Row],[_Pred2Text]],MIN(FIND("F",Tasks[[#This Row],[_Pred2Text]]&amp;"F"),FIND("S",Tasks[[#This Row],[_Pred2Text]]&amp;"S"),FIND("+",Tasks[[#This Row],[_Pred2Text]]&amp;"+"),FIND("-",Tasks[[#This Row],[_Pred2Text]]&amp;"-"))-1)),""))</f>
        <v/>
      </c>
      <c r="DA6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6" s="42">
        <f>IF(Tasks[[#This Row],[_Pred2Text]]="","",TRIM(MID(SUBSTITUTE(SUBSTITUTE(SUBSTITUTE(UPPER(Tasks[[#This Row],[_Predecessors]]),";",",")," ",""),",",REPT(" ",99)),199,99)))</f>
        <v/>
      </c>
      <c r="DD66" s="42">
        <f>IF(Tasks[[#This Row],[_Pred3Text]]="","",IFERROR(VALUE(LEFT(Tasks[[#This Row],[_Pred3Text]],MIN(FIND("F",Tasks[[#This Row],[_Pred3Text]]&amp;"F"),FIND("S",Tasks[[#This Row],[_Pred3Text]]&amp;"S"),FIND("+",Tasks[[#This Row],[_Pred3Text]]&amp;"+"),FIND("-",Tasks[[#This Row],[_Pred3Text]]&amp;"-"))-1)),""))</f>
        <v/>
      </c>
      <c r="DE6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6" s="42">
        <f>IF(Tasks[[#This Row],[_Pred3Text]]="","",TRIM(MID(SUBSTITUTE(SUBSTITUTE(SUBSTITUTE(UPPER(Tasks[[#This Row],[_Predecessors]]),";",",")," ",""),",",REPT(" ",99)),298,99)))</f>
        <v/>
      </c>
      <c r="DH66" s="42">
        <f>IF(Tasks[[#This Row],[_Pred4Text]]="","",IFERROR(VALUE(LEFT(Tasks[[#This Row],[_Pred4Text]],MIN(FIND("F",Tasks[[#This Row],[_Pred4Text]]&amp;"F"),FIND("S",Tasks[[#This Row],[_Pred4Text]]&amp;"S"),FIND("+",Tasks[[#This Row],[_Pred4Text]]&amp;"+"),FIND("-",Tasks[[#This Row],[_Pred4Text]]&amp;"-"))-1)),""))</f>
        <v/>
      </c>
      <c r="DI6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6" s="42">
        <f>IF(OR(Tasks[[#This Row],[Task Name]]="",Tasks[[#This Row],[_Resources]]=""),"",TRIM(MID(SUBSTITUTE(Tasks[[#This Row],[_Resources]],",",REPT(" ",99)),1,99)))</f>
        <v/>
      </c>
      <c r="DL66" s="42">
        <f>IF(Tasks[[#This Row],[_Res1Text]]="","",TRIM(MID(SUBSTITUTE(Tasks[[#This Row],[_Resources]],",",REPT(" ",99)),100,99)))</f>
        <v/>
      </c>
      <c r="DM66" s="42">
        <f>IF(Tasks[[#This Row],[_Res2Text]]="","",TRIM(MID(SUBSTITUTE(Tasks[[#This Row],[_Resources]],",",REPT(" ",99)),199,99)))</f>
        <v/>
      </c>
      <c r="DN66" s="42">
        <f>IF(Tasks[[#This Row],[_Res3Text]]="","",TRIM(MID(SUBSTITUTE(Tasks[[#This Row],[_Resources]],",",REPT(" ",99)),298,99)))</f>
        <v/>
      </c>
      <c r="DO66" s="42">
        <f>IF(Tasks[[#This Row],[_Res1Text]]="",0,IFERROR(MATCH(TRIM(LEFT(Tasks[[#This Row],[_Res1Text]],FIND("[",Tasks[[#This Row],[_Res1Text]]&amp;"[")-1)),res_Name,0),IFERROR(MATCH(TRIM(LEFT(Tasks[[#This Row],[_Res1Text]],FIND("[",Tasks[[#This Row],[_Res1Text]]&amp;"[")-1)),res_Initials,0),0)))</f>
        <v/>
      </c>
      <c r="DP66" s="42">
        <f>IF(Tasks[[#This Row],[_Res2Text]]="",0,IFERROR(MATCH(TRIM(LEFT(Tasks[[#This Row],[_Res2Text]],FIND("[",Tasks[[#This Row],[_Res2Text]]&amp;"[")-1)),res_Name,0),IFERROR(MATCH(TRIM(LEFT(Tasks[[#This Row],[_Res2Text]],FIND("[",Tasks[[#This Row],[_Res2Text]]&amp;"[")-1)),res_Initials,0),0)))</f>
        <v/>
      </c>
      <c r="DQ66" s="42">
        <f>IF(Tasks[[#This Row],[_Res3Text]]="",0,IFERROR(MATCH(TRIM(LEFT(Tasks[[#This Row],[_Res3Text]],FIND("[",Tasks[[#This Row],[_Res3Text]]&amp;"[")-1)),res_Name,0),IFERROR(MATCH(TRIM(LEFT(Tasks[[#This Row],[_Res3Text]],FIND("[",Tasks[[#This Row],[_Res3Text]]&amp;"[")-1)),res_Initials,0),0)))</f>
        <v/>
      </c>
      <c r="DR66" s="42">
        <f>IF(Tasks[[#This Row],[_Res4Text]]="",0,IFERROR(MATCH(TRIM(LEFT(Tasks[[#This Row],[_Res4Text]],FIND("[",Tasks[[#This Row],[_Res4Text]]&amp;"[")-1)),res_Name,0),IFERROR(MATCH(TRIM(LEFT(Tasks[[#This Row],[_Res4Text]],FIND("[",Tasks[[#This Row],[_Res4Text]]&amp;"[")-1)),res_Initials,0),0)))</f>
        <v/>
      </c>
      <c r="DS66" s="42">
        <f>IF(Tasks[[#This Row],[_Res1Text]]="","",IF(Tasks[[#This Row],[_Res1Row]]&gt;0,INDEX(res_Name,Tasks[[#This Row],[_Res1Row]]),TRIM(LEFT(Tasks[[#This Row],[_Res1Text]],FIND("[",Tasks[[#This Row],[_Res1Text]]&amp;"[")-1))))</f>
        <v/>
      </c>
      <c r="DT6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6" s="42">
        <f>IF(NOT(Tasks[[#This Row],[_IsLeaf]]=1),0,(Tasks[[#This Row],[_Resource1]]&lt;&gt;"")+(Tasks[[#This Row],[_Res2]]&lt;&gt;"")+(Tasks[[#This Row],[_Res3]]&lt;&gt;"")+(Tasks[[#This Row],[_Res4]]&lt;&gt;""))</f>
        <v/>
      </c>
      <c r="DV66" s="42">
        <f>IF(Tasks[[#This Row],[_Res2Text]]="","",IF(Tasks[[#This Row],[_Res2Row]]&gt;0,INDEX(res_Name,Tasks[[#This Row],[_Res2Row]]),TRIM(LEFT(Tasks[[#This Row],[_Res2Text]],FIND("[",Tasks[[#This Row],[_Res2Text]]&amp;"[")-1))))</f>
        <v/>
      </c>
      <c r="DW6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6" s="42">
        <f>IF(OR(NOT(Tasks[[#This Row],[_IsLeaf]]=1),Tasks[[#This Row],[_Res2Row]]=0),0,N(Tasks[[#This Row],[_Days]])*HoursPerDay*IF(Tasks[[#This Row],[_Res2Units]]="",DefaultUnits,Tasks[[#This Row],[_Res2Units]]))</f>
        <v/>
      </c>
      <c r="DY66" s="42">
        <f>IF(AND(AND(Tasks[[#This Row],[_IsLeaf]]=1,Tasks[[#This Row],[_LeafTotalWork]]&gt;0),Tasks[[#This Row],[_Res2Work]]&gt;0),Tasks[[#This Row],[_Res2Work]]/(Tasks[[#This Row],[_FinishWorkday]]-Tasks[[#This Row],[_StartWorkday]]+1),0)</f>
        <v/>
      </c>
      <c r="DZ66" s="42">
        <f>Tasks[[#This Row],[_Res2WorkPerWD]]*MAX(0,Tasks[[#This Row],[_StartWorkday]]-1)</f>
        <v/>
      </c>
      <c r="EA66" s="42">
        <f>Tasks[[#This Row],[_Res2Work]]*Tasks[[#This Row],[_LeafProgress]]</f>
        <v/>
      </c>
      <c r="EB66" s="42">
        <f>IF(Tasks[[#This Row],[_Res3Text]]="","",IF(Tasks[[#This Row],[_Res3Row]]&gt;0,INDEX(res_Name,Tasks[[#This Row],[_Res3Row]]),TRIM(LEFT(Tasks[[#This Row],[_Res3Text]],FIND("[",Tasks[[#This Row],[_Res3Text]]&amp;"[")-1))))</f>
        <v/>
      </c>
      <c r="EC6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6" s="42">
        <f>IF(OR(NOT(Tasks[[#This Row],[_IsLeaf]]=1),Tasks[[#This Row],[_Res3Row]]=0),0,N(Tasks[[#This Row],[_Days]])*HoursPerDay*IF(Tasks[[#This Row],[_Res3Units]]="",DefaultUnits,Tasks[[#This Row],[_Res3Units]]))</f>
        <v/>
      </c>
      <c r="EE66" s="42">
        <f>IF(AND(AND(Tasks[[#This Row],[_IsLeaf]]=1,Tasks[[#This Row],[_LeafTotalWork]]&gt;0),Tasks[[#This Row],[_Res3Work]]&gt;0),Tasks[[#This Row],[_Res3Work]]/(Tasks[[#This Row],[_FinishWorkday]]-Tasks[[#This Row],[_StartWorkday]]+1),0)</f>
        <v/>
      </c>
      <c r="EF66" s="42">
        <f>Tasks[[#This Row],[_Res3WorkPerWD]]*MAX(0,Tasks[[#This Row],[_StartWorkday]]-1)</f>
        <v/>
      </c>
      <c r="EG66" s="42">
        <f>Tasks[[#This Row],[_Res3Work]]*Tasks[[#This Row],[_LeafProgress]]</f>
        <v/>
      </c>
      <c r="EH66" s="42">
        <f>IF(Tasks[[#This Row],[_Res4Text]]="","",IF(Tasks[[#This Row],[_Res4Row]]&gt;0,INDEX(res_Name,Tasks[[#This Row],[_Res4Row]]),TRIM(LEFT(Tasks[[#This Row],[_Res4Text]],FIND("[",Tasks[[#This Row],[_Res4Text]]&amp;"[")-1))))</f>
        <v/>
      </c>
      <c r="EI6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6" s="42">
        <f>IF(OR(NOT(Tasks[[#This Row],[_IsLeaf]]=1),Tasks[[#This Row],[_Res4Row]]=0),0,N(Tasks[[#This Row],[_Days]])*HoursPerDay*IF(Tasks[[#This Row],[_Res4Units]]="",DefaultUnits,Tasks[[#This Row],[_Res4Units]]))</f>
        <v/>
      </c>
      <c r="EK66" s="42">
        <f>IF(AND(AND(Tasks[[#This Row],[_IsLeaf]]=1,Tasks[[#This Row],[_LeafTotalWork]]&gt;0),Tasks[[#This Row],[_Res4Work]]&gt;0),Tasks[[#This Row],[_Res4Work]]/(Tasks[[#This Row],[_FinishWorkday]]-Tasks[[#This Row],[_StartWorkday]]+1),0)</f>
        <v/>
      </c>
      <c r="EL66" s="42">
        <f>Tasks[[#This Row],[_Res4WorkPerWD]]*MAX(0,Tasks[[#This Row],[_StartWorkday]]-1)</f>
        <v/>
      </c>
      <c r="EM66" s="42">
        <f>Tasks[[#This Row],[_Res4Work]]*Tasks[[#This Row],[_LeafProgress]]</f>
        <v/>
      </c>
      <c r="EN66" s="42">
        <f>IF(ISNUMBER(Tasks[[#This Row],[% Complete]]),Tasks[[#This Row],[% Complete]],IF(Tasks[[#This Row],[Stage]]="",0,IFERROR(INDEX(stg_Pct,MATCH(Tasks[[#This Row],[Stage]],stg_Name,0)),0)))</f>
        <v/>
      </c>
      <c r="EO66" s="42">
        <f>IF(NOT(Tasks[[#This Row],[_IsLeaf]]=1),0,IF(N(Tasks[[#This Row],[Actual Finish]])&gt;0,1,MIN(1,Tasks[[#This Row],[_Pct]])))</f>
        <v/>
      </c>
      <c r="EP66" s="42">
        <f>IF(OR(NOT(Tasks[[#This Row],[_IsLeaf]]=1),Tasks[[#This Row],[_Res1Row]]=0),0,N(Tasks[[#This Row],[_Days]])*HoursPerDay*IF(Tasks[[#This Row],[_Units1]]="",DefaultUnits,Tasks[[#This Row],[_Units1]]))</f>
        <v/>
      </c>
      <c r="EQ66" s="42">
        <f>Tasks[[#This Row],[_LeafWork]]+Tasks[[#This Row],[_Res2Work]]+Tasks[[#This Row],[_Res3Work]]+Tasks[[#This Row],[_Res4Work]]</f>
        <v/>
      </c>
      <c r="ER6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6" s="42">
        <f>IF(NOT(Tasks[[#This Row],[_IsLeaf]]=1),0,MAX(_xlfn.MAXIFS(Tasks[_Row],Tasks[_Pred1UID],Tasks[[#This Row],[UID]]),_xlfn.MAXIFS(Tasks[_Row],Tasks[_Pred2UID],Tasks[[#This Row],[UID]]),_xlfn.MAXIFS(Tasks[_Row],Tasks[_Pred3UID],Tasks[[#This Row],[UID]]),_xlfn.MAXIFS(Tasks[_Row],Tasks[_Pred4UID],Tasks[[#This Row],[UID]])))</f>
        <v/>
      </c>
      <c r="FA6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6" s="88">
        <f>IF(NOT(Tasks[[#This Row],[_IsLeaf]]=1),"",IF(N(Tasks[[#This Row],[_Days]])&lt;=0,Tasks[[#This Row],[_LeafLateFinish]],WORKDAY.INTL(Tasks[[#This Row],[_LeafLateFinish]],-(Tasks[[#This Row],[_Days]]-1),WorkWeek,Holidays)))</f>
        <v/>
      </c>
      <c r="FD6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6" s="42">
        <f>AND(Tasks[[#This Row],[_IsLeaf]]=1,Tasks[[#This Row],[_LeafProgress]]&lt;1,N(Tasks[[#This Row],[_LeafTotalSlack]])&lt;=CriticalSlackDays)</f>
        <v/>
      </c>
      <c r="FF66" s="42">
        <f>IF(AND(Tasks[[#This Row],[_IsLeaf]]=1,Tasks[[#This Row],[_ConstraintCode]]=1,Tasks[[#This Row],[Mode]]&lt;&gt;"Manual",N(Tasks[[#This Row],[Actual Start]])=0),MAX(0,N(Tasks[[#This Row],[Free Slack]])),0)</f>
        <v/>
      </c>
      <c r="FG66" s="88">
        <f>IF(NOT(Tasks[[#This Row],[_IsLeaf]]=1),"",IF(Tasks[[#This Row],[_AlapShift]]=0,Tasks[[#This Row],[_LeafCalcStart]],WORKDAY.INTL(Tasks[[#This Row],[_LeafCalcStart]],Tasks[[#This Row],[_AlapShift]],WorkWeek,Holidays)))</f>
        <v/>
      </c>
      <c r="FH66" s="88">
        <f>IF(NOT(Tasks[[#This Row],[_IsLeaf]]=1),"",IF(Tasks[[#This Row],[_AlapShift]]=0,Tasks[[#This Row],[_LeafCalcFinish]],WORKDAY.INTL(Tasks[[#This Row],[_LeafCalcFinish]],Tasks[[#This Row],[_AlapShift]],WorkWeek,Holidays)))</f>
        <v/>
      </c>
      <c r="FI66" s="88">
        <f>IF(NOT(Tasks[[#This Row],[_IsLeaf]]=1),"",IF(Tasks[[#This Row],[_AlapShift]]=0,Tasks[[#This Row],[_LeafFcstStart]],WORKDAY.INTL(Tasks[[#This Row],[_LeafFcstStart]],Tasks[[#This Row],[_AlapShift]],WorkWeek,Holidays)))</f>
        <v/>
      </c>
      <c r="FJ66" s="88">
        <f>IF(NOT(Tasks[[#This Row],[_IsLeaf]]=1),"",IF(Tasks[[#This Row],[_AlapShift]]=0,Tasks[[#This Row],[_LeafFcstFinish]],WORKDAY.INTL(Tasks[[#This Row],[_LeafFcstFinish]],Tasks[[#This Row],[_AlapShift]],WorkWeek,Holidays)))</f>
        <v/>
      </c>
      <c r="FK66" s="88">
        <f>IF(Tasks[[#This Row],[Task Name]]="","",IF(Tasks[[#This Row],[_IsSummary]],MIN(INDEX(Tasks[_ShownCalcStart],Tasks[[#This Row],[_Row]]+1):INDEX(Tasks[_ShownCalcStart],Tasks[[#This Row],[_Row]]+Tasks[[#This Row],[_Descendants]])),Tasks[[#This Row],[_ShownCalcStart]]))</f>
        <v/>
      </c>
      <c r="FL66" s="88">
        <f>IF(Tasks[[#This Row],[Task Name]]="","",IF(Tasks[[#This Row],[_IsSummary]],MAX(INDEX(Tasks[_ShownCalcFinish],Tasks[[#This Row],[_Row]]+1):INDEX(Tasks[_ShownCalcFinish],Tasks[[#This Row],[_Row]]+Tasks[[#This Row],[_Descendants]])),Tasks[[#This Row],[_ShownCalcFinish]]))</f>
        <v/>
      </c>
      <c r="FM6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6" s="42">
        <f>IF(AND(Tasks[[#This Row],[_IsLeaf]]=1,Tasks[[#This Row],[_LeafTotalWork]]&gt;0),NETWORKDAYS.INTL(ProjectStart,Tasks[[#This Row],[_ShownFcstStart]],WorkWeek,Holidays),0)</f>
        <v/>
      </c>
      <c r="FZ66" s="42">
        <f>IF(AND(Tasks[[#This Row],[_IsLeaf]]=1,Tasks[[#This Row],[_LeafTotalWork]]&gt;0),MAX(Tasks[[#This Row],[_StartWorkday]],NETWORKDAYS.INTL(ProjectStart,Tasks[[#This Row],[_ShownFcstFinish]],WorkWeek,Holidays)),0)</f>
        <v/>
      </c>
      <c r="GA66" s="42">
        <f>IF(AND(Tasks[[#This Row],[_IsLeaf]]=1,Tasks[[#This Row],[_LeafTotalWork]]&gt;0),Tasks[[#This Row],[_LeafWork]]/(Tasks[[#This Row],[_FinishWorkday]]-Tasks[[#This Row],[_StartWorkday]]+1),0)</f>
        <v/>
      </c>
      <c r="GB66" s="42">
        <f>Tasks[[#This Row],[_WorkPerWorkday]]*(Tasks[[#This Row],[_StartWorkday]]-1)</f>
        <v/>
      </c>
      <c r="GC66" s="42">
        <f>IF(Tasks[[#This Row],[_IsLeaf]]=1,MAX(N(Tasks[[#This Row],[_Days]]),0.1),0)</f>
        <v/>
      </c>
      <c r="GD66" s="42">
        <f>Tasks[[#This Row],[_WeightDur]]*Tasks[[#This Row],[_LeafProgress]]</f>
        <v/>
      </c>
      <c r="GE66" s="42">
        <f>Tasks[[#This Row],[_WeightDur]]*Tasks[[#This Row],[_PlannedPct]]</f>
        <v/>
      </c>
      <c r="GF6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6" s="42">
        <f>IF(AND(Tasks[[#This Row],[_IsLeaf]]=1,N(Tasks[[#This Row],[_Days]])=0,Tasks[[#This Row],[_LeafProgress]]&lt;1),Tasks[[#This Row],[_ShownFcstFinish]]+Tasks[[#This Row],[_Row]]/100000,"")</f>
        <v/>
      </c>
      <c r="GH6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6" s="42">
        <f>IF(Tasks[[#This Row],[Task Name]]="","",LEFT(Tasks[[#This Row],[WBS]],FIND(".",Tasks[[#This Row],[WBS]]&amp;".")-1))</f>
        <v/>
      </c>
      <c r="GJ66" s="42">
        <f>IF(AND(Tasks[[#This Row],[Task Name]]&lt;&gt;"",Tasks[[#This Row],[_Level]]=1),Tasks[[#This Row],[_Row]],"")</f>
        <v/>
      </c>
      <c r="GK66" s="42">
        <f>IF(AND(Tasks[[#This Row],[_IsLeaf]]=1,N(Tasks[[#This Row],[_Days]])=0),Tasks[[#This Row],[Planned Finish]]+Tasks[[#This Row],[_Row]]/100000,"")</f>
        <v/>
      </c>
      <c r="GL66" s="42">
        <f>IF(AND(Tasks[[#This Row],[_IsLeaf]]=1,Tasks[[#This Row],[_LeafProgress]]&lt;1,OR(N(Tasks[[#This Row],[Finish Var]])&gt;0,Tasks[[#This Row],[Status]]="Late Start")),MAX(0,Tasks[[#This Row],[Finish Var]])+1-Tasks[[#This Row],[_Row]]/1000000,"")</f>
        <v/>
      </c>
      <c r="GM66" s="42">
        <f>IF(AND(Tasks[[#This Row],[_IsLeaf]]=1,N(Tasks[[#This Row],[Actual Start]])=0,Tasks[[#This Row],[_ShownFcstStart]]&gt;=StatusDate,Tasks[[#This Row],[_ShownFcstStart]]&lt;=LookaheadEnd),Tasks[[#This Row],[_ShownFcstStart]]+Tasks[[#This Row],[_Row]]/100000,"")</f>
        <v/>
      </c>
      <c r="GN66" s="42">
        <f>IF(AND(Tasks[[#This Row],[_IsLeaf]]=1,Tasks[[#This Row],[_LeafProgress]]&lt;1,Tasks[[#This Row],[_ShownFcstFinish]]&gt;=StatusDate,Tasks[[#This Row],[_ShownFcstFinish]]&lt;=LookaheadEnd),Tasks[[#This Row],[_ShownFcstFinish]]+Tasks[[#This Row],[_Row]]/100000,"")</f>
        <v/>
      </c>
      <c r="GO66" s="42">
        <f>IF(Tasks[[#This Row],[_LeafCritical]],Tasks[[#This Row],[_ShownFcstStart]]+Tasks[[#This Row],[_Row]]/100000,"")</f>
        <v/>
      </c>
      <c r="GP66" s="42">
        <f>Tasks[[#This Row],[_LeafWork]]*Tasks[[#This Row],[_LeafProgress]]</f>
        <v/>
      </c>
      <c r="GQ66" s="88">
        <f>IF(AND(Tasks[[#This Row],[_IsLeaf]]=1,Tasks[[#This Row],[_LeafProgress]]&gt;=1),IF(N(Tasks[[#This Row],[Actual Finish]])&gt;0,Tasks[[#This Row],[Actual Finish]],Tasks[[#This Row],[_ShownFcstFinish]]),"")</f>
        <v/>
      </c>
      <c r="GR66" s="42">
        <f>IF(Tasks[[#This Row],[_IsLeaf]]=1,N(Tasks[[#This Row],[Story Points]]),0)</f>
        <v/>
      </c>
      <c r="GS66" s="42">
        <f>""</f>
        <v/>
      </c>
      <c r="GT66" s="42">
        <f>IF(Tasks[[#This Row],[Task Name]]="",FALSE(),AND(Tasks[[#This Row],[_IsLeaf]]=1,N(Tasks[[#This Row],[_Days]])=0))</f>
        <v/>
      </c>
      <c r="GU66" s="88">
        <f>IF(Tasks[[#This Row],[Task Name]]="",0,IF(AND(Tasks[[#This Row],[_IsLeaf]]=1,NOT(Tasks[[#This Row],[_IsMilestone]]),N(Tasks[[#This Row],[Progress]])&gt;0),Tasks[[#This Row],[Start]],0))</f>
        <v/>
      </c>
      <c r="GV66" s="88">
        <f>IF(Tasks[[#This Row],[_DoneFrom]]=0,0,IF(Tasks[[#This Row],[Progress]]&gt;=1,Tasks[[#This Row],[Finish]],MAX(Tasks[[#This Row],[_DoneFrom]],Tasks[[#This Row],[Start]]+ROUND((Tasks[[#This Row],[Finish]]-Tasks[[#This Row],[Start]]+1)*Tasks[[#This Row],[Progress]],0)-1)))</f>
        <v/>
      </c>
      <c r="GW66" s="88">
        <f>IF(Tasks[[#This Row],[Task Name]]="",0,IF(OR(NOT(Tasks[[#This Row],[_IsLeaf]]=1),Tasks[[#This Row],[_IsMilestone]],N(Tasks[[#This Row],[Progress]])&gt;=1),0,IF(Tasks[[#This Row],[_DoneTo]]&gt;0,Tasks[[#This Row],[_DoneTo]]+1,Tasks[[#This Row],[Start]])))</f>
        <v/>
      </c>
      <c r="GX66" s="88">
        <f>IF(Tasks[[#This Row],[_RemFrom]]=0,0,Tasks[[#This Row],[Finish]])</f>
        <v/>
      </c>
      <c r="GY66" s="42">
        <f>IF(Tasks[[#This Row],[Task Name]]="",FALSE(),OR(NOT(BaselineSet),N(Tasks[[#This Row],[Baseline Start]])&gt;0))</f>
        <v/>
      </c>
      <c r="GZ66" s="42">
        <f>IF(AND(Sandbox="Yes",L_PARSE_DURATION(Tasks[[#This Row],[Sandbox Duration]])&lt;&gt;""),L_PARSE_DURATION(Tasks[[#This Row],[Sandbox Duration]]),L_PARSE_DURATION(Tasks[[#This Row],[Duration]]))</f>
        <v/>
      </c>
      <c r="HA6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6" s="42">
        <f>IF(Tasks[[#This Row],[_IsLeaf]]=1,Tasks[[#This Row],[_Row]],"")</f>
        <v/>
      </c>
      <c r="HD66" s="42">
        <f>IFERROR(INDEX(Tasks[UID],SMALL(Tasks[_PickKey],Tasks[[#This Row],[_Row]]))&amp;" "&amp;INDEX(Tasks[Task Name],SMALL(Tasks[_PickKey],Tasks[[#This Row],[_Row]])),"")</f>
        <v/>
      </c>
      <c r="HE66" s="42">
        <f>IF(Tasks[[#This Row],[Task Name]]="","",IF(Tasks[[#This Row],[_IsSummary]],NETWORKDAYS.INTL(Tasks[[#This Row],[Start]],Tasks[[#This Row],[Finish]],WorkWeek,Holidays),N(Tasks[[#This Row],[_Days]])))</f>
        <v/>
      </c>
      <c r="HF66" s="42">
        <f>IF(Tasks[[#This Row],[Expected]]="",0,((Tasks[[#This Row],[Pessimistic]]-Tasks[[#This Row],[Optimistic]])/6)^2)</f>
        <v/>
      </c>
      <c r="HG66" s="42">
        <f>IF(Tasks[[#This Row],[Expected]]="",0,Tasks[[#This Row],[Expected]]-N(Tasks[[#This Row],[_Days]]))</f>
        <v/>
      </c>
    </row>
    <row r="67">
      <c r="A67" s="21">
        <f>IF(Tasks[[#This Row],[Task Name]]="","",COUNTA(Tasks[[#Headers],[Task Name]]:Tasks[[#This Row],[Task Name]])-1)</f>
        <v/>
      </c>
      <c r="B67" s="22" t="n">
        <v>75</v>
      </c>
      <c r="C67" s="22" t="n"/>
      <c r="D67" s="23" t="n"/>
      <c r="E67" s="22" t="n"/>
      <c r="F67" s="23" t="n"/>
      <c r="G67" s="22" t="n"/>
      <c r="H67" s="22" t="n"/>
      <c r="I67" s="23" t="n"/>
      <c r="J67" s="22" t="n"/>
      <c r="K67" s="22" t="n"/>
      <c r="L67" s="23" t="n"/>
      <c r="M67" s="22" t="n"/>
      <c r="N67" s="22" t="n"/>
      <c r="O67" s="23" t="n"/>
      <c r="P67" s="22" t="n"/>
      <c r="Q67" s="22" t="n"/>
      <c r="R67" s="23" t="n"/>
      <c r="S67" s="23" t="n"/>
      <c r="T67" s="82" t="n"/>
      <c r="U67" s="23" t="n"/>
      <c r="V67" s="82" t="n"/>
      <c r="W67" s="23" t="n"/>
      <c r="X67" s="82" t="n"/>
      <c r="Y67" s="23" t="n"/>
      <c r="Z67" s="82" t="n"/>
      <c r="AA67" s="23" t="n"/>
      <c r="AB67" s="23" t="n"/>
      <c r="AC67" s="7" t="n"/>
      <c r="AD67" s="7" t="n"/>
      <c r="AE67" s="61">
        <f>IF(Tasks[[#This Row],[Task Name]]="","",IF(Tasks[[#This Row],[_IsSummary]],MIN(INDEX(Tasks[_ShownFcstStart],Tasks[[#This Row],[_Row]]+1):INDEX(Tasks[_ShownFcstStart],Tasks[[#This Row],[_Row]]+Tasks[[#This Row],[_Descendants]])),Tasks[[#This Row],[_ShownFcstStart]]))</f>
        <v/>
      </c>
      <c r="AF67" s="61">
        <f>IF(Tasks[[#This Row],[Task Name]]="","",IF(Tasks[[#This Row],[_IsSummary]],MAX(INDEX(Tasks[_ShownFcstFinish],Tasks[[#This Row],[_Row]]+1):INDEX(Tasks[_ShownFcstFinish],Tasks[[#This Row],[_Row]]+Tasks[[#This Row],[_Descendants]])),Tasks[[#This Row],[_ShownFcstFinish]]))</f>
        <v/>
      </c>
      <c r="AG67" s="21">
        <f>""</f>
        <v/>
      </c>
      <c r="AH67" s="23" t="n"/>
      <c r="AI6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7" s="7" t="n"/>
      <c r="AK67" s="22" t="n"/>
      <c r="AL67" s="23" t="n"/>
      <c r="AM67" s="7" t="n"/>
      <c r="AN67" s="21">
        <f>IF(Tasks[[#This Row],[Task Name]]="","",IF(Tasks[[#This Row],[Finish]]&gt;=Tasks[[#This Row],[Planned Finish]],NETWORKDAYS.INTL(Tasks[[#This Row],[Planned Finish]],Tasks[[#This Row],[Finish]],WorkWeek,Holidays)-1,1-NETWORKDAYS.INTL(Tasks[[#This Row],[Finish]],Tasks[[#This Row],[Planned Finish]],WorkWeek,Holidays)))</f>
        <v/>
      </c>
      <c r="AO67" s="21">
        <f>IF(Tasks[[#This Row],[Task Name]]="","",IF(Tasks[[#This Row],[Progress]]&gt;=1,"Complete",IF(OR(N(Tasks[[#This Row],[Actual Start]])&gt;0,Tasks[[#This Row],[Progress]]&gt;0),IF(Tasks[[#This Row],[Finish Var]]&gt;0,"Behind","In Progress"),IF(Tasks[[#This Row],[Planned Start]]&lt;StatusDate,"Late Start","Not Started"))))</f>
        <v/>
      </c>
      <c r="AP67" s="21">
        <f>IF(Tasks[[#This Row],[Task Name]]="","",IF(IF(Tasks[[#This Row],[_IsSummary]],COUNTIF(INDEX(Tasks[_LeafCritical],Tasks[[#This Row],[_Row]]+1):INDEX(Tasks[_LeafCritical],Tasks[[#This Row],[_Row]]+Tasks[[#This Row],[_Descendants]]),TRUE())&gt;0,Tasks[[#This Row],[_LeafCritical]]),"Yes",""))</f>
        <v/>
      </c>
      <c r="AQ67" s="61">
        <f>IF(Tasks[[#This Row],[Task Name]]="","",IF(N(Tasks[[#This Row],[Baseline Start]])&gt;0,Tasks[[#This Row],[Baseline Start]],Tasks[[#This Row],[_CalcStart]]))</f>
        <v/>
      </c>
      <c r="AR67" s="61">
        <f>IF(Tasks[[#This Row],[Task Name]]="","",IF(N(Tasks[[#This Row],[Baseline Finish]])&gt;0,Tasks[[#This Row],[Baseline Finish]],Tasks[[#This Row],[_CalcFinish]]))</f>
        <v/>
      </c>
      <c r="AS67" s="21">
        <f>IF(Tasks[[#This Row],[Task Name]]="","",IF(Tasks[[#This Row],[Start]]&gt;=Tasks[[#This Row],[Planned Start]],NETWORKDAYS.INTL(Tasks[[#This Row],[Planned Start]],Tasks[[#This Row],[Start]],WorkWeek,Holidays)-1,1-NETWORKDAYS.INTL(Tasks[[#This Row],[Start]],Tasks[[#This Row],[Planned Start]],WorkWeek,Holidays)))</f>
        <v/>
      </c>
      <c r="AT67" s="61">
        <f>IF(Tasks[[#This Row],[Task Name]]="","",IF(Tasks[[#This Row],[_IsSummary]],MIN(INDEX(Tasks[_LeafLateStart],Tasks[[#This Row],[_Row]]+1):INDEX(Tasks[_LeafLateStart],Tasks[[#This Row],[_Row]]+Tasks[[#This Row],[_Descendants]])),Tasks[[#This Row],[_LeafLateStart]]))</f>
        <v/>
      </c>
      <c r="AU67" s="61">
        <f>IF(Tasks[[#This Row],[Task Name]]="","",IF(Tasks[[#This Row],[_IsSummary]],MAX(INDEX(Tasks[_LeafLateFinish],Tasks[[#This Row],[_Row]]+1):INDEX(Tasks[_LeafLateFinish],Tasks[[#This Row],[_Row]]+Tasks[[#This Row],[_Descendants]])),Tasks[[#This Row],[_LeafLateFinish]]))</f>
        <v/>
      </c>
      <c r="AV67" s="21">
        <f>IF(Tasks[[#This Row],[Task Name]]="","",IF(Tasks[[#This Row],[_IsSummary]],MIN(INDEX(Tasks[_LeafTotalSlack],Tasks[[#This Row],[_Row]]+1):INDEX(Tasks[_LeafTotalSlack],Tasks[[#This Row],[_Row]]+Tasks[[#This Row],[_Descendants]])),Tasks[[#This Row],[_LeafTotalSlack]]))</f>
        <v/>
      </c>
      <c r="AW6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3" t="n"/>
      <c r="BA6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f>IF(Tasks[[#This Row],[Task Name]]="","",IF(Tasks[[#This Row],[_Level]]&lt;=OutlineShowLevel,"Yes","No"))</f>
        <v/>
      </c>
      <c r="BE67" s="84">
        <f>IF(Tasks[[#This Row],[Task Name]]="","",IF(Tasks[[#This Row],[_IsSummary]],SUM(INDEX(Tasks[_LeafTotalWork],Tasks[[#This Row],[_Row]]+1):INDEX(Tasks[_LeafTotalWork],Tasks[[#This Row],[_Row]]+Tasks[[#This Row],[_Descendants]])),Tasks[[#This Row],[_LeafTotalWork]]))</f>
        <v/>
      </c>
      <c r="BF67" s="23" t="n"/>
      <c r="BG6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f>""</f>
        <v/>
      </c>
      <c r="BI67" s="85" t="n"/>
      <c r="BJ67" s="22" t="n"/>
      <c r="BK67" s="21">
        <f>IF(OR(Tasks[[#This Row],[Task Name]]="",Tasks[[#This Row],[Baseline Duration]]=""),"",Tasks[[#This Row],[_SpanDays]]-N(Tasks[[#This Row],[Baseline Duration]]))</f>
        <v/>
      </c>
      <c r="BL67" s="84">
        <f>IF(OR(Tasks[[#This Row],[Task Name]]="",Tasks[[#This Row],[Baseline Work]]=""),"",Tasks[[#This Row],[Work]]-N(Tasks[[#This Row],[Baseline Work]]))</f>
        <v/>
      </c>
      <c r="BM67" s="61">
        <f>IF(Tasks[[#This Row],[Task Name]]="","",IF(OR(TakeBaseline="Yes",N(Tasks[[#This Row],[Baseline Start]])=0),Tasks[[#This Row],[Start]],Tasks[[#This Row],[Baseline Start]]))</f>
        <v/>
      </c>
      <c r="BN67" s="61">
        <f>IF(Tasks[[#This Row],[Task Name]]="","",IF(OR(TakeBaseline="Yes",N(Tasks[[#This Row],[Baseline Finish]])=0),Tasks[[#This Row],[Finish]],Tasks[[#This Row],[Baseline Finish]]))</f>
        <v/>
      </c>
      <c r="BO67" s="21">
        <f>IF(Tasks[[#This Row],[Task Name]]="","",IF(OR(TakeBaseline="Yes",N(Tasks[[#This Row],[Baseline Duration]])=0),Tasks[[#This Row],[_SpanDays]],Tasks[[#This Row],[Baseline Duration]]))</f>
        <v/>
      </c>
      <c r="BP67" s="84">
        <f>IF(Tasks[[#This Row],[Task Name]]="","",IF(OR(TakeBaseline="Yes",N(Tasks[[#This Row],[Baseline Work]])=0),Tasks[[#This Row],[Work]],Tasks[[#This Row],[Baseline Work]]))</f>
        <v/>
      </c>
      <c r="BQ67" s="7" t="n"/>
      <c r="BR67" s="7" t="n"/>
      <c r="BS67" s="22" t="n"/>
      <c r="BT67" s="86" t="n"/>
      <c r="BU67" s="23" t="n"/>
      <c r="BV67" s="23" t="n"/>
      <c r="BW67" s="23" t="n"/>
      <c r="BX67" s="87">
        <f>IF(AND(Tasks[[#This Row],[_IsLeaf]]=1,ISNUMBER(Tasks[[#This Row],[Optimistic]]),ISNUMBER(Tasks[[#This Row],[Pessimistic]])),ROUND((Tasks[[#This Row],[Optimistic]]+4*N(Tasks[[#This Row],[_Days]])+Tasks[[#This Row],[Pessimistic]])/6,1),"")</f>
        <v/>
      </c>
      <c r="BY67" s="85" t="n"/>
      <c r="BZ67" s="85" t="n"/>
      <c r="CA67" s="22" t="n"/>
      <c r="CB67" s="42">
        <f>IF(Tasks[[#This Row],[Task Name]]="","",MAX(1,N(Tasks[[#This Row],[Level]])))</f>
        <v/>
      </c>
      <c r="CC67" s="42">
        <f>ROW()-ROW(Tasks[[#Headers],[ID]])</f>
        <v/>
      </c>
      <c r="CD67" s="42">
        <f>IF(OR(Tasks[[#This Row],[Task Name]]="",Tasks[[#This Row],[_Level]]&lt;=1),0,IFERROR(LOOKUP(2,1/(Tasks[[#Headers],[_Level]]:Tasks[[#This Row],[_Level]]=Tasks[[#This Row],[_Level]]-1),ROW(Tasks[[#Headers],[_Level]]:Tasks[[#This Row],[_Level]])),0))</f>
        <v/>
      </c>
      <c r="CE67" s="42">
        <f>IFERROR(N(INDEX(Tasks[_Level],Tasks[[#This Row],[_Row]]+1)),0)</f>
        <v/>
      </c>
      <c r="CF67" s="42">
        <f>AND(Tasks[[#This Row],[Task Name]]&lt;&gt;"",Tasks[[#This Row],[_NextLevel]]&gt;Tasks[[#This Row],[_Level]])</f>
        <v/>
      </c>
      <c r="CG67" s="42">
        <f>IF(Tasks[[#This Row],[_IsSummary]],COUNTIF(Tasks[WBS],Tasks[[#This Row],[WBS]]&amp;".*"),0)</f>
        <v/>
      </c>
      <c r="CH67" s="42">
        <f>IF(AND(Tasks[[#This Row],[Task Name]]&lt;&gt;"",NOT(Tasks[[#This Row],[_IsSummary]])),1,0)</f>
        <v/>
      </c>
      <c r="CI67" s="42">
        <f>IF(N(Tasks[[#This Row],[_Pred1UID]])=0,0,IFERROR(MATCH(Tasks[[#This Row],[_Pred1UID]],Tasks[UID],0),-1))</f>
        <v/>
      </c>
      <c r="CJ67" s="42">
        <f>IF(N(Tasks[[#This Row],[_Pred2UID]])=0,0,IFERROR(MATCH(Tasks[[#This Row],[_Pred2UID]],Tasks[UID],0),-1))</f>
        <v/>
      </c>
      <c r="CK67" s="42">
        <f>IF(N(Tasks[[#This Row],[_Pred3UID]])=0,0,IFERROR(MATCH(Tasks[[#This Row],[_Pred3UID]],Tasks[UID],0),-1))</f>
        <v/>
      </c>
      <c r="CL67" s="42">
        <f>IF(N(Tasks[[#This Row],[_Pred4UID]])=0,0,IFERROR(MATCH(Tasks[[#This Row],[_Pred4UID]],Tasks[UID],0),-1))</f>
        <v/>
      </c>
      <c r="CM6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7" s="88">
        <f>IF(N(Tasks[[#This Row],[Constraint Date]])=0,0,IF(AND(OR(Tasks[[#This Row],[_ConstraintCode]]=3,Tasks[[#This Row],[_ConstraintCode]]=6,Tasks[[#This Row],[_ConstraintCode]]=7),N(Tasks[[#This Row],[_Days]])&gt;1),WORKDAY.INTL(N(Tasks[[#This Row],[Constraint Date]]),-(N(Tasks[[#This Row],[_Days]])-1),WorkWeek,Holidays),N(Tasks[[#This Row],[Constraint Date]])))</f>
        <v/>
      </c>
      <c r="CO67" s="88">
        <f>IF(OR(Tasks[[#This Row],[_ConstraintCode]]=2,Tasks[[#This Row],[_ConstraintCode]]=3,Tasks[[#This Row],[_ConstraintCode]]=4,Tasks[[#This Row],[_ConstraintCode]]=6),Tasks[[#This Row],[_ConstraintStart]],0)</f>
        <v/>
      </c>
      <c r="CP67" s="88">
        <f>IF(OR(Tasks[[#This Row],[_ConstraintCode]]=2,Tasks[[#This Row],[_ConstraintCode]]=3,Tasks[[#This Row],[_ConstraintCode]]=5,Tasks[[#This Row],[_ConstraintCode]]=7),Tasks[[#This Row],[_ConstraintStart]],2958465)</f>
        <v/>
      </c>
      <c r="CQ6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7" s="88">
        <f>IF(NOT(Tasks[[#This Row],[_IsLeaf]]=1),"",IF(N(Tasks[[#This Row],[_Days]])&lt;=0,Tasks[[#This Row],[_LeafCalcStart]],WORKDAY.INTL(Tasks[[#This Row],[_LeafCalcStart]],Tasks[[#This Row],[_Days]]-1,WorkWeek,Holidays)))</f>
        <v/>
      </c>
      <c r="CS6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7" s="42">
        <f>IF(Tasks[[#This Row],[_Predecessors]]="","",TRIM(MID(SUBSTITUTE(SUBSTITUTE(SUBSTITUTE(UPPER(Tasks[[#This Row],[_Predecessors]]),";",",")," ",""),",",REPT(" ",99)),1,99)))</f>
        <v/>
      </c>
      <c r="CV67" s="42">
        <f>IF(Tasks[[#This Row],[_Pred1Text]]="","",IFERROR(VALUE(LEFT(Tasks[[#This Row],[_Pred1Text]],MIN(FIND("F",Tasks[[#This Row],[_Pred1Text]]&amp;"F"),FIND("S",Tasks[[#This Row],[_Pred1Text]]&amp;"S"),FIND("+",Tasks[[#This Row],[_Pred1Text]]&amp;"+"),FIND("-",Tasks[[#This Row],[_Pred1Text]]&amp;"-"))-1)),""))</f>
        <v/>
      </c>
      <c r="CW6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7" s="42">
        <f>IF(Tasks[[#This Row],[_Pred1Text]]="","",TRIM(MID(SUBSTITUTE(SUBSTITUTE(SUBSTITUTE(UPPER(Tasks[[#This Row],[_Predecessors]]),";",",")," ",""),",",REPT(" ",99)),100,99)))</f>
        <v/>
      </c>
      <c r="CZ67" s="42">
        <f>IF(Tasks[[#This Row],[_Pred2Text]]="","",IFERROR(VALUE(LEFT(Tasks[[#This Row],[_Pred2Text]],MIN(FIND("F",Tasks[[#This Row],[_Pred2Text]]&amp;"F"),FIND("S",Tasks[[#This Row],[_Pred2Text]]&amp;"S"),FIND("+",Tasks[[#This Row],[_Pred2Text]]&amp;"+"),FIND("-",Tasks[[#This Row],[_Pred2Text]]&amp;"-"))-1)),""))</f>
        <v/>
      </c>
      <c r="DA6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7" s="42">
        <f>IF(Tasks[[#This Row],[_Pred2Text]]="","",TRIM(MID(SUBSTITUTE(SUBSTITUTE(SUBSTITUTE(UPPER(Tasks[[#This Row],[_Predecessors]]),";",",")," ",""),",",REPT(" ",99)),199,99)))</f>
        <v/>
      </c>
      <c r="DD67" s="42">
        <f>IF(Tasks[[#This Row],[_Pred3Text]]="","",IFERROR(VALUE(LEFT(Tasks[[#This Row],[_Pred3Text]],MIN(FIND("F",Tasks[[#This Row],[_Pred3Text]]&amp;"F"),FIND("S",Tasks[[#This Row],[_Pred3Text]]&amp;"S"),FIND("+",Tasks[[#This Row],[_Pred3Text]]&amp;"+"),FIND("-",Tasks[[#This Row],[_Pred3Text]]&amp;"-"))-1)),""))</f>
        <v/>
      </c>
      <c r="DE6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7" s="42">
        <f>IF(Tasks[[#This Row],[_Pred3Text]]="","",TRIM(MID(SUBSTITUTE(SUBSTITUTE(SUBSTITUTE(UPPER(Tasks[[#This Row],[_Predecessors]]),";",",")," ",""),",",REPT(" ",99)),298,99)))</f>
        <v/>
      </c>
      <c r="DH67" s="42">
        <f>IF(Tasks[[#This Row],[_Pred4Text]]="","",IFERROR(VALUE(LEFT(Tasks[[#This Row],[_Pred4Text]],MIN(FIND("F",Tasks[[#This Row],[_Pred4Text]]&amp;"F"),FIND("S",Tasks[[#This Row],[_Pred4Text]]&amp;"S"),FIND("+",Tasks[[#This Row],[_Pred4Text]]&amp;"+"),FIND("-",Tasks[[#This Row],[_Pred4Text]]&amp;"-"))-1)),""))</f>
        <v/>
      </c>
      <c r="DI6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7" s="42">
        <f>IF(OR(Tasks[[#This Row],[Task Name]]="",Tasks[[#This Row],[_Resources]]=""),"",TRIM(MID(SUBSTITUTE(Tasks[[#This Row],[_Resources]],",",REPT(" ",99)),1,99)))</f>
        <v/>
      </c>
      <c r="DL67" s="42">
        <f>IF(Tasks[[#This Row],[_Res1Text]]="","",TRIM(MID(SUBSTITUTE(Tasks[[#This Row],[_Resources]],",",REPT(" ",99)),100,99)))</f>
        <v/>
      </c>
      <c r="DM67" s="42">
        <f>IF(Tasks[[#This Row],[_Res2Text]]="","",TRIM(MID(SUBSTITUTE(Tasks[[#This Row],[_Resources]],",",REPT(" ",99)),199,99)))</f>
        <v/>
      </c>
      <c r="DN67" s="42">
        <f>IF(Tasks[[#This Row],[_Res3Text]]="","",TRIM(MID(SUBSTITUTE(Tasks[[#This Row],[_Resources]],",",REPT(" ",99)),298,99)))</f>
        <v/>
      </c>
      <c r="DO67" s="42">
        <f>IF(Tasks[[#This Row],[_Res1Text]]="",0,IFERROR(MATCH(TRIM(LEFT(Tasks[[#This Row],[_Res1Text]],FIND("[",Tasks[[#This Row],[_Res1Text]]&amp;"[")-1)),res_Name,0),IFERROR(MATCH(TRIM(LEFT(Tasks[[#This Row],[_Res1Text]],FIND("[",Tasks[[#This Row],[_Res1Text]]&amp;"[")-1)),res_Initials,0),0)))</f>
        <v/>
      </c>
      <c r="DP67" s="42">
        <f>IF(Tasks[[#This Row],[_Res2Text]]="",0,IFERROR(MATCH(TRIM(LEFT(Tasks[[#This Row],[_Res2Text]],FIND("[",Tasks[[#This Row],[_Res2Text]]&amp;"[")-1)),res_Name,0),IFERROR(MATCH(TRIM(LEFT(Tasks[[#This Row],[_Res2Text]],FIND("[",Tasks[[#This Row],[_Res2Text]]&amp;"[")-1)),res_Initials,0),0)))</f>
        <v/>
      </c>
      <c r="DQ67" s="42">
        <f>IF(Tasks[[#This Row],[_Res3Text]]="",0,IFERROR(MATCH(TRIM(LEFT(Tasks[[#This Row],[_Res3Text]],FIND("[",Tasks[[#This Row],[_Res3Text]]&amp;"[")-1)),res_Name,0),IFERROR(MATCH(TRIM(LEFT(Tasks[[#This Row],[_Res3Text]],FIND("[",Tasks[[#This Row],[_Res3Text]]&amp;"[")-1)),res_Initials,0),0)))</f>
        <v/>
      </c>
      <c r="DR67" s="42">
        <f>IF(Tasks[[#This Row],[_Res4Text]]="",0,IFERROR(MATCH(TRIM(LEFT(Tasks[[#This Row],[_Res4Text]],FIND("[",Tasks[[#This Row],[_Res4Text]]&amp;"[")-1)),res_Name,0),IFERROR(MATCH(TRIM(LEFT(Tasks[[#This Row],[_Res4Text]],FIND("[",Tasks[[#This Row],[_Res4Text]]&amp;"[")-1)),res_Initials,0),0)))</f>
        <v/>
      </c>
      <c r="DS67" s="42">
        <f>IF(Tasks[[#This Row],[_Res1Text]]="","",IF(Tasks[[#This Row],[_Res1Row]]&gt;0,INDEX(res_Name,Tasks[[#This Row],[_Res1Row]]),TRIM(LEFT(Tasks[[#This Row],[_Res1Text]],FIND("[",Tasks[[#This Row],[_Res1Text]]&amp;"[")-1))))</f>
        <v/>
      </c>
      <c r="DT6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7" s="42">
        <f>IF(NOT(Tasks[[#This Row],[_IsLeaf]]=1),0,(Tasks[[#This Row],[_Resource1]]&lt;&gt;"")+(Tasks[[#This Row],[_Res2]]&lt;&gt;"")+(Tasks[[#This Row],[_Res3]]&lt;&gt;"")+(Tasks[[#This Row],[_Res4]]&lt;&gt;""))</f>
        <v/>
      </c>
      <c r="DV67" s="42">
        <f>IF(Tasks[[#This Row],[_Res2Text]]="","",IF(Tasks[[#This Row],[_Res2Row]]&gt;0,INDEX(res_Name,Tasks[[#This Row],[_Res2Row]]),TRIM(LEFT(Tasks[[#This Row],[_Res2Text]],FIND("[",Tasks[[#This Row],[_Res2Text]]&amp;"[")-1))))</f>
        <v/>
      </c>
      <c r="DW6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7" s="42">
        <f>IF(OR(NOT(Tasks[[#This Row],[_IsLeaf]]=1),Tasks[[#This Row],[_Res2Row]]=0),0,N(Tasks[[#This Row],[_Days]])*HoursPerDay*IF(Tasks[[#This Row],[_Res2Units]]="",DefaultUnits,Tasks[[#This Row],[_Res2Units]]))</f>
        <v/>
      </c>
      <c r="DY67" s="42">
        <f>IF(AND(AND(Tasks[[#This Row],[_IsLeaf]]=1,Tasks[[#This Row],[_LeafTotalWork]]&gt;0),Tasks[[#This Row],[_Res2Work]]&gt;0),Tasks[[#This Row],[_Res2Work]]/(Tasks[[#This Row],[_FinishWorkday]]-Tasks[[#This Row],[_StartWorkday]]+1),0)</f>
        <v/>
      </c>
      <c r="DZ67" s="42">
        <f>Tasks[[#This Row],[_Res2WorkPerWD]]*MAX(0,Tasks[[#This Row],[_StartWorkday]]-1)</f>
        <v/>
      </c>
      <c r="EA67" s="42">
        <f>Tasks[[#This Row],[_Res2Work]]*Tasks[[#This Row],[_LeafProgress]]</f>
        <v/>
      </c>
      <c r="EB67" s="42">
        <f>IF(Tasks[[#This Row],[_Res3Text]]="","",IF(Tasks[[#This Row],[_Res3Row]]&gt;0,INDEX(res_Name,Tasks[[#This Row],[_Res3Row]]),TRIM(LEFT(Tasks[[#This Row],[_Res3Text]],FIND("[",Tasks[[#This Row],[_Res3Text]]&amp;"[")-1))))</f>
        <v/>
      </c>
      <c r="EC6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7" s="42">
        <f>IF(OR(NOT(Tasks[[#This Row],[_IsLeaf]]=1),Tasks[[#This Row],[_Res3Row]]=0),0,N(Tasks[[#This Row],[_Days]])*HoursPerDay*IF(Tasks[[#This Row],[_Res3Units]]="",DefaultUnits,Tasks[[#This Row],[_Res3Units]]))</f>
        <v/>
      </c>
      <c r="EE67" s="42">
        <f>IF(AND(AND(Tasks[[#This Row],[_IsLeaf]]=1,Tasks[[#This Row],[_LeafTotalWork]]&gt;0),Tasks[[#This Row],[_Res3Work]]&gt;0),Tasks[[#This Row],[_Res3Work]]/(Tasks[[#This Row],[_FinishWorkday]]-Tasks[[#This Row],[_StartWorkday]]+1),0)</f>
        <v/>
      </c>
      <c r="EF67" s="42">
        <f>Tasks[[#This Row],[_Res3WorkPerWD]]*MAX(0,Tasks[[#This Row],[_StartWorkday]]-1)</f>
        <v/>
      </c>
      <c r="EG67" s="42">
        <f>Tasks[[#This Row],[_Res3Work]]*Tasks[[#This Row],[_LeafProgress]]</f>
        <v/>
      </c>
      <c r="EH67" s="42">
        <f>IF(Tasks[[#This Row],[_Res4Text]]="","",IF(Tasks[[#This Row],[_Res4Row]]&gt;0,INDEX(res_Name,Tasks[[#This Row],[_Res4Row]]),TRIM(LEFT(Tasks[[#This Row],[_Res4Text]],FIND("[",Tasks[[#This Row],[_Res4Text]]&amp;"[")-1))))</f>
        <v/>
      </c>
      <c r="EI6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7" s="42">
        <f>IF(OR(NOT(Tasks[[#This Row],[_IsLeaf]]=1),Tasks[[#This Row],[_Res4Row]]=0),0,N(Tasks[[#This Row],[_Days]])*HoursPerDay*IF(Tasks[[#This Row],[_Res4Units]]="",DefaultUnits,Tasks[[#This Row],[_Res4Units]]))</f>
        <v/>
      </c>
      <c r="EK67" s="42">
        <f>IF(AND(AND(Tasks[[#This Row],[_IsLeaf]]=1,Tasks[[#This Row],[_LeafTotalWork]]&gt;0),Tasks[[#This Row],[_Res4Work]]&gt;0),Tasks[[#This Row],[_Res4Work]]/(Tasks[[#This Row],[_FinishWorkday]]-Tasks[[#This Row],[_StartWorkday]]+1),0)</f>
        <v/>
      </c>
      <c r="EL67" s="42">
        <f>Tasks[[#This Row],[_Res4WorkPerWD]]*MAX(0,Tasks[[#This Row],[_StartWorkday]]-1)</f>
        <v/>
      </c>
      <c r="EM67" s="42">
        <f>Tasks[[#This Row],[_Res4Work]]*Tasks[[#This Row],[_LeafProgress]]</f>
        <v/>
      </c>
      <c r="EN67" s="42">
        <f>IF(ISNUMBER(Tasks[[#This Row],[% Complete]]),Tasks[[#This Row],[% Complete]],IF(Tasks[[#This Row],[Stage]]="",0,IFERROR(INDEX(stg_Pct,MATCH(Tasks[[#This Row],[Stage]],stg_Name,0)),0)))</f>
        <v/>
      </c>
      <c r="EO67" s="42">
        <f>IF(NOT(Tasks[[#This Row],[_IsLeaf]]=1),0,IF(N(Tasks[[#This Row],[Actual Finish]])&gt;0,1,MIN(1,Tasks[[#This Row],[_Pct]])))</f>
        <v/>
      </c>
      <c r="EP67" s="42">
        <f>IF(OR(NOT(Tasks[[#This Row],[_IsLeaf]]=1),Tasks[[#This Row],[_Res1Row]]=0),0,N(Tasks[[#This Row],[_Days]])*HoursPerDay*IF(Tasks[[#This Row],[_Units1]]="",DefaultUnits,Tasks[[#This Row],[_Units1]]))</f>
        <v/>
      </c>
      <c r="EQ67" s="42">
        <f>Tasks[[#This Row],[_LeafWork]]+Tasks[[#This Row],[_Res2Work]]+Tasks[[#This Row],[_Res3Work]]+Tasks[[#This Row],[_Res4Work]]</f>
        <v/>
      </c>
      <c r="ER6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7" s="42">
        <f>IF(NOT(Tasks[[#This Row],[_IsLeaf]]=1),0,MAX(_xlfn.MAXIFS(Tasks[_Row],Tasks[_Pred1UID],Tasks[[#This Row],[UID]]),_xlfn.MAXIFS(Tasks[_Row],Tasks[_Pred2UID],Tasks[[#This Row],[UID]]),_xlfn.MAXIFS(Tasks[_Row],Tasks[_Pred3UID],Tasks[[#This Row],[UID]]),_xlfn.MAXIFS(Tasks[_Row],Tasks[_Pred4UID],Tasks[[#This Row],[UID]])))</f>
        <v/>
      </c>
      <c r="FA6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7" s="88">
        <f>IF(NOT(Tasks[[#This Row],[_IsLeaf]]=1),"",IF(N(Tasks[[#This Row],[_Days]])&lt;=0,Tasks[[#This Row],[_LeafLateFinish]],WORKDAY.INTL(Tasks[[#This Row],[_LeafLateFinish]],-(Tasks[[#This Row],[_Days]]-1),WorkWeek,Holidays)))</f>
        <v/>
      </c>
      <c r="FD6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7" s="42">
        <f>AND(Tasks[[#This Row],[_IsLeaf]]=1,Tasks[[#This Row],[_LeafProgress]]&lt;1,N(Tasks[[#This Row],[_LeafTotalSlack]])&lt;=CriticalSlackDays)</f>
        <v/>
      </c>
      <c r="FF67" s="42">
        <f>IF(AND(Tasks[[#This Row],[_IsLeaf]]=1,Tasks[[#This Row],[_ConstraintCode]]=1,Tasks[[#This Row],[Mode]]&lt;&gt;"Manual",N(Tasks[[#This Row],[Actual Start]])=0),MAX(0,N(Tasks[[#This Row],[Free Slack]])),0)</f>
        <v/>
      </c>
      <c r="FG67" s="88">
        <f>IF(NOT(Tasks[[#This Row],[_IsLeaf]]=1),"",IF(Tasks[[#This Row],[_AlapShift]]=0,Tasks[[#This Row],[_LeafCalcStart]],WORKDAY.INTL(Tasks[[#This Row],[_LeafCalcStart]],Tasks[[#This Row],[_AlapShift]],WorkWeek,Holidays)))</f>
        <v/>
      </c>
      <c r="FH67" s="88">
        <f>IF(NOT(Tasks[[#This Row],[_IsLeaf]]=1),"",IF(Tasks[[#This Row],[_AlapShift]]=0,Tasks[[#This Row],[_LeafCalcFinish]],WORKDAY.INTL(Tasks[[#This Row],[_LeafCalcFinish]],Tasks[[#This Row],[_AlapShift]],WorkWeek,Holidays)))</f>
        <v/>
      </c>
      <c r="FI67" s="88">
        <f>IF(NOT(Tasks[[#This Row],[_IsLeaf]]=1),"",IF(Tasks[[#This Row],[_AlapShift]]=0,Tasks[[#This Row],[_LeafFcstStart]],WORKDAY.INTL(Tasks[[#This Row],[_LeafFcstStart]],Tasks[[#This Row],[_AlapShift]],WorkWeek,Holidays)))</f>
        <v/>
      </c>
      <c r="FJ67" s="88">
        <f>IF(NOT(Tasks[[#This Row],[_IsLeaf]]=1),"",IF(Tasks[[#This Row],[_AlapShift]]=0,Tasks[[#This Row],[_LeafFcstFinish]],WORKDAY.INTL(Tasks[[#This Row],[_LeafFcstFinish]],Tasks[[#This Row],[_AlapShift]],WorkWeek,Holidays)))</f>
        <v/>
      </c>
      <c r="FK67" s="88">
        <f>IF(Tasks[[#This Row],[Task Name]]="","",IF(Tasks[[#This Row],[_IsSummary]],MIN(INDEX(Tasks[_ShownCalcStart],Tasks[[#This Row],[_Row]]+1):INDEX(Tasks[_ShownCalcStart],Tasks[[#This Row],[_Row]]+Tasks[[#This Row],[_Descendants]])),Tasks[[#This Row],[_ShownCalcStart]]))</f>
        <v/>
      </c>
      <c r="FL67" s="88">
        <f>IF(Tasks[[#This Row],[Task Name]]="","",IF(Tasks[[#This Row],[_IsSummary]],MAX(INDEX(Tasks[_ShownCalcFinish],Tasks[[#This Row],[_Row]]+1):INDEX(Tasks[_ShownCalcFinish],Tasks[[#This Row],[_Row]]+Tasks[[#This Row],[_Descendants]])),Tasks[[#This Row],[_ShownCalcFinish]]))</f>
        <v/>
      </c>
      <c r="FM6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7" s="42">
        <f>IF(AND(Tasks[[#This Row],[_IsLeaf]]=1,Tasks[[#This Row],[_LeafTotalWork]]&gt;0),NETWORKDAYS.INTL(ProjectStart,Tasks[[#This Row],[_ShownFcstStart]],WorkWeek,Holidays),0)</f>
        <v/>
      </c>
      <c r="FZ67" s="42">
        <f>IF(AND(Tasks[[#This Row],[_IsLeaf]]=1,Tasks[[#This Row],[_LeafTotalWork]]&gt;0),MAX(Tasks[[#This Row],[_StartWorkday]],NETWORKDAYS.INTL(ProjectStart,Tasks[[#This Row],[_ShownFcstFinish]],WorkWeek,Holidays)),0)</f>
        <v/>
      </c>
      <c r="GA67" s="42">
        <f>IF(AND(Tasks[[#This Row],[_IsLeaf]]=1,Tasks[[#This Row],[_LeafTotalWork]]&gt;0),Tasks[[#This Row],[_LeafWork]]/(Tasks[[#This Row],[_FinishWorkday]]-Tasks[[#This Row],[_StartWorkday]]+1),0)</f>
        <v/>
      </c>
      <c r="GB67" s="42">
        <f>Tasks[[#This Row],[_WorkPerWorkday]]*(Tasks[[#This Row],[_StartWorkday]]-1)</f>
        <v/>
      </c>
      <c r="GC67" s="42">
        <f>IF(Tasks[[#This Row],[_IsLeaf]]=1,MAX(N(Tasks[[#This Row],[_Days]]),0.1),0)</f>
        <v/>
      </c>
      <c r="GD67" s="42">
        <f>Tasks[[#This Row],[_WeightDur]]*Tasks[[#This Row],[_LeafProgress]]</f>
        <v/>
      </c>
      <c r="GE67" s="42">
        <f>Tasks[[#This Row],[_WeightDur]]*Tasks[[#This Row],[_PlannedPct]]</f>
        <v/>
      </c>
      <c r="GF6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7" s="42">
        <f>IF(AND(Tasks[[#This Row],[_IsLeaf]]=1,N(Tasks[[#This Row],[_Days]])=0,Tasks[[#This Row],[_LeafProgress]]&lt;1),Tasks[[#This Row],[_ShownFcstFinish]]+Tasks[[#This Row],[_Row]]/100000,"")</f>
        <v/>
      </c>
      <c r="GH6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7" s="42">
        <f>IF(Tasks[[#This Row],[Task Name]]="","",LEFT(Tasks[[#This Row],[WBS]],FIND(".",Tasks[[#This Row],[WBS]]&amp;".")-1))</f>
        <v/>
      </c>
      <c r="GJ67" s="42">
        <f>IF(AND(Tasks[[#This Row],[Task Name]]&lt;&gt;"",Tasks[[#This Row],[_Level]]=1),Tasks[[#This Row],[_Row]],"")</f>
        <v/>
      </c>
      <c r="GK67" s="42">
        <f>IF(AND(Tasks[[#This Row],[_IsLeaf]]=1,N(Tasks[[#This Row],[_Days]])=0),Tasks[[#This Row],[Planned Finish]]+Tasks[[#This Row],[_Row]]/100000,"")</f>
        <v/>
      </c>
      <c r="GL67" s="42">
        <f>IF(AND(Tasks[[#This Row],[_IsLeaf]]=1,Tasks[[#This Row],[_LeafProgress]]&lt;1,OR(N(Tasks[[#This Row],[Finish Var]])&gt;0,Tasks[[#This Row],[Status]]="Late Start")),MAX(0,Tasks[[#This Row],[Finish Var]])+1-Tasks[[#This Row],[_Row]]/1000000,"")</f>
        <v/>
      </c>
      <c r="GM67" s="42">
        <f>IF(AND(Tasks[[#This Row],[_IsLeaf]]=1,N(Tasks[[#This Row],[Actual Start]])=0,Tasks[[#This Row],[_ShownFcstStart]]&gt;=StatusDate,Tasks[[#This Row],[_ShownFcstStart]]&lt;=LookaheadEnd),Tasks[[#This Row],[_ShownFcstStart]]+Tasks[[#This Row],[_Row]]/100000,"")</f>
        <v/>
      </c>
      <c r="GN67" s="42">
        <f>IF(AND(Tasks[[#This Row],[_IsLeaf]]=1,Tasks[[#This Row],[_LeafProgress]]&lt;1,Tasks[[#This Row],[_ShownFcstFinish]]&gt;=StatusDate,Tasks[[#This Row],[_ShownFcstFinish]]&lt;=LookaheadEnd),Tasks[[#This Row],[_ShownFcstFinish]]+Tasks[[#This Row],[_Row]]/100000,"")</f>
        <v/>
      </c>
      <c r="GO67" s="42">
        <f>IF(Tasks[[#This Row],[_LeafCritical]],Tasks[[#This Row],[_ShownFcstStart]]+Tasks[[#This Row],[_Row]]/100000,"")</f>
        <v/>
      </c>
      <c r="GP67" s="42">
        <f>Tasks[[#This Row],[_LeafWork]]*Tasks[[#This Row],[_LeafProgress]]</f>
        <v/>
      </c>
      <c r="GQ67" s="88">
        <f>IF(AND(Tasks[[#This Row],[_IsLeaf]]=1,Tasks[[#This Row],[_LeafProgress]]&gt;=1),IF(N(Tasks[[#This Row],[Actual Finish]])&gt;0,Tasks[[#This Row],[Actual Finish]],Tasks[[#This Row],[_ShownFcstFinish]]),"")</f>
        <v/>
      </c>
      <c r="GR67" s="42">
        <f>IF(Tasks[[#This Row],[_IsLeaf]]=1,N(Tasks[[#This Row],[Story Points]]),0)</f>
        <v/>
      </c>
      <c r="GS67" s="42">
        <f>""</f>
        <v/>
      </c>
      <c r="GT67" s="42">
        <f>IF(Tasks[[#This Row],[Task Name]]="",FALSE(),AND(Tasks[[#This Row],[_IsLeaf]]=1,N(Tasks[[#This Row],[_Days]])=0))</f>
        <v/>
      </c>
      <c r="GU67" s="88">
        <f>IF(Tasks[[#This Row],[Task Name]]="",0,IF(AND(Tasks[[#This Row],[_IsLeaf]]=1,NOT(Tasks[[#This Row],[_IsMilestone]]),N(Tasks[[#This Row],[Progress]])&gt;0),Tasks[[#This Row],[Start]],0))</f>
        <v/>
      </c>
      <c r="GV67" s="88">
        <f>IF(Tasks[[#This Row],[_DoneFrom]]=0,0,IF(Tasks[[#This Row],[Progress]]&gt;=1,Tasks[[#This Row],[Finish]],MAX(Tasks[[#This Row],[_DoneFrom]],Tasks[[#This Row],[Start]]+ROUND((Tasks[[#This Row],[Finish]]-Tasks[[#This Row],[Start]]+1)*Tasks[[#This Row],[Progress]],0)-1)))</f>
        <v/>
      </c>
      <c r="GW67" s="88">
        <f>IF(Tasks[[#This Row],[Task Name]]="",0,IF(OR(NOT(Tasks[[#This Row],[_IsLeaf]]=1),Tasks[[#This Row],[_IsMilestone]],N(Tasks[[#This Row],[Progress]])&gt;=1),0,IF(Tasks[[#This Row],[_DoneTo]]&gt;0,Tasks[[#This Row],[_DoneTo]]+1,Tasks[[#This Row],[Start]])))</f>
        <v/>
      </c>
      <c r="GX67" s="88">
        <f>IF(Tasks[[#This Row],[_RemFrom]]=0,0,Tasks[[#This Row],[Finish]])</f>
        <v/>
      </c>
      <c r="GY67" s="42">
        <f>IF(Tasks[[#This Row],[Task Name]]="",FALSE(),OR(NOT(BaselineSet),N(Tasks[[#This Row],[Baseline Start]])&gt;0))</f>
        <v/>
      </c>
      <c r="GZ67" s="42">
        <f>IF(AND(Sandbox="Yes",L_PARSE_DURATION(Tasks[[#This Row],[Sandbox Duration]])&lt;&gt;""),L_PARSE_DURATION(Tasks[[#This Row],[Sandbox Duration]]),L_PARSE_DURATION(Tasks[[#This Row],[Duration]]))</f>
        <v/>
      </c>
      <c r="HA6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7" s="42">
        <f>IF(Tasks[[#This Row],[_IsLeaf]]=1,Tasks[[#This Row],[_Row]],"")</f>
        <v/>
      </c>
      <c r="HD67" s="42">
        <f>IFERROR(INDEX(Tasks[UID],SMALL(Tasks[_PickKey],Tasks[[#This Row],[_Row]]))&amp;" "&amp;INDEX(Tasks[Task Name],SMALL(Tasks[_PickKey],Tasks[[#This Row],[_Row]])),"")</f>
        <v/>
      </c>
      <c r="HE67" s="42">
        <f>IF(Tasks[[#This Row],[Task Name]]="","",IF(Tasks[[#This Row],[_IsSummary]],NETWORKDAYS.INTL(Tasks[[#This Row],[Start]],Tasks[[#This Row],[Finish]],WorkWeek,Holidays),N(Tasks[[#This Row],[_Days]])))</f>
        <v/>
      </c>
      <c r="HF67" s="42">
        <f>IF(Tasks[[#This Row],[Expected]]="",0,((Tasks[[#This Row],[Pessimistic]]-Tasks[[#This Row],[Optimistic]])/6)^2)</f>
        <v/>
      </c>
      <c r="HG67" s="42">
        <f>IF(Tasks[[#This Row],[Expected]]="",0,Tasks[[#This Row],[Expected]]-N(Tasks[[#This Row],[_Days]]))</f>
        <v/>
      </c>
    </row>
    <row r="68">
      <c r="A68" s="21">
        <f>IF(Tasks[[#This Row],[Task Name]]="","",COUNTA(Tasks[[#Headers],[Task Name]]:Tasks[[#This Row],[Task Name]])-1)</f>
        <v/>
      </c>
      <c r="B68" s="22" t="n">
        <v>76</v>
      </c>
      <c r="C68" s="22" t="n"/>
      <c r="D68" s="23" t="n"/>
      <c r="E68" s="22" t="n"/>
      <c r="F68" s="23" t="n"/>
      <c r="G68" s="22" t="n"/>
      <c r="H68" s="22" t="n"/>
      <c r="I68" s="23" t="n"/>
      <c r="J68" s="22" t="n"/>
      <c r="K68" s="22" t="n"/>
      <c r="L68" s="23" t="n"/>
      <c r="M68" s="22" t="n"/>
      <c r="N68" s="22" t="n"/>
      <c r="O68" s="23" t="n"/>
      <c r="P68" s="22" t="n"/>
      <c r="Q68" s="22" t="n"/>
      <c r="R68" s="23" t="n"/>
      <c r="S68" s="23" t="n"/>
      <c r="T68" s="82" t="n"/>
      <c r="U68" s="23" t="n"/>
      <c r="V68" s="82" t="n"/>
      <c r="W68" s="23" t="n"/>
      <c r="X68" s="82" t="n"/>
      <c r="Y68" s="23" t="n"/>
      <c r="Z68" s="82" t="n"/>
      <c r="AA68" s="23" t="n"/>
      <c r="AB68" s="23" t="n"/>
      <c r="AC68" s="7" t="n"/>
      <c r="AD68" s="7" t="n"/>
      <c r="AE68" s="61">
        <f>IF(Tasks[[#This Row],[Task Name]]="","",IF(Tasks[[#This Row],[_IsSummary]],MIN(INDEX(Tasks[_ShownFcstStart],Tasks[[#This Row],[_Row]]+1):INDEX(Tasks[_ShownFcstStart],Tasks[[#This Row],[_Row]]+Tasks[[#This Row],[_Descendants]])),Tasks[[#This Row],[_ShownFcstStart]]))</f>
        <v/>
      </c>
      <c r="AF68" s="61">
        <f>IF(Tasks[[#This Row],[Task Name]]="","",IF(Tasks[[#This Row],[_IsSummary]],MAX(INDEX(Tasks[_ShownFcstFinish],Tasks[[#This Row],[_Row]]+1):INDEX(Tasks[_ShownFcstFinish],Tasks[[#This Row],[_Row]]+Tasks[[#This Row],[_Descendants]])),Tasks[[#This Row],[_ShownFcstFinish]]))</f>
        <v/>
      </c>
      <c r="AG68" s="21">
        <f>""</f>
        <v/>
      </c>
      <c r="AH68" s="23" t="n"/>
      <c r="AI6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8" s="7" t="n"/>
      <c r="AK68" s="22" t="n"/>
      <c r="AL68" s="23" t="n"/>
      <c r="AM68" s="7" t="n"/>
      <c r="AN68" s="21">
        <f>IF(Tasks[[#This Row],[Task Name]]="","",IF(Tasks[[#This Row],[Finish]]&gt;=Tasks[[#This Row],[Planned Finish]],NETWORKDAYS.INTL(Tasks[[#This Row],[Planned Finish]],Tasks[[#This Row],[Finish]],WorkWeek,Holidays)-1,1-NETWORKDAYS.INTL(Tasks[[#This Row],[Finish]],Tasks[[#This Row],[Planned Finish]],WorkWeek,Holidays)))</f>
        <v/>
      </c>
      <c r="AO68" s="21">
        <f>IF(Tasks[[#This Row],[Task Name]]="","",IF(Tasks[[#This Row],[Progress]]&gt;=1,"Complete",IF(OR(N(Tasks[[#This Row],[Actual Start]])&gt;0,Tasks[[#This Row],[Progress]]&gt;0),IF(Tasks[[#This Row],[Finish Var]]&gt;0,"Behind","In Progress"),IF(Tasks[[#This Row],[Planned Start]]&lt;StatusDate,"Late Start","Not Started"))))</f>
        <v/>
      </c>
      <c r="AP68" s="21">
        <f>IF(Tasks[[#This Row],[Task Name]]="","",IF(IF(Tasks[[#This Row],[_IsSummary]],COUNTIF(INDEX(Tasks[_LeafCritical],Tasks[[#This Row],[_Row]]+1):INDEX(Tasks[_LeafCritical],Tasks[[#This Row],[_Row]]+Tasks[[#This Row],[_Descendants]]),TRUE())&gt;0,Tasks[[#This Row],[_LeafCritical]]),"Yes",""))</f>
        <v/>
      </c>
      <c r="AQ68" s="61">
        <f>IF(Tasks[[#This Row],[Task Name]]="","",IF(N(Tasks[[#This Row],[Baseline Start]])&gt;0,Tasks[[#This Row],[Baseline Start]],Tasks[[#This Row],[_CalcStart]]))</f>
        <v/>
      </c>
      <c r="AR68" s="61">
        <f>IF(Tasks[[#This Row],[Task Name]]="","",IF(N(Tasks[[#This Row],[Baseline Finish]])&gt;0,Tasks[[#This Row],[Baseline Finish]],Tasks[[#This Row],[_CalcFinish]]))</f>
        <v/>
      </c>
      <c r="AS68" s="21">
        <f>IF(Tasks[[#This Row],[Task Name]]="","",IF(Tasks[[#This Row],[Start]]&gt;=Tasks[[#This Row],[Planned Start]],NETWORKDAYS.INTL(Tasks[[#This Row],[Planned Start]],Tasks[[#This Row],[Start]],WorkWeek,Holidays)-1,1-NETWORKDAYS.INTL(Tasks[[#This Row],[Start]],Tasks[[#This Row],[Planned Start]],WorkWeek,Holidays)))</f>
        <v/>
      </c>
      <c r="AT68" s="61">
        <f>IF(Tasks[[#This Row],[Task Name]]="","",IF(Tasks[[#This Row],[_IsSummary]],MIN(INDEX(Tasks[_LeafLateStart],Tasks[[#This Row],[_Row]]+1):INDEX(Tasks[_LeafLateStart],Tasks[[#This Row],[_Row]]+Tasks[[#This Row],[_Descendants]])),Tasks[[#This Row],[_LeafLateStart]]))</f>
        <v/>
      </c>
      <c r="AU68" s="61">
        <f>IF(Tasks[[#This Row],[Task Name]]="","",IF(Tasks[[#This Row],[_IsSummary]],MAX(INDEX(Tasks[_LeafLateFinish],Tasks[[#This Row],[_Row]]+1):INDEX(Tasks[_LeafLateFinish],Tasks[[#This Row],[_Row]]+Tasks[[#This Row],[_Descendants]])),Tasks[[#This Row],[_LeafLateFinish]]))</f>
        <v/>
      </c>
      <c r="AV68" s="21">
        <f>IF(Tasks[[#This Row],[Task Name]]="","",IF(Tasks[[#This Row],[_IsSummary]],MIN(INDEX(Tasks[_LeafTotalSlack],Tasks[[#This Row],[_Row]]+1):INDEX(Tasks[_LeafTotalSlack],Tasks[[#This Row],[_Row]]+Tasks[[#This Row],[_Descendants]])),Tasks[[#This Row],[_LeafTotalSlack]]))</f>
        <v/>
      </c>
      <c r="AW6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3" t="n"/>
      <c r="BA6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f>IF(Tasks[[#This Row],[Task Name]]="","",IF(Tasks[[#This Row],[_Level]]&lt;=OutlineShowLevel,"Yes","No"))</f>
        <v/>
      </c>
      <c r="BE68" s="84">
        <f>IF(Tasks[[#This Row],[Task Name]]="","",IF(Tasks[[#This Row],[_IsSummary]],SUM(INDEX(Tasks[_LeafTotalWork],Tasks[[#This Row],[_Row]]+1):INDEX(Tasks[_LeafTotalWork],Tasks[[#This Row],[_Row]]+Tasks[[#This Row],[_Descendants]])),Tasks[[#This Row],[_LeafTotalWork]]))</f>
        <v/>
      </c>
      <c r="BF68" s="23" t="n"/>
      <c r="BG6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f>""</f>
        <v/>
      </c>
      <c r="BI68" s="85" t="n"/>
      <c r="BJ68" s="22" t="n"/>
      <c r="BK68" s="21">
        <f>IF(OR(Tasks[[#This Row],[Task Name]]="",Tasks[[#This Row],[Baseline Duration]]=""),"",Tasks[[#This Row],[_SpanDays]]-N(Tasks[[#This Row],[Baseline Duration]]))</f>
        <v/>
      </c>
      <c r="BL68" s="84">
        <f>IF(OR(Tasks[[#This Row],[Task Name]]="",Tasks[[#This Row],[Baseline Work]]=""),"",Tasks[[#This Row],[Work]]-N(Tasks[[#This Row],[Baseline Work]]))</f>
        <v/>
      </c>
      <c r="BM68" s="61">
        <f>IF(Tasks[[#This Row],[Task Name]]="","",IF(OR(TakeBaseline="Yes",N(Tasks[[#This Row],[Baseline Start]])=0),Tasks[[#This Row],[Start]],Tasks[[#This Row],[Baseline Start]]))</f>
        <v/>
      </c>
      <c r="BN68" s="61">
        <f>IF(Tasks[[#This Row],[Task Name]]="","",IF(OR(TakeBaseline="Yes",N(Tasks[[#This Row],[Baseline Finish]])=0),Tasks[[#This Row],[Finish]],Tasks[[#This Row],[Baseline Finish]]))</f>
        <v/>
      </c>
      <c r="BO68" s="21">
        <f>IF(Tasks[[#This Row],[Task Name]]="","",IF(OR(TakeBaseline="Yes",N(Tasks[[#This Row],[Baseline Duration]])=0),Tasks[[#This Row],[_SpanDays]],Tasks[[#This Row],[Baseline Duration]]))</f>
        <v/>
      </c>
      <c r="BP68" s="84">
        <f>IF(Tasks[[#This Row],[Task Name]]="","",IF(OR(TakeBaseline="Yes",N(Tasks[[#This Row],[Baseline Work]])=0),Tasks[[#This Row],[Work]],Tasks[[#This Row],[Baseline Work]]))</f>
        <v/>
      </c>
      <c r="BQ68" s="7" t="n"/>
      <c r="BR68" s="7" t="n"/>
      <c r="BS68" s="22" t="n"/>
      <c r="BT68" s="86" t="n"/>
      <c r="BU68" s="23" t="n"/>
      <c r="BV68" s="23" t="n"/>
      <c r="BW68" s="23" t="n"/>
      <c r="BX68" s="87">
        <f>IF(AND(Tasks[[#This Row],[_IsLeaf]]=1,ISNUMBER(Tasks[[#This Row],[Optimistic]]),ISNUMBER(Tasks[[#This Row],[Pessimistic]])),ROUND((Tasks[[#This Row],[Optimistic]]+4*N(Tasks[[#This Row],[_Days]])+Tasks[[#This Row],[Pessimistic]])/6,1),"")</f>
        <v/>
      </c>
      <c r="BY68" s="85" t="n"/>
      <c r="BZ68" s="85" t="n"/>
      <c r="CA68" s="22" t="n"/>
      <c r="CB68" s="42">
        <f>IF(Tasks[[#This Row],[Task Name]]="","",MAX(1,N(Tasks[[#This Row],[Level]])))</f>
        <v/>
      </c>
      <c r="CC68" s="42">
        <f>ROW()-ROW(Tasks[[#Headers],[ID]])</f>
        <v/>
      </c>
      <c r="CD68" s="42">
        <f>IF(OR(Tasks[[#This Row],[Task Name]]="",Tasks[[#This Row],[_Level]]&lt;=1),0,IFERROR(LOOKUP(2,1/(Tasks[[#Headers],[_Level]]:Tasks[[#This Row],[_Level]]=Tasks[[#This Row],[_Level]]-1),ROW(Tasks[[#Headers],[_Level]]:Tasks[[#This Row],[_Level]])),0))</f>
        <v/>
      </c>
      <c r="CE68" s="42">
        <f>IFERROR(N(INDEX(Tasks[_Level],Tasks[[#This Row],[_Row]]+1)),0)</f>
        <v/>
      </c>
      <c r="CF68" s="42">
        <f>AND(Tasks[[#This Row],[Task Name]]&lt;&gt;"",Tasks[[#This Row],[_NextLevel]]&gt;Tasks[[#This Row],[_Level]])</f>
        <v/>
      </c>
      <c r="CG68" s="42">
        <f>IF(Tasks[[#This Row],[_IsSummary]],COUNTIF(Tasks[WBS],Tasks[[#This Row],[WBS]]&amp;".*"),0)</f>
        <v/>
      </c>
      <c r="CH68" s="42">
        <f>IF(AND(Tasks[[#This Row],[Task Name]]&lt;&gt;"",NOT(Tasks[[#This Row],[_IsSummary]])),1,0)</f>
        <v/>
      </c>
      <c r="CI68" s="42">
        <f>IF(N(Tasks[[#This Row],[_Pred1UID]])=0,0,IFERROR(MATCH(Tasks[[#This Row],[_Pred1UID]],Tasks[UID],0),-1))</f>
        <v/>
      </c>
      <c r="CJ68" s="42">
        <f>IF(N(Tasks[[#This Row],[_Pred2UID]])=0,0,IFERROR(MATCH(Tasks[[#This Row],[_Pred2UID]],Tasks[UID],0),-1))</f>
        <v/>
      </c>
      <c r="CK68" s="42">
        <f>IF(N(Tasks[[#This Row],[_Pred3UID]])=0,0,IFERROR(MATCH(Tasks[[#This Row],[_Pred3UID]],Tasks[UID],0),-1))</f>
        <v/>
      </c>
      <c r="CL68" s="42">
        <f>IF(N(Tasks[[#This Row],[_Pred4UID]])=0,0,IFERROR(MATCH(Tasks[[#This Row],[_Pred4UID]],Tasks[UID],0),-1))</f>
        <v/>
      </c>
      <c r="CM6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8" s="88">
        <f>IF(N(Tasks[[#This Row],[Constraint Date]])=0,0,IF(AND(OR(Tasks[[#This Row],[_ConstraintCode]]=3,Tasks[[#This Row],[_ConstraintCode]]=6,Tasks[[#This Row],[_ConstraintCode]]=7),N(Tasks[[#This Row],[_Days]])&gt;1),WORKDAY.INTL(N(Tasks[[#This Row],[Constraint Date]]),-(N(Tasks[[#This Row],[_Days]])-1),WorkWeek,Holidays),N(Tasks[[#This Row],[Constraint Date]])))</f>
        <v/>
      </c>
      <c r="CO68" s="88">
        <f>IF(OR(Tasks[[#This Row],[_ConstraintCode]]=2,Tasks[[#This Row],[_ConstraintCode]]=3,Tasks[[#This Row],[_ConstraintCode]]=4,Tasks[[#This Row],[_ConstraintCode]]=6),Tasks[[#This Row],[_ConstraintStart]],0)</f>
        <v/>
      </c>
      <c r="CP68" s="88">
        <f>IF(OR(Tasks[[#This Row],[_ConstraintCode]]=2,Tasks[[#This Row],[_ConstraintCode]]=3,Tasks[[#This Row],[_ConstraintCode]]=5,Tasks[[#This Row],[_ConstraintCode]]=7),Tasks[[#This Row],[_ConstraintStart]],2958465)</f>
        <v/>
      </c>
      <c r="CQ6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8" s="88">
        <f>IF(NOT(Tasks[[#This Row],[_IsLeaf]]=1),"",IF(N(Tasks[[#This Row],[_Days]])&lt;=0,Tasks[[#This Row],[_LeafCalcStart]],WORKDAY.INTL(Tasks[[#This Row],[_LeafCalcStart]],Tasks[[#This Row],[_Days]]-1,WorkWeek,Holidays)))</f>
        <v/>
      </c>
      <c r="CS6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8" s="42">
        <f>IF(Tasks[[#This Row],[_Predecessors]]="","",TRIM(MID(SUBSTITUTE(SUBSTITUTE(SUBSTITUTE(UPPER(Tasks[[#This Row],[_Predecessors]]),";",",")," ",""),",",REPT(" ",99)),1,99)))</f>
        <v/>
      </c>
      <c r="CV68" s="42">
        <f>IF(Tasks[[#This Row],[_Pred1Text]]="","",IFERROR(VALUE(LEFT(Tasks[[#This Row],[_Pred1Text]],MIN(FIND("F",Tasks[[#This Row],[_Pred1Text]]&amp;"F"),FIND("S",Tasks[[#This Row],[_Pred1Text]]&amp;"S"),FIND("+",Tasks[[#This Row],[_Pred1Text]]&amp;"+"),FIND("-",Tasks[[#This Row],[_Pred1Text]]&amp;"-"))-1)),""))</f>
        <v/>
      </c>
      <c r="CW6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8" s="42">
        <f>IF(Tasks[[#This Row],[_Pred1Text]]="","",TRIM(MID(SUBSTITUTE(SUBSTITUTE(SUBSTITUTE(UPPER(Tasks[[#This Row],[_Predecessors]]),";",",")," ",""),",",REPT(" ",99)),100,99)))</f>
        <v/>
      </c>
      <c r="CZ68" s="42">
        <f>IF(Tasks[[#This Row],[_Pred2Text]]="","",IFERROR(VALUE(LEFT(Tasks[[#This Row],[_Pred2Text]],MIN(FIND("F",Tasks[[#This Row],[_Pred2Text]]&amp;"F"),FIND("S",Tasks[[#This Row],[_Pred2Text]]&amp;"S"),FIND("+",Tasks[[#This Row],[_Pred2Text]]&amp;"+"),FIND("-",Tasks[[#This Row],[_Pred2Text]]&amp;"-"))-1)),""))</f>
        <v/>
      </c>
      <c r="DA6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8" s="42">
        <f>IF(Tasks[[#This Row],[_Pred2Text]]="","",TRIM(MID(SUBSTITUTE(SUBSTITUTE(SUBSTITUTE(UPPER(Tasks[[#This Row],[_Predecessors]]),";",",")," ",""),",",REPT(" ",99)),199,99)))</f>
        <v/>
      </c>
      <c r="DD68" s="42">
        <f>IF(Tasks[[#This Row],[_Pred3Text]]="","",IFERROR(VALUE(LEFT(Tasks[[#This Row],[_Pred3Text]],MIN(FIND("F",Tasks[[#This Row],[_Pred3Text]]&amp;"F"),FIND("S",Tasks[[#This Row],[_Pred3Text]]&amp;"S"),FIND("+",Tasks[[#This Row],[_Pred3Text]]&amp;"+"),FIND("-",Tasks[[#This Row],[_Pred3Text]]&amp;"-"))-1)),""))</f>
        <v/>
      </c>
      <c r="DE6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8" s="42">
        <f>IF(Tasks[[#This Row],[_Pred3Text]]="","",TRIM(MID(SUBSTITUTE(SUBSTITUTE(SUBSTITUTE(UPPER(Tasks[[#This Row],[_Predecessors]]),";",",")," ",""),",",REPT(" ",99)),298,99)))</f>
        <v/>
      </c>
      <c r="DH68" s="42">
        <f>IF(Tasks[[#This Row],[_Pred4Text]]="","",IFERROR(VALUE(LEFT(Tasks[[#This Row],[_Pred4Text]],MIN(FIND("F",Tasks[[#This Row],[_Pred4Text]]&amp;"F"),FIND("S",Tasks[[#This Row],[_Pred4Text]]&amp;"S"),FIND("+",Tasks[[#This Row],[_Pred4Text]]&amp;"+"),FIND("-",Tasks[[#This Row],[_Pred4Text]]&amp;"-"))-1)),""))</f>
        <v/>
      </c>
      <c r="DI6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8" s="42">
        <f>IF(OR(Tasks[[#This Row],[Task Name]]="",Tasks[[#This Row],[_Resources]]=""),"",TRIM(MID(SUBSTITUTE(Tasks[[#This Row],[_Resources]],",",REPT(" ",99)),1,99)))</f>
        <v/>
      </c>
      <c r="DL68" s="42">
        <f>IF(Tasks[[#This Row],[_Res1Text]]="","",TRIM(MID(SUBSTITUTE(Tasks[[#This Row],[_Resources]],",",REPT(" ",99)),100,99)))</f>
        <v/>
      </c>
      <c r="DM68" s="42">
        <f>IF(Tasks[[#This Row],[_Res2Text]]="","",TRIM(MID(SUBSTITUTE(Tasks[[#This Row],[_Resources]],",",REPT(" ",99)),199,99)))</f>
        <v/>
      </c>
      <c r="DN68" s="42">
        <f>IF(Tasks[[#This Row],[_Res3Text]]="","",TRIM(MID(SUBSTITUTE(Tasks[[#This Row],[_Resources]],",",REPT(" ",99)),298,99)))</f>
        <v/>
      </c>
      <c r="DO68" s="42">
        <f>IF(Tasks[[#This Row],[_Res1Text]]="",0,IFERROR(MATCH(TRIM(LEFT(Tasks[[#This Row],[_Res1Text]],FIND("[",Tasks[[#This Row],[_Res1Text]]&amp;"[")-1)),res_Name,0),IFERROR(MATCH(TRIM(LEFT(Tasks[[#This Row],[_Res1Text]],FIND("[",Tasks[[#This Row],[_Res1Text]]&amp;"[")-1)),res_Initials,0),0)))</f>
        <v/>
      </c>
      <c r="DP68" s="42">
        <f>IF(Tasks[[#This Row],[_Res2Text]]="",0,IFERROR(MATCH(TRIM(LEFT(Tasks[[#This Row],[_Res2Text]],FIND("[",Tasks[[#This Row],[_Res2Text]]&amp;"[")-1)),res_Name,0),IFERROR(MATCH(TRIM(LEFT(Tasks[[#This Row],[_Res2Text]],FIND("[",Tasks[[#This Row],[_Res2Text]]&amp;"[")-1)),res_Initials,0),0)))</f>
        <v/>
      </c>
      <c r="DQ68" s="42">
        <f>IF(Tasks[[#This Row],[_Res3Text]]="",0,IFERROR(MATCH(TRIM(LEFT(Tasks[[#This Row],[_Res3Text]],FIND("[",Tasks[[#This Row],[_Res3Text]]&amp;"[")-1)),res_Name,0),IFERROR(MATCH(TRIM(LEFT(Tasks[[#This Row],[_Res3Text]],FIND("[",Tasks[[#This Row],[_Res3Text]]&amp;"[")-1)),res_Initials,0),0)))</f>
        <v/>
      </c>
      <c r="DR68" s="42">
        <f>IF(Tasks[[#This Row],[_Res4Text]]="",0,IFERROR(MATCH(TRIM(LEFT(Tasks[[#This Row],[_Res4Text]],FIND("[",Tasks[[#This Row],[_Res4Text]]&amp;"[")-1)),res_Name,0),IFERROR(MATCH(TRIM(LEFT(Tasks[[#This Row],[_Res4Text]],FIND("[",Tasks[[#This Row],[_Res4Text]]&amp;"[")-1)),res_Initials,0),0)))</f>
        <v/>
      </c>
      <c r="DS68" s="42">
        <f>IF(Tasks[[#This Row],[_Res1Text]]="","",IF(Tasks[[#This Row],[_Res1Row]]&gt;0,INDEX(res_Name,Tasks[[#This Row],[_Res1Row]]),TRIM(LEFT(Tasks[[#This Row],[_Res1Text]],FIND("[",Tasks[[#This Row],[_Res1Text]]&amp;"[")-1))))</f>
        <v/>
      </c>
      <c r="DT6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8" s="42">
        <f>IF(NOT(Tasks[[#This Row],[_IsLeaf]]=1),0,(Tasks[[#This Row],[_Resource1]]&lt;&gt;"")+(Tasks[[#This Row],[_Res2]]&lt;&gt;"")+(Tasks[[#This Row],[_Res3]]&lt;&gt;"")+(Tasks[[#This Row],[_Res4]]&lt;&gt;""))</f>
        <v/>
      </c>
      <c r="DV68" s="42">
        <f>IF(Tasks[[#This Row],[_Res2Text]]="","",IF(Tasks[[#This Row],[_Res2Row]]&gt;0,INDEX(res_Name,Tasks[[#This Row],[_Res2Row]]),TRIM(LEFT(Tasks[[#This Row],[_Res2Text]],FIND("[",Tasks[[#This Row],[_Res2Text]]&amp;"[")-1))))</f>
        <v/>
      </c>
      <c r="DW6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8" s="42">
        <f>IF(OR(NOT(Tasks[[#This Row],[_IsLeaf]]=1),Tasks[[#This Row],[_Res2Row]]=0),0,N(Tasks[[#This Row],[_Days]])*HoursPerDay*IF(Tasks[[#This Row],[_Res2Units]]="",DefaultUnits,Tasks[[#This Row],[_Res2Units]]))</f>
        <v/>
      </c>
      <c r="DY68" s="42">
        <f>IF(AND(AND(Tasks[[#This Row],[_IsLeaf]]=1,Tasks[[#This Row],[_LeafTotalWork]]&gt;0),Tasks[[#This Row],[_Res2Work]]&gt;0),Tasks[[#This Row],[_Res2Work]]/(Tasks[[#This Row],[_FinishWorkday]]-Tasks[[#This Row],[_StartWorkday]]+1),0)</f>
        <v/>
      </c>
      <c r="DZ68" s="42">
        <f>Tasks[[#This Row],[_Res2WorkPerWD]]*MAX(0,Tasks[[#This Row],[_StartWorkday]]-1)</f>
        <v/>
      </c>
      <c r="EA68" s="42">
        <f>Tasks[[#This Row],[_Res2Work]]*Tasks[[#This Row],[_LeafProgress]]</f>
        <v/>
      </c>
      <c r="EB68" s="42">
        <f>IF(Tasks[[#This Row],[_Res3Text]]="","",IF(Tasks[[#This Row],[_Res3Row]]&gt;0,INDEX(res_Name,Tasks[[#This Row],[_Res3Row]]),TRIM(LEFT(Tasks[[#This Row],[_Res3Text]],FIND("[",Tasks[[#This Row],[_Res3Text]]&amp;"[")-1))))</f>
        <v/>
      </c>
      <c r="EC6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8" s="42">
        <f>IF(OR(NOT(Tasks[[#This Row],[_IsLeaf]]=1),Tasks[[#This Row],[_Res3Row]]=0),0,N(Tasks[[#This Row],[_Days]])*HoursPerDay*IF(Tasks[[#This Row],[_Res3Units]]="",DefaultUnits,Tasks[[#This Row],[_Res3Units]]))</f>
        <v/>
      </c>
      <c r="EE68" s="42">
        <f>IF(AND(AND(Tasks[[#This Row],[_IsLeaf]]=1,Tasks[[#This Row],[_LeafTotalWork]]&gt;0),Tasks[[#This Row],[_Res3Work]]&gt;0),Tasks[[#This Row],[_Res3Work]]/(Tasks[[#This Row],[_FinishWorkday]]-Tasks[[#This Row],[_StartWorkday]]+1),0)</f>
        <v/>
      </c>
      <c r="EF68" s="42">
        <f>Tasks[[#This Row],[_Res3WorkPerWD]]*MAX(0,Tasks[[#This Row],[_StartWorkday]]-1)</f>
        <v/>
      </c>
      <c r="EG68" s="42">
        <f>Tasks[[#This Row],[_Res3Work]]*Tasks[[#This Row],[_LeafProgress]]</f>
        <v/>
      </c>
      <c r="EH68" s="42">
        <f>IF(Tasks[[#This Row],[_Res4Text]]="","",IF(Tasks[[#This Row],[_Res4Row]]&gt;0,INDEX(res_Name,Tasks[[#This Row],[_Res4Row]]),TRIM(LEFT(Tasks[[#This Row],[_Res4Text]],FIND("[",Tasks[[#This Row],[_Res4Text]]&amp;"[")-1))))</f>
        <v/>
      </c>
      <c r="EI6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8" s="42">
        <f>IF(OR(NOT(Tasks[[#This Row],[_IsLeaf]]=1),Tasks[[#This Row],[_Res4Row]]=0),0,N(Tasks[[#This Row],[_Days]])*HoursPerDay*IF(Tasks[[#This Row],[_Res4Units]]="",DefaultUnits,Tasks[[#This Row],[_Res4Units]]))</f>
        <v/>
      </c>
      <c r="EK68" s="42">
        <f>IF(AND(AND(Tasks[[#This Row],[_IsLeaf]]=1,Tasks[[#This Row],[_LeafTotalWork]]&gt;0),Tasks[[#This Row],[_Res4Work]]&gt;0),Tasks[[#This Row],[_Res4Work]]/(Tasks[[#This Row],[_FinishWorkday]]-Tasks[[#This Row],[_StartWorkday]]+1),0)</f>
        <v/>
      </c>
      <c r="EL68" s="42">
        <f>Tasks[[#This Row],[_Res4WorkPerWD]]*MAX(0,Tasks[[#This Row],[_StartWorkday]]-1)</f>
        <v/>
      </c>
      <c r="EM68" s="42">
        <f>Tasks[[#This Row],[_Res4Work]]*Tasks[[#This Row],[_LeafProgress]]</f>
        <v/>
      </c>
      <c r="EN68" s="42">
        <f>IF(ISNUMBER(Tasks[[#This Row],[% Complete]]),Tasks[[#This Row],[% Complete]],IF(Tasks[[#This Row],[Stage]]="",0,IFERROR(INDEX(stg_Pct,MATCH(Tasks[[#This Row],[Stage]],stg_Name,0)),0)))</f>
        <v/>
      </c>
      <c r="EO68" s="42">
        <f>IF(NOT(Tasks[[#This Row],[_IsLeaf]]=1),0,IF(N(Tasks[[#This Row],[Actual Finish]])&gt;0,1,MIN(1,Tasks[[#This Row],[_Pct]])))</f>
        <v/>
      </c>
      <c r="EP68" s="42">
        <f>IF(OR(NOT(Tasks[[#This Row],[_IsLeaf]]=1),Tasks[[#This Row],[_Res1Row]]=0),0,N(Tasks[[#This Row],[_Days]])*HoursPerDay*IF(Tasks[[#This Row],[_Units1]]="",DefaultUnits,Tasks[[#This Row],[_Units1]]))</f>
        <v/>
      </c>
      <c r="EQ68" s="42">
        <f>Tasks[[#This Row],[_LeafWork]]+Tasks[[#This Row],[_Res2Work]]+Tasks[[#This Row],[_Res3Work]]+Tasks[[#This Row],[_Res4Work]]</f>
        <v/>
      </c>
      <c r="ER6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8" s="42">
        <f>IF(NOT(Tasks[[#This Row],[_IsLeaf]]=1),0,MAX(_xlfn.MAXIFS(Tasks[_Row],Tasks[_Pred1UID],Tasks[[#This Row],[UID]]),_xlfn.MAXIFS(Tasks[_Row],Tasks[_Pred2UID],Tasks[[#This Row],[UID]]),_xlfn.MAXIFS(Tasks[_Row],Tasks[_Pred3UID],Tasks[[#This Row],[UID]]),_xlfn.MAXIFS(Tasks[_Row],Tasks[_Pred4UID],Tasks[[#This Row],[UID]])))</f>
        <v/>
      </c>
      <c r="FA6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8" s="88">
        <f>IF(NOT(Tasks[[#This Row],[_IsLeaf]]=1),"",IF(N(Tasks[[#This Row],[_Days]])&lt;=0,Tasks[[#This Row],[_LeafLateFinish]],WORKDAY.INTL(Tasks[[#This Row],[_LeafLateFinish]],-(Tasks[[#This Row],[_Days]]-1),WorkWeek,Holidays)))</f>
        <v/>
      </c>
      <c r="FD6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8" s="42">
        <f>AND(Tasks[[#This Row],[_IsLeaf]]=1,Tasks[[#This Row],[_LeafProgress]]&lt;1,N(Tasks[[#This Row],[_LeafTotalSlack]])&lt;=CriticalSlackDays)</f>
        <v/>
      </c>
      <c r="FF68" s="42">
        <f>IF(AND(Tasks[[#This Row],[_IsLeaf]]=1,Tasks[[#This Row],[_ConstraintCode]]=1,Tasks[[#This Row],[Mode]]&lt;&gt;"Manual",N(Tasks[[#This Row],[Actual Start]])=0),MAX(0,N(Tasks[[#This Row],[Free Slack]])),0)</f>
        <v/>
      </c>
      <c r="FG68" s="88">
        <f>IF(NOT(Tasks[[#This Row],[_IsLeaf]]=1),"",IF(Tasks[[#This Row],[_AlapShift]]=0,Tasks[[#This Row],[_LeafCalcStart]],WORKDAY.INTL(Tasks[[#This Row],[_LeafCalcStart]],Tasks[[#This Row],[_AlapShift]],WorkWeek,Holidays)))</f>
        <v/>
      </c>
      <c r="FH68" s="88">
        <f>IF(NOT(Tasks[[#This Row],[_IsLeaf]]=1),"",IF(Tasks[[#This Row],[_AlapShift]]=0,Tasks[[#This Row],[_LeafCalcFinish]],WORKDAY.INTL(Tasks[[#This Row],[_LeafCalcFinish]],Tasks[[#This Row],[_AlapShift]],WorkWeek,Holidays)))</f>
        <v/>
      </c>
      <c r="FI68" s="88">
        <f>IF(NOT(Tasks[[#This Row],[_IsLeaf]]=1),"",IF(Tasks[[#This Row],[_AlapShift]]=0,Tasks[[#This Row],[_LeafFcstStart]],WORKDAY.INTL(Tasks[[#This Row],[_LeafFcstStart]],Tasks[[#This Row],[_AlapShift]],WorkWeek,Holidays)))</f>
        <v/>
      </c>
      <c r="FJ68" s="88">
        <f>IF(NOT(Tasks[[#This Row],[_IsLeaf]]=1),"",IF(Tasks[[#This Row],[_AlapShift]]=0,Tasks[[#This Row],[_LeafFcstFinish]],WORKDAY.INTL(Tasks[[#This Row],[_LeafFcstFinish]],Tasks[[#This Row],[_AlapShift]],WorkWeek,Holidays)))</f>
        <v/>
      </c>
      <c r="FK68" s="88">
        <f>IF(Tasks[[#This Row],[Task Name]]="","",IF(Tasks[[#This Row],[_IsSummary]],MIN(INDEX(Tasks[_ShownCalcStart],Tasks[[#This Row],[_Row]]+1):INDEX(Tasks[_ShownCalcStart],Tasks[[#This Row],[_Row]]+Tasks[[#This Row],[_Descendants]])),Tasks[[#This Row],[_ShownCalcStart]]))</f>
        <v/>
      </c>
      <c r="FL68" s="88">
        <f>IF(Tasks[[#This Row],[Task Name]]="","",IF(Tasks[[#This Row],[_IsSummary]],MAX(INDEX(Tasks[_ShownCalcFinish],Tasks[[#This Row],[_Row]]+1):INDEX(Tasks[_ShownCalcFinish],Tasks[[#This Row],[_Row]]+Tasks[[#This Row],[_Descendants]])),Tasks[[#This Row],[_ShownCalcFinish]]))</f>
        <v/>
      </c>
      <c r="FM6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8" s="42">
        <f>IF(AND(Tasks[[#This Row],[_IsLeaf]]=1,Tasks[[#This Row],[_LeafTotalWork]]&gt;0),NETWORKDAYS.INTL(ProjectStart,Tasks[[#This Row],[_ShownFcstStart]],WorkWeek,Holidays),0)</f>
        <v/>
      </c>
      <c r="FZ68" s="42">
        <f>IF(AND(Tasks[[#This Row],[_IsLeaf]]=1,Tasks[[#This Row],[_LeafTotalWork]]&gt;0),MAX(Tasks[[#This Row],[_StartWorkday]],NETWORKDAYS.INTL(ProjectStart,Tasks[[#This Row],[_ShownFcstFinish]],WorkWeek,Holidays)),0)</f>
        <v/>
      </c>
      <c r="GA68" s="42">
        <f>IF(AND(Tasks[[#This Row],[_IsLeaf]]=1,Tasks[[#This Row],[_LeafTotalWork]]&gt;0),Tasks[[#This Row],[_LeafWork]]/(Tasks[[#This Row],[_FinishWorkday]]-Tasks[[#This Row],[_StartWorkday]]+1),0)</f>
        <v/>
      </c>
      <c r="GB68" s="42">
        <f>Tasks[[#This Row],[_WorkPerWorkday]]*(Tasks[[#This Row],[_StartWorkday]]-1)</f>
        <v/>
      </c>
      <c r="GC68" s="42">
        <f>IF(Tasks[[#This Row],[_IsLeaf]]=1,MAX(N(Tasks[[#This Row],[_Days]]),0.1),0)</f>
        <v/>
      </c>
      <c r="GD68" s="42">
        <f>Tasks[[#This Row],[_WeightDur]]*Tasks[[#This Row],[_LeafProgress]]</f>
        <v/>
      </c>
      <c r="GE68" s="42">
        <f>Tasks[[#This Row],[_WeightDur]]*Tasks[[#This Row],[_PlannedPct]]</f>
        <v/>
      </c>
      <c r="GF6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8" s="42">
        <f>IF(AND(Tasks[[#This Row],[_IsLeaf]]=1,N(Tasks[[#This Row],[_Days]])=0,Tasks[[#This Row],[_LeafProgress]]&lt;1),Tasks[[#This Row],[_ShownFcstFinish]]+Tasks[[#This Row],[_Row]]/100000,"")</f>
        <v/>
      </c>
      <c r="GH6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8" s="42">
        <f>IF(Tasks[[#This Row],[Task Name]]="","",LEFT(Tasks[[#This Row],[WBS]],FIND(".",Tasks[[#This Row],[WBS]]&amp;".")-1))</f>
        <v/>
      </c>
      <c r="GJ68" s="42">
        <f>IF(AND(Tasks[[#This Row],[Task Name]]&lt;&gt;"",Tasks[[#This Row],[_Level]]=1),Tasks[[#This Row],[_Row]],"")</f>
        <v/>
      </c>
      <c r="GK68" s="42">
        <f>IF(AND(Tasks[[#This Row],[_IsLeaf]]=1,N(Tasks[[#This Row],[_Days]])=0),Tasks[[#This Row],[Planned Finish]]+Tasks[[#This Row],[_Row]]/100000,"")</f>
        <v/>
      </c>
      <c r="GL68" s="42">
        <f>IF(AND(Tasks[[#This Row],[_IsLeaf]]=1,Tasks[[#This Row],[_LeafProgress]]&lt;1,OR(N(Tasks[[#This Row],[Finish Var]])&gt;0,Tasks[[#This Row],[Status]]="Late Start")),MAX(0,Tasks[[#This Row],[Finish Var]])+1-Tasks[[#This Row],[_Row]]/1000000,"")</f>
        <v/>
      </c>
      <c r="GM68" s="42">
        <f>IF(AND(Tasks[[#This Row],[_IsLeaf]]=1,N(Tasks[[#This Row],[Actual Start]])=0,Tasks[[#This Row],[_ShownFcstStart]]&gt;=StatusDate,Tasks[[#This Row],[_ShownFcstStart]]&lt;=LookaheadEnd),Tasks[[#This Row],[_ShownFcstStart]]+Tasks[[#This Row],[_Row]]/100000,"")</f>
        <v/>
      </c>
      <c r="GN68" s="42">
        <f>IF(AND(Tasks[[#This Row],[_IsLeaf]]=1,Tasks[[#This Row],[_LeafProgress]]&lt;1,Tasks[[#This Row],[_ShownFcstFinish]]&gt;=StatusDate,Tasks[[#This Row],[_ShownFcstFinish]]&lt;=LookaheadEnd),Tasks[[#This Row],[_ShownFcstFinish]]+Tasks[[#This Row],[_Row]]/100000,"")</f>
        <v/>
      </c>
      <c r="GO68" s="42">
        <f>IF(Tasks[[#This Row],[_LeafCritical]],Tasks[[#This Row],[_ShownFcstStart]]+Tasks[[#This Row],[_Row]]/100000,"")</f>
        <v/>
      </c>
      <c r="GP68" s="42">
        <f>Tasks[[#This Row],[_LeafWork]]*Tasks[[#This Row],[_LeafProgress]]</f>
        <v/>
      </c>
      <c r="GQ68" s="88">
        <f>IF(AND(Tasks[[#This Row],[_IsLeaf]]=1,Tasks[[#This Row],[_LeafProgress]]&gt;=1),IF(N(Tasks[[#This Row],[Actual Finish]])&gt;0,Tasks[[#This Row],[Actual Finish]],Tasks[[#This Row],[_ShownFcstFinish]]),"")</f>
        <v/>
      </c>
      <c r="GR68" s="42">
        <f>IF(Tasks[[#This Row],[_IsLeaf]]=1,N(Tasks[[#This Row],[Story Points]]),0)</f>
        <v/>
      </c>
      <c r="GS68" s="42">
        <f>""</f>
        <v/>
      </c>
      <c r="GT68" s="42">
        <f>IF(Tasks[[#This Row],[Task Name]]="",FALSE(),AND(Tasks[[#This Row],[_IsLeaf]]=1,N(Tasks[[#This Row],[_Days]])=0))</f>
        <v/>
      </c>
      <c r="GU68" s="88">
        <f>IF(Tasks[[#This Row],[Task Name]]="",0,IF(AND(Tasks[[#This Row],[_IsLeaf]]=1,NOT(Tasks[[#This Row],[_IsMilestone]]),N(Tasks[[#This Row],[Progress]])&gt;0),Tasks[[#This Row],[Start]],0))</f>
        <v/>
      </c>
      <c r="GV68" s="88">
        <f>IF(Tasks[[#This Row],[_DoneFrom]]=0,0,IF(Tasks[[#This Row],[Progress]]&gt;=1,Tasks[[#This Row],[Finish]],MAX(Tasks[[#This Row],[_DoneFrom]],Tasks[[#This Row],[Start]]+ROUND((Tasks[[#This Row],[Finish]]-Tasks[[#This Row],[Start]]+1)*Tasks[[#This Row],[Progress]],0)-1)))</f>
        <v/>
      </c>
      <c r="GW68" s="88">
        <f>IF(Tasks[[#This Row],[Task Name]]="",0,IF(OR(NOT(Tasks[[#This Row],[_IsLeaf]]=1),Tasks[[#This Row],[_IsMilestone]],N(Tasks[[#This Row],[Progress]])&gt;=1),0,IF(Tasks[[#This Row],[_DoneTo]]&gt;0,Tasks[[#This Row],[_DoneTo]]+1,Tasks[[#This Row],[Start]])))</f>
        <v/>
      </c>
      <c r="GX68" s="88">
        <f>IF(Tasks[[#This Row],[_RemFrom]]=0,0,Tasks[[#This Row],[Finish]])</f>
        <v/>
      </c>
      <c r="GY68" s="42">
        <f>IF(Tasks[[#This Row],[Task Name]]="",FALSE(),OR(NOT(BaselineSet),N(Tasks[[#This Row],[Baseline Start]])&gt;0))</f>
        <v/>
      </c>
      <c r="GZ68" s="42">
        <f>IF(AND(Sandbox="Yes",L_PARSE_DURATION(Tasks[[#This Row],[Sandbox Duration]])&lt;&gt;""),L_PARSE_DURATION(Tasks[[#This Row],[Sandbox Duration]]),L_PARSE_DURATION(Tasks[[#This Row],[Duration]]))</f>
        <v/>
      </c>
      <c r="HA6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8" s="42">
        <f>IF(Tasks[[#This Row],[_IsLeaf]]=1,Tasks[[#This Row],[_Row]],"")</f>
        <v/>
      </c>
      <c r="HD68" s="42">
        <f>IFERROR(INDEX(Tasks[UID],SMALL(Tasks[_PickKey],Tasks[[#This Row],[_Row]]))&amp;" "&amp;INDEX(Tasks[Task Name],SMALL(Tasks[_PickKey],Tasks[[#This Row],[_Row]])),"")</f>
        <v/>
      </c>
      <c r="HE68" s="42">
        <f>IF(Tasks[[#This Row],[Task Name]]="","",IF(Tasks[[#This Row],[_IsSummary]],NETWORKDAYS.INTL(Tasks[[#This Row],[Start]],Tasks[[#This Row],[Finish]],WorkWeek,Holidays),N(Tasks[[#This Row],[_Days]])))</f>
        <v/>
      </c>
      <c r="HF68" s="42">
        <f>IF(Tasks[[#This Row],[Expected]]="",0,((Tasks[[#This Row],[Pessimistic]]-Tasks[[#This Row],[Optimistic]])/6)^2)</f>
        <v/>
      </c>
      <c r="HG68" s="42">
        <f>IF(Tasks[[#This Row],[Expected]]="",0,Tasks[[#This Row],[Expected]]-N(Tasks[[#This Row],[_Days]]))</f>
        <v/>
      </c>
    </row>
    <row r="69">
      <c r="A69" s="21">
        <f>IF(Tasks[[#This Row],[Task Name]]="","",COUNTA(Tasks[[#Headers],[Task Name]]:Tasks[[#This Row],[Task Name]])-1)</f>
        <v/>
      </c>
      <c r="B69" s="22" t="n">
        <v>77</v>
      </c>
      <c r="C69" s="22" t="n"/>
      <c r="D69" s="23" t="n"/>
      <c r="E69" s="22" t="n"/>
      <c r="F69" s="23" t="n"/>
      <c r="G69" s="22" t="n"/>
      <c r="H69" s="22" t="n"/>
      <c r="I69" s="23" t="n"/>
      <c r="J69" s="22" t="n"/>
      <c r="K69" s="22" t="n"/>
      <c r="L69" s="23" t="n"/>
      <c r="M69" s="22" t="n"/>
      <c r="N69" s="22" t="n"/>
      <c r="O69" s="23" t="n"/>
      <c r="P69" s="22" t="n"/>
      <c r="Q69" s="22" t="n"/>
      <c r="R69" s="23" t="n"/>
      <c r="S69" s="23" t="n"/>
      <c r="T69" s="82" t="n"/>
      <c r="U69" s="23" t="n"/>
      <c r="V69" s="82" t="n"/>
      <c r="W69" s="23" t="n"/>
      <c r="X69" s="82" t="n"/>
      <c r="Y69" s="23" t="n"/>
      <c r="Z69" s="82" t="n"/>
      <c r="AA69" s="23" t="n"/>
      <c r="AB69" s="23" t="n"/>
      <c r="AC69" s="7" t="n"/>
      <c r="AD69" s="7" t="n"/>
      <c r="AE69" s="61">
        <f>IF(Tasks[[#This Row],[Task Name]]="","",IF(Tasks[[#This Row],[_IsSummary]],MIN(INDEX(Tasks[_ShownFcstStart],Tasks[[#This Row],[_Row]]+1):INDEX(Tasks[_ShownFcstStart],Tasks[[#This Row],[_Row]]+Tasks[[#This Row],[_Descendants]])),Tasks[[#This Row],[_ShownFcstStart]]))</f>
        <v/>
      </c>
      <c r="AF69" s="61">
        <f>IF(Tasks[[#This Row],[Task Name]]="","",IF(Tasks[[#This Row],[_IsSummary]],MAX(INDEX(Tasks[_ShownFcstFinish],Tasks[[#This Row],[_Row]]+1):INDEX(Tasks[_ShownFcstFinish],Tasks[[#This Row],[_Row]]+Tasks[[#This Row],[_Descendants]])),Tasks[[#This Row],[_ShownFcstFinish]]))</f>
        <v/>
      </c>
      <c r="AG69" s="21">
        <f>""</f>
        <v/>
      </c>
      <c r="AH69" s="23" t="n"/>
      <c r="AI6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69" s="7" t="n"/>
      <c r="AK69" s="22" t="n"/>
      <c r="AL69" s="23" t="n"/>
      <c r="AM69" s="7" t="n"/>
      <c r="AN69" s="21">
        <f>IF(Tasks[[#This Row],[Task Name]]="","",IF(Tasks[[#This Row],[Finish]]&gt;=Tasks[[#This Row],[Planned Finish]],NETWORKDAYS.INTL(Tasks[[#This Row],[Planned Finish]],Tasks[[#This Row],[Finish]],WorkWeek,Holidays)-1,1-NETWORKDAYS.INTL(Tasks[[#This Row],[Finish]],Tasks[[#This Row],[Planned Finish]],WorkWeek,Holidays)))</f>
        <v/>
      </c>
      <c r="AO69" s="21">
        <f>IF(Tasks[[#This Row],[Task Name]]="","",IF(Tasks[[#This Row],[Progress]]&gt;=1,"Complete",IF(OR(N(Tasks[[#This Row],[Actual Start]])&gt;0,Tasks[[#This Row],[Progress]]&gt;0),IF(Tasks[[#This Row],[Finish Var]]&gt;0,"Behind","In Progress"),IF(Tasks[[#This Row],[Planned Start]]&lt;StatusDate,"Late Start","Not Started"))))</f>
        <v/>
      </c>
      <c r="AP69" s="21">
        <f>IF(Tasks[[#This Row],[Task Name]]="","",IF(IF(Tasks[[#This Row],[_IsSummary]],COUNTIF(INDEX(Tasks[_LeafCritical],Tasks[[#This Row],[_Row]]+1):INDEX(Tasks[_LeafCritical],Tasks[[#This Row],[_Row]]+Tasks[[#This Row],[_Descendants]]),TRUE())&gt;0,Tasks[[#This Row],[_LeafCritical]]),"Yes",""))</f>
        <v/>
      </c>
      <c r="AQ69" s="61">
        <f>IF(Tasks[[#This Row],[Task Name]]="","",IF(N(Tasks[[#This Row],[Baseline Start]])&gt;0,Tasks[[#This Row],[Baseline Start]],Tasks[[#This Row],[_CalcStart]]))</f>
        <v/>
      </c>
      <c r="AR69" s="61">
        <f>IF(Tasks[[#This Row],[Task Name]]="","",IF(N(Tasks[[#This Row],[Baseline Finish]])&gt;0,Tasks[[#This Row],[Baseline Finish]],Tasks[[#This Row],[_CalcFinish]]))</f>
        <v/>
      </c>
      <c r="AS69" s="21">
        <f>IF(Tasks[[#This Row],[Task Name]]="","",IF(Tasks[[#This Row],[Start]]&gt;=Tasks[[#This Row],[Planned Start]],NETWORKDAYS.INTL(Tasks[[#This Row],[Planned Start]],Tasks[[#This Row],[Start]],WorkWeek,Holidays)-1,1-NETWORKDAYS.INTL(Tasks[[#This Row],[Start]],Tasks[[#This Row],[Planned Start]],WorkWeek,Holidays)))</f>
        <v/>
      </c>
      <c r="AT69" s="61">
        <f>IF(Tasks[[#This Row],[Task Name]]="","",IF(Tasks[[#This Row],[_IsSummary]],MIN(INDEX(Tasks[_LeafLateStart],Tasks[[#This Row],[_Row]]+1):INDEX(Tasks[_LeafLateStart],Tasks[[#This Row],[_Row]]+Tasks[[#This Row],[_Descendants]])),Tasks[[#This Row],[_LeafLateStart]]))</f>
        <v/>
      </c>
      <c r="AU69" s="61">
        <f>IF(Tasks[[#This Row],[Task Name]]="","",IF(Tasks[[#This Row],[_IsSummary]],MAX(INDEX(Tasks[_LeafLateFinish],Tasks[[#This Row],[_Row]]+1):INDEX(Tasks[_LeafLateFinish],Tasks[[#This Row],[_Row]]+Tasks[[#This Row],[_Descendants]])),Tasks[[#This Row],[_LeafLateFinish]]))</f>
        <v/>
      </c>
      <c r="AV69" s="21">
        <f>IF(Tasks[[#This Row],[Task Name]]="","",IF(Tasks[[#This Row],[_IsSummary]],MIN(INDEX(Tasks[_LeafTotalSlack],Tasks[[#This Row],[_Row]]+1):INDEX(Tasks[_LeafTotalSlack],Tasks[[#This Row],[_Row]]+Tasks[[#This Row],[_Descendants]])),Tasks[[#This Row],[_LeafTotalSlack]]))</f>
        <v/>
      </c>
      <c r="AW6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3" t="n"/>
      <c r="BA6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f>IF(Tasks[[#This Row],[Task Name]]="","",IF(Tasks[[#This Row],[_Level]]&lt;=OutlineShowLevel,"Yes","No"))</f>
        <v/>
      </c>
      <c r="BE69" s="84">
        <f>IF(Tasks[[#This Row],[Task Name]]="","",IF(Tasks[[#This Row],[_IsSummary]],SUM(INDEX(Tasks[_LeafTotalWork],Tasks[[#This Row],[_Row]]+1):INDEX(Tasks[_LeafTotalWork],Tasks[[#This Row],[_Row]]+Tasks[[#This Row],[_Descendants]])),Tasks[[#This Row],[_LeafTotalWork]]))</f>
        <v/>
      </c>
      <c r="BF69" s="23" t="n"/>
      <c r="BG6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f>""</f>
        <v/>
      </c>
      <c r="BI69" s="85" t="n"/>
      <c r="BJ69" s="22" t="n"/>
      <c r="BK69" s="21">
        <f>IF(OR(Tasks[[#This Row],[Task Name]]="",Tasks[[#This Row],[Baseline Duration]]=""),"",Tasks[[#This Row],[_SpanDays]]-N(Tasks[[#This Row],[Baseline Duration]]))</f>
        <v/>
      </c>
      <c r="BL69" s="84">
        <f>IF(OR(Tasks[[#This Row],[Task Name]]="",Tasks[[#This Row],[Baseline Work]]=""),"",Tasks[[#This Row],[Work]]-N(Tasks[[#This Row],[Baseline Work]]))</f>
        <v/>
      </c>
      <c r="BM69" s="61">
        <f>IF(Tasks[[#This Row],[Task Name]]="","",IF(OR(TakeBaseline="Yes",N(Tasks[[#This Row],[Baseline Start]])=0),Tasks[[#This Row],[Start]],Tasks[[#This Row],[Baseline Start]]))</f>
        <v/>
      </c>
      <c r="BN69" s="61">
        <f>IF(Tasks[[#This Row],[Task Name]]="","",IF(OR(TakeBaseline="Yes",N(Tasks[[#This Row],[Baseline Finish]])=0),Tasks[[#This Row],[Finish]],Tasks[[#This Row],[Baseline Finish]]))</f>
        <v/>
      </c>
      <c r="BO69" s="21">
        <f>IF(Tasks[[#This Row],[Task Name]]="","",IF(OR(TakeBaseline="Yes",N(Tasks[[#This Row],[Baseline Duration]])=0),Tasks[[#This Row],[_SpanDays]],Tasks[[#This Row],[Baseline Duration]]))</f>
        <v/>
      </c>
      <c r="BP69" s="84">
        <f>IF(Tasks[[#This Row],[Task Name]]="","",IF(OR(TakeBaseline="Yes",N(Tasks[[#This Row],[Baseline Work]])=0),Tasks[[#This Row],[Work]],Tasks[[#This Row],[Baseline Work]]))</f>
        <v/>
      </c>
      <c r="BQ69" s="7" t="n"/>
      <c r="BR69" s="7" t="n"/>
      <c r="BS69" s="22" t="n"/>
      <c r="BT69" s="86" t="n"/>
      <c r="BU69" s="23" t="n"/>
      <c r="BV69" s="23" t="n"/>
      <c r="BW69" s="23" t="n"/>
      <c r="BX69" s="87">
        <f>IF(AND(Tasks[[#This Row],[_IsLeaf]]=1,ISNUMBER(Tasks[[#This Row],[Optimistic]]),ISNUMBER(Tasks[[#This Row],[Pessimistic]])),ROUND((Tasks[[#This Row],[Optimistic]]+4*N(Tasks[[#This Row],[_Days]])+Tasks[[#This Row],[Pessimistic]])/6,1),"")</f>
        <v/>
      </c>
      <c r="BY69" s="85" t="n"/>
      <c r="BZ69" s="85" t="n"/>
      <c r="CA69" s="22" t="n"/>
      <c r="CB69" s="42">
        <f>IF(Tasks[[#This Row],[Task Name]]="","",MAX(1,N(Tasks[[#This Row],[Level]])))</f>
        <v/>
      </c>
      <c r="CC69" s="42">
        <f>ROW()-ROW(Tasks[[#Headers],[ID]])</f>
        <v/>
      </c>
      <c r="CD69" s="42">
        <f>IF(OR(Tasks[[#This Row],[Task Name]]="",Tasks[[#This Row],[_Level]]&lt;=1),0,IFERROR(LOOKUP(2,1/(Tasks[[#Headers],[_Level]]:Tasks[[#This Row],[_Level]]=Tasks[[#This Row],[_Level]]-1),ROW(Tasks[[#Headers],[_Level]]:Tasks[[#This Row],[_Level]])),0))</f>
        <v/>
      </c>
      <c r="CE69" s="42">
        <f>IFERROR(N(INDEX(Tasks[_Level],Tasks[[#This Row],[_Row]]+1)),0)</f>
        <v/>
      </c>
      <c r="CF69" s="42">
        <f>AND(Tasks[[#This Row],[Task Name]]&lt;&gt;"",Tasks[[#This Row],[_NextLevel]]&gt;Tasks[[#This Row],[_Level]])</f>
        <v/>
      </c>
      <c r="CG69" s="42">
        <f>IF(Tasks[[#This Row],[_IsSummary]],COUNTIF(Tasks[WBS],Tasks[[#This Row],[WBS]]&amp;".*"),0)</f>
        <v/>
      </c>
      <c r="CH69" s="42">
        <f>IF(AND(Tasks[[#This Row],[Task Name]]&lt;&gt;"",NOT(Tasks[[#This Row],[_IsSummary]])),1,0)</f>
        <v/>
      </c>
      <c r="CI69" s="42">
        <f>IF(N(Tasks[[#This Row],[_Pred1UID]])=0,0,IFERROR(MATCH(Tasks[[#This Row],[_Pred1UID]],Tasks[UID],0),-1))</f>
        <v/>
      </c>
      <c r="CJ69" s="42">
        <f>IF(N(Tasks[[#This Row],[_Pred2UID]])=0,0,IFERROR(MATCH(Tasks[[#This Row],[_Pred2UID]],Tasks[UID],0),-1))</f>
        <v/>
      </c>
      <c r="CK69" s="42">
        <f>IF(N(Tasks[[#This Row],[_Pred3UID]])=0,0,IFERROR(MATCH(Tasks[[#This Row],[_Pred3UID]],Tasks[UID],0),-1))</f>
        <v/>
      </c>
      <c r="CL69" s="42">
        <f>IF(N(Tasks[[#This Row],[_Pred4UID]])=0,0,IFERROR(MATCH(Tasks[[#This Row],[_Pred4UID]],Tasks[UID],0),-1))</f>
        <v/>
      </c>
      <c r="CM6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9" s="88">
        <f>IF(N(Tasks[[#This Row],[Constraint Date]])=0,0,IF(AND(OR(Tasks[[#This Row],[_ConstraintCode]]=3,Tasks[[#This Row],[_ConstraintCode]]=6,Tasks[[#This Row],[_ConstraintCode]]=7),N(Tasks[[#This Row],[_Days]])&gt;1),WORKDAY.INTL(N(Tasks[[#This Row],[Constraint Date]]),-(N(Tasks[[#This Row],[_Days]])-1),WorkWeek,Holidays),N(Tasks[[#This Row],[Constraint Date]])))</f>
        <v/>
      </c>
      <c r="CO69" s="88">
        <f>IF(OR(Tasks[[#This Row],[_ConstraintCode]]=2,Tasks[[#This Row],[_ConstraintCode]]=3,Tasks[[#This Row],[_ConstraintCode]]=4,Tasks[[#This Row],[_ConstraintCode]]=6),Tasks[[#This Row],[_ConstraintStart]],0)</f>
        <v/>
      </c>
      <c r="CP69" s="88">
        <f>IF(OR(Tasks[[#This Row],[_ConstraintCode]]=2,Tasks[[#This Row],[_ConstraintCode]]=3,Tasks[[#This Row],[_ConstraintCode]]=5,Tasks[[#This Row],[_ConstraintCode]]=7),Tasks[[#This Row],[_ConstraintStart]],2958465)</f>
        <v/>
      </c>
      <c r="CQ6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9" s="88">
        <f>IF(NOT(Tasks[[#This Row],[_IsLeaf]]=1),"",IF(N(Tasks[[#This Row],[_Days]])&lt;=0,Tasks[[#This Row],[_LeafCalcStart]],WORKDAY.INTL(Tasks[[#This Row],[_LeafCalcStart]],Tasks[[#This Row],[_Days]]-1,WorkWeek,Holidays)))</f>
        <v/>
      </c>
      <c r="CS6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9" s="42">
        <f>IF(Tasks[[#This Row],[_Predecessors]]="","",TRIM(MID(SUBSTITUTE(SUBSTITUTE(SUBSTITUTE(UPPER(Tasks[[#This Row],[_Predecessors]]),";",",")," ",""),",",REPT(" ",99)),1,99)))</f>
        <v/>
      </c>
      <c r="CV69" s="42">
        <f>IF(Tasks[[#This Row],[_Pred1Text]]="","",IFERROR(VALUE(LEFT(Tasks[[#This Row],[_Pred1Text]],MIN(FIND("F",Tasks[[#This Row],[_Pred1Text]]&amp;"F"),FIND("S",Tasks[[#This Row],[_Pred1Text]]&amp;"S"),FIND("+",Tasks[[#This Row],[_Pred1Text]]&amp;"+"),FIND("-",Tasks[[#This Row],[_Pred1Text]]&amp;"-"))-1)),""))</f>
        <v/>
      </c>
      <c r="CW6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9" s="42">
        <f>IF(Tasks[[#This Row],[_Pred1Text]]="","",TRIM(MID(SUBSTITUTE(SUBSTITUTE(SUBSTITUTE(UPPER(Tasks[[#This Row],[_Predecessors]]),";",",")," ",""),",",REPT(" ",99)),100,99)))</f>
        <v/>
      </c>
      <c r="CZ69" s="42">
        <f>IF(Tasks[[#This Row],[_Pred2Text]]="","",IFERROR(VALUE(LEFT(Tasks[[#This Row],[_Pred2Text]],MIN(FIND("F",Tasks[[#This Row],[_Pred2Text]]&amp;"F"),FIND("S",Tasks[[#This Row],[_Pred2Text]]&amp;"S"),FIND("+",Tasks[[#This Row],[_Pred2Text]]&amp;"+"),FIND("-",Tasks[[#This Row],[_Pred2Text]]&amp;"-"))-1)),""))</f>
        <v/>
      </c>
      <c r="DA6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9" s="42">
        <f>IF(Tasks[[#This Row],[_Pred2Text]]="","",TRIM(MID(SUBSTITUTE(SUBSTITUTE(SUBSTITUTE(UPPER(Tasks[[#This Row],[_Predecessors]]),";",",")," ",""),",",REPT(" ",99)),199,99)))</f>
        <v/>
      </c>
      <c r="DD69" s="42">
        <f>IF(Tasks[[#This Row],[_Pred3Text]]="","",IFERROR(VALUE(LEFT(Tasks[[#This Row],[_Pred3Text]],MIN(FIND("F",Tasks[[#This Row],[_Pred3Text]]&amp;"F"),FIND("S",Tasks[[#This Row],[_Pred3Text]]&amp;"S"),FIND("+",Tasks[[#This Row],[_Pred3Text]]&amp;"+"),FIND("-",Tasks[[#This Row],[_Pred3Text]]&amp;"-"))-1)),""))</f>
        <v/>
      </c>
      <c r="DE6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9" s="42">
        <f>IF(Tasks[[#This Row],[_Pred3Text]]="","",TRIM(MID(SUBSTITUTE(SUBSTITUTE(SUBSTITUTE(UPPER(Tasks[[#This Row],[_Predecessors]]),";",",")," ",""),",",REPT(" ",99)),298,99)))</f>
        <v/>
      </c>
      <c r="DH69" s="42">
        <f>IF(Tasks[[#This Row],[_Pred4Text]]="","",IFERROR(VALUE(LEFT(Tasks[[#This Row],[_Pred4Text]],MIN(FIND("F",Tasks[[#This Row],[_Pred4Text]]&amp;"F"),FIND("S",Tasks[[#This Row],[_Pred4Text]]&amp;"S"),FIND("+",Tasks[[#This Row],[_Pred4Text]]&amp;"+"),FIND("-",Tasks[[#This Row],[_Pred4Text]]&amp;"-"))-1)),""))</f>
        <v/>
      </c>
      <c r="DI6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9" s="42">
        <f>IF(OR(Tasks[[#This Row],[Task Name]]="",Tasks[[#This Row],[_Resources]]=""),"",TRIM(MID(SUBSTITUTE(Tasks[[#This Row],[_Resources]],",",REPT(" ",99)),1,99)))</f>
        <v/>
      </c>
      <c r="DL69" s="42">
        <f>IF(Tasks[[#This Row],[_Res1Text]]="","",TRIM(MID(SUBSTITUTE(Tasks[[#This Row],[_Resources]],",",REPT(" ",99)),100,99)))</f>
        <v/>
      </c>
      <c r="DM69" s="42">
        <f>IF(Tasks[[#This Row],[_Res2Text]]="","",TRIM(MID(SUBSTITUTE(Tasks[[#This Row],[_Resources]],",",REPT(" ",99)),199,99)))</f>
        <v/>
      </c>
      <c r="DN69" s="42">
        <f>IF(Tasks[[#This Row],[_Res3Text]]="","",TRIM(MID(SUBSTITUTE(Tasks[[#This Row],[_Resources]],",",REPT(" ",99)),298,99)))</f>
        <v/>
      </c>
      <c r="DO69" s="42">
        <f>IF(Tasks[[#This Row],[_Res1Text]]="",0,IFERROR(MATCH(TRIM(LEFT(Tasks[[#This Row],[_Res1Text]],FIND("[",Tasks[[#This Row],[_Res1Text]]&amp;"[")-1)),res_Name,0),IFERROR(MATCH(TRIM(LEFT(Tasks[[#This Row],[_Res1Text]],FIND("[",Tasks[[#This Row],[_Res1Text]]&amp;"[")-1)),res_Initials,0),0)))</f>
        <v/>
      </c>
      <c r="DP69" s="42">
        <f>IF(Tasks[[#This Row],[_Res2Text]]="",0,IFERROR(MATCH(TRIM(LEFT(Tasks[[#This Row],[_Res2Text]],FIND("[",Tasks[[#This Row],[_Res2Text]]&amp;"[")-1)),res_Name,0),IFERROR(MATCH(TRIM(LEFT(Tasks[[#This Row],[_Res2Text]],FIND("[",Tasks[[#This Row],[_Res2Text]]&amp;"[")-1)),res_Initials,0),0)))</f>
        <v/>
      </c>
      <c r="DQ69" s="42">
        <f>IF(Tasks[[#This Row],[_Res3Text]]="",0,IFERROR(MATCH(TRIM(LEFT(Tasks[[#This Row],[_Res3Text]],FIND("[",Tasks[[#This Row],[_Res3Text]]&amp;"[")-1)),res_Name,0),IFERROR(MATCH(TRIM(LEFT(Tasks[[#This Row],[_Res3Text]],FIND("[",Tasks[[#This Row],[_Res3Text]]&amp;"[")-1)),res_Initials,0),0)))</f>
        <v/>
      </c>
      <c r="DR69" s="42">
        <f>IF(Tasks[[#This Row],[_Res4Text]]="",0,IFERROR(MATCH(TRIM(LEFT(Tasks[[#This Row],[_Res4Text]],FIND("[",Tasks[[#This Row],[_Res4Text]]&amp;"[")-1)),res_Name,0),IFERROR(MATCH(TRIM(LEFT(Tasks[[#This Row],[_Res4Text]],FIND("[",Tasks[[#This Row],[_Res4Text]]&amp;"[")-1)),res_Initials,0),0)))</f>
        <v/>
      </c>
      <c r="DS69" s="42">
        <f>IF(Tasks[[#This Row],[_Res1Text]]="","",IF(Tasks[[#This Row],[_Res1Row]]&gt;0,INDEX(res_Name,Tasks[[#This Row],[_Res1Row]]),TRIM(LEFT(Tasks[[#This Row],[_Res1Text]],FIND("[",Tasks[[#This Row],[_Res1Text]]&amp;"[")-1))))</f>
        <v/>
      </c>
      <c r="DT6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9" s="42">
        <f>IF(NOT(Tasks[[#This Row],[_IsLeaf]]=1),0,(Tasks[[#This Row],[_Resource1]]&lt;&gt;"")+(Tasks[[#This Row],[_Res2]]&lt;&gt;"")+(Tasks[[#This Row],[_Res3]]&lt;&gt;"")+(Tasks[[#This Row],[_Res4]]&lt;&gt;""))</f>
        <v/>
      </c>
      <c r="DV69" s="42">
        <f>IF(Tasks[[#This Row],[_Res2Text]]="","",IF(Tasks[[#This Row],[_Res2Row]]&gt;0,INDEX(res_Name,Tasks[[#This Row],[_Res2Row]]),TRIM(LEFT(Tasks[[#This Row],[_Res2Text]],FIND("[",Tasks[[#This Row],[_Res2Text]]&amp;"[")-1))))</f>
        <v/>
      </c>
      <c r="DW6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9" s="42">
        <f>IF(OR(NOT(Tasks[[#This Row],[_IsLeaf]]=1),Tasks[[#This Row],[_Res2Row]]=0),0,N(Tasks[[#This Row],[_Days]])*HoursPerDay*IF(Tasks[[#This Row],[_Res2Units]]="",DefaultUnits,Tasks[[#This Row],[_Res2Units]]))</f>
        <v/>
      </c>
      <c r="DY69" s="42">
        <f>IF(AND(AND(Tasks[[#This Row],[_IsLeaf]]=1,Tasks[[#This Row],[_LeafTotalWork]]&gt;0),Tasks[[#This Row],[_Res2Work]]&gt;0),Tasks[[#This Row],[_Res2Work]]/(Tasks[[#This Row],[_FinishWorkday]]-Tasks[[#This Row],[_StartWorkday]]+1),0)</f>
        <v/>
      </c>
      <c r="DZ69" s="42">
        <f>Tasks[[#This Row],[_Res2WorkPerWD]]*MAX(0,Tasks[[#This Row],[_StartWorkday]]-1)</f>
        <v/>
      </c>
      <c r="EA69" s="42">
        <f>Tasks[[#This Row],[_Res2Work]]*Tasks[[#This Row],[_LeafProgress]]</f>
        <v/>
      </c>
      <c r="EB69" s="42">
        <f>IF(Tasks[[#This Row],[_Res3Text]]="","",IF(Tasks[[#This Row],[_Res3Row]]&gt;0,INDEX(res_Name,Tasks[[#This Row],[_Res3Row]]),TRIM(LEFT(Tasks[[#This Row],[_Res3Text]],FIND("[",Tasks[[#This Row],[_Res3Text]]&amp;"[")-1))))</f>
        <v/>
      </c>
      <c r="EC6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9" s="42">
        <f>IF(OR(NOT(Tasks[[#This Row],[_IsLeaf]]=1),Tasks[[#This Row],[_Res3Row]]=0),0,N(Tasks[[#This Row],[_Days]])*HoursPerDay*IF(Tasks[[#This Row],[_Res3Units]]="",DefaultUnits,Tasks[[#This Row],[_Res3Units]]))</f>
        <v/>
      </c>
      <c r="EE69" s="42">
        <f>IF(AND(AND(Tasks[[#This Row],[_IsLeaf]]=1,Tasks[[#This Row],[_LeafTotalWork]]&gt;0),Tasks[[#This Row],[_Res3Work]]&gt;0),Tasks[[#This Row],[_Res3Work]]/(Tasks[[#This Row],[_FinishWorkday]]-Tasks[[#This Row],[_StartWorkday]]+1),0)</f>
        <v/>
      </c>
      <c r="EF69" s="42">
        <f>Tasks[[#This Row],[_Res3WorkPerWD]]*MAX(0,Tasks[[#This Row],[_StartWorkday]]-1)</f>
        <v/>
      </c>
      <c r="EG69" s="42">
        <f>Tasks[[#This Row],[_Res3Work]]*Tasks[[#This Row],[_LeafProgress]]</f>
        <v/>
      </c>
      <c r="EH69" s="42">
        <f>IF(Tasks[[#This Row],[_Res4Text]]="","",IF(Tasks[[#This Row],[_Res4Row]]&gt;0,INDEX(res_Name,Tasks[[#This Row],[_Res4Row]]),TRIM(LEFT(Tasks[[#This Row],[_Res4Text]],FIND("[",Tasks[[#This Row],[_Res4Text]]&amp;"[")-1))))</f>
        <v/>
      </c>
      <c r="EI6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9" s="42">
        <f>IF(OR(NOT(Tasks[[#This Row],[_IsLeaf]]=1),Tasks[[#This Row],[_Res4Row]]=0),0,N(Tasks[[#This Row],[_Days]])*HoursPerDay*IF(Tasks[[#This Row],[_Res4Units]]="",DefaultUnits,Tasks[[#This Row],[_Res4Units]]))</f>
        <v/>
      </c>
      <c r="EK69" s="42">
        <f>IF(AND(AND(Tasks[[#This Row],[_IsLeaf]]=1,Tasks[[#This Row],[_LeafTotalWork]]&gt;0),Tasks[[#This Row],[_Res4Work]]&gt;0),Tasks[[#This Row],[_Res4Work]]/(Tasks[[#This Row],[_FinishWorkday]]-Tasks[[#This Row],[_StartWorkday]]+1),0)</f>
        <v/>
      </c>
      <c r="EL69" s="42">
        <f>Tasks[[#This Row],[_Res4WorkPerWD]]*MAX(0,Tasks[[#This Row],[_StartWorkday]]-1)</f>
        <v/>
      </c>
      <c r="EM69" s="42">
        <f>Tasks[[#This Row],[_Res4Work]]*Tasks[[#This Row],[_LeafProgress]]</f>
        <v/>
      </c>
      <c r="EN69" s="42">
        <f>IF(ISNUMBER(Tasks[[#This Row],[% Complete]]),Tasks[[#This Row],[% Complete]],IF(Tasks[[#This Row],[Stage]]="",0,IFERROR(INDEX(stg_Pct,MATCH(Tasks[[#This Row],[Stage]],stg_Name,0)),0)))</f>
        <v/>
      </c>
      <c r="EO69" s="42">
        <f>IF(NOT(Tasks[[#This Row],[_IsLeaf]]=1),0,IF(N(Tasks[[#This Row],[Actual Finish]])&gt;0,1,MIN(1,Tasks[[#This Row],[_Pct]])))</f>
        <v/>
      </c>
      <c r="EP69" s="42">
        <f>IF(OR(NOT(Tasks[[#This Row],[_IsLeaf]]=1),Tasks[[#This Row],[_Res1Row]]=0),0,N(Tasks[[#This Row],[_Days]])*HoursPerDay*IF(Tasks[[#This Row],[_Units1]]="",DefaultUnits,Tasks[[#This Row],[_Units1]]))</f>
        <v/>
      </c>
      <c r="EQ69" s="42">
        <f>Tasks[[#This Row],[_LeafWork]]+Tasks[[#This Row],[_Res2Work]]+Tasks[[#This Row],[_Res3Work]]+Tasks[[#This Row],[_Res4Work]]</f>
        <v/>
      </c>
      <c r="ER6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9" s="42">
        <f>IF(NOT(Tasks[[#This Row],[_IsLeaf]]=1),0,MAX(_xlfn.MAXIFS(Tasks[_Row],Tasks[_Pred1UID],Tasks[[#This Row],[UID]]),_xlfn.MAXIFS(Tasks[_Row],Tasks[_Pred2UID],Tasks[[#This Row],[UID]]),_xlfn.MAXIFS(Tasks[_Row],Tasks[_Pred3UID],Tasks[[#This Row],[UID]]),_xlfn.MAXIFS(Tasks[_Row],Tasks[_Pred4UID],Tasks[[#This Row],[UID]])))</f>
        <v/>
      </c>
      <c r="FA6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9" s="88">
        <f>IF(NOT(Tasks[[#This Row],[_IsLeaf]]=1),"",IF(N(Tasks[[#This Row],[_Days]])&lt;=0,Tasks[[#This Row],[_LeafLateFinish]],WORKDAY.INTL(Tasks[[#This Row],[_LeafLateFinish]],-(Tasks[[#This Row],[_Days]]-1),WorkWeek,Holidays)))</f>
        <v/>
      </c>
      <c r="FD6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9" s="42">
        <f>AND(Tasks[[#This Row],[_IsLeaf]]=1,Tasks[[#This Row],[_LeafProgress]]&lt;1,N(Tasks[[#This Row],[_LeafTotalSlack]])&lt;=CriticalSlackDays)</f>
        <v/>
      </c>
      <c r="FF69" s="42">
        <f>IF(AND(Tasks[[#This Row],[_IsLeaf]]=1,Tasks[[#This Row],[_ConstraintCode]]=1,Tasks[[#This Row],[Mode]]&lt;&gt;"Manual",N(Tasks[[#This Row],[Actual Start]])=0),MAX(0,N(Tasks[[#This Row],[Free Slack]])),0)</f>
        <v/>
      </c>
      <c r="FG69" s="88">
        <f>IF(NOT(Tasks[[#This Row],[_IsLeaf]]=1),"",IF(Tasks[[#This Row],[_AlapShift]]=0,Tasks[[#This Row],[_LeafCalcStart]],WORKDAY.INTL(Tasks[[#This Row],[_LeafCalcStart]],Tasks[[#This Row],[_AlapShift]],WorkWeek,Holidays)))</f>
        <v/>
      </c>
      <c r="FH69" s="88">
        <f>IF(NOT(Tasks[[#This Row],[_IsLeaf]]=1),"",IF(Tasks[[#This Row],[_AlapShift]]=0,Tasks[[#This Row],[_LeafCalcFinish]],WORKDAY.INTL(Tasks[[#This Row],[_LeafCalcFinish]],Tasks[[#This Row],[_AlapShift]],WorkWeek,Holidays)))</f>
        <v/>
      </c>
      <c r="FI69" s="88">
        <f>IF(NOT(Tasks[[#This Row],[_IsLeaf]]=1),"",IF(Tasks[[#This Row],[_AlapShift]]=0,Tasks[[#This Row],[_LeafFcstStart]],WORKDAY.INTL(Tasks[[#This Row],[_LeafFcstStart]],Tasks[[#This Row],[_AlapShift]],WorkWeek,Holidays)))</f>
        <v/>
      </c>
      <c r="FJ69" s="88">
        <f>IF(NOT(Tasks[[#This Row],[_IsLeaf]]=1),"",IF(Tasks[[#This Row],[_AlapShift]]=0,Tasks[[#This Row],[_LeafFcstFinish]],WORKDAY.INTL(Tasks[[#This Row],[_LeafFcstFinish]],Tasks[[#This Row],[_AlapShift]],WorkWeek,Holidays)))</f>
        <v/>
      </c>
      <c r="FK69" s="88">
        <f>IF(Tasks[[#This Row],[Task Name]]="","",IF(Tasks[[#This Row],[_IsSummary]],MIN(INDEX(Tasks[_ShownCalcStart],Tasks[[#This Row],[_Row]]+1):INDEX(Tasks[_ShownCalcStart],Tasks[[#This Row],[_Row]]+Tasks[[#This Row],[_Descendants]])),Tasks[[#This Row],[_ShownCalcStart]]))</f>
        <v/>
      </c>
      <c r="FL69" s="88">
        <f>IF(Tasks[[#This Row],[Task Name]]="","",IF(Tasks[[#This Row],[_IsSummary]],MAX(INDEX(Tasks[_ShownCalcFinish],Tasks[[#This Row],[_Row]]+1):INDEX(Tasks[_ShownCalcFinish],Tasks[[#This Row],[_Row]]+Tasks[[#This Row],[_Descendants]])),Tasks[[#This Row],[_ShownCalcFinish]]))</f>
        <v/>
      </c>
      <c r="FM6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9" s="42">
        <f>IF(AND(Tasks[[#This Row],[_IsLeaf]]=1,Tasks[[#This Row],[_LeafTotalWork]]&gt;0),NETWORKDAYS.INTL(ProjectStart,Tasks[[#This Row],[_ShownFcstStart]],WorkWeek,Holidays),0)</f>
        <v/>
      </c>
      <c r="FZ69" s="42">
        <f>IF(AND(Tasks[[#This Row],[_IsLeaf]]=1,Tasks[[#This Row],[_LeafTotalWork]]&gt;0),MAX(Tasks[[#This Row],[_StartWorkday]],NETWORKDAYS.INTL(ProjectStart,Tasks[[#This Row],[_ShownFcstFinish]],WorkWeek,Holidays)),0)</f>
        <v/>
      </c>
      <c r="GA69" s="42">
        <f>IF(AND(Tasks[[#This Row],[_IsLeaf]]=1,Tasks[[#This Row],[_LeafTotalWork]]&gt;0),Tasks[[#This Row],[_LeafWork]]/(Tasks[[#This Row],[_FinishWorkday]]-Tasks[[#This Row],[_StartWorkday]]+1),0)</f>
        <v/>
      </c>
      <c r="GB69" s="42">
        <f>Tasks[[#This Row],[_WorkPerWorkday]]*(Tasks[[#This Row],[_StartWorkday]]-1)</f>
        <v/>
      </c>
      <c r="GC69" s="42">
        <f>IF(Tasks[[#This Row],[_IsLeaf]]=1,MAX(N(Tasks[[#This Row],[_Days]]),0.1),0)</f>
        <v/>
      </c>
      <c r="GD69" s="42">
        <f>Tasks[[#This Row],[_WeightDur]]*Tasks[[#This Row],[_LeafProgress]]</f>
        <v/>
      </c>
      <c r="GE69" s="42">
        <f>Tasks[[#This Row],[_WeightDur]]*Tasks[[#This Row],[_PlannedPct]]</f>
        <v/>
      </c>
      <c r="GF6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9" s="42">
        <f>IF(AND(Tasks[[#This Row],[_IsLeaf]]=1,N(Tasks[[#This Row],[_Days]])=0,Tasks[[#This Row],[_LeafProgress]]&lt;1),Tasks[[#This Row],[_ShownFcstFinish]]+Tasks[[#This Row],[_Row]]/100000,"")</f>
        <v/>
      </c>
      <c r="GH6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9" s="42">
        <f>IF(Tasks[[#This Row],[Task Name]]="","",LEFT(Tasks[[#This Row],[WBS]],FIND(".",Tasks[[#This Row],[WBS]]&amp;".")-1))</f>
        <v/>
      </c>
      <c r="GJ69" s="42">
        <f>IF(AND(Tasks[[#This Row],[Task Name]]&lt;&gt;"",Tasks[[#This Row],[_Level]]=1),Tasks[[#This Row],[_Row]],"")</f>
        <v/>
      </c>
      <c r="GK69" s="42">
        <f>IF(AND(Tasks[[#This Row],[_IsLeaf]]=1,N(Tasks[[#This Row],[_Days]])=0),Tasks[[#This Row],[Planned Finish]]+Tasks[[#This Row],[_Row]]/100000,"")</f>
        <v/>
      </c>
      <c r="GL69" s="42">
        <f>IF(AND(Tasks[[#This Row],[_IsLeaf]]=1,Tasks[[#This Row],[_LeafProgress]]&lt;1,OR(N(Tasks[[#This Row],[Finish Var]])&gt;0,Tasks[[#This Row],[Status]]="Late Start")),MAX(0,Tasks[[#This Row],[Finish Var]])+1-Tasks[[#This Row],[_Row]]/1000000,"")</f>
        <v/>
      </c>
      <c r="GM69" s="42">
        <f>IF(AND(Tasks[[#This Row],[_IsLeaf]]=1,N(Tasks[[#This Row],[Actual Start]])=0,Tasks[[#This Row],[_ShownFcstStart]]&gt;=StatusDate,Tasks[[#This Row],[_ShownFcstStart]]&lt;=LookaheadEnd),Tasks[[#This Row],[_ShownFcstStart]]+Tasks[[#This Row],[_Row]]/100000,"")</f>
        <v/>
      </c>
      <c r="GN69" s="42">
        <f>IF(AND(Tasks[[#This Row],[_IsLeaf]]=1,Tasks[[#This Row],[_LeafProgress]]&lt;1,Tasks[[#This Row],[_ShownFcstFinish]]&gt;=StatusDate,Tasks[[#This Row],[_ShownFcstFinish]]&lt;=LookaheadEnd),Tasks[[#This Row],[_ShownFcstFinish]]+Tasks[[#This Row],[_Row]]/100000,"")</f>
        <v/>
      </c>
      <c r="GO69" s="42">
        <f>IF(Tasks[[#This Row],[_LeafCritical]],Tasks[[#This Row],[_ShownFcstStart]]+Tasks[[#This Row],[_Row]]/100000,"")</f>
        <v/>
      </c>
      <c r="GP69" s="42">
        <f>Tasks[[#This Row],[_LeafWork]]*Tasks[[#This Row],[_LeafProgress]]</f>
        <v/>
      </c>
      <c r="GQ69" s="88">
        <f>IF(AND(Tasks[[#This Row],[_IsLeaf]]=1,Tasks[[#This Row],[_LeafProgress]]&gt;=1),IF(N(Tasks[[#This Row],[Actual Finish]])&gt;0,Tasks[[#This Row],[Actual Finish]],Tasks[[#This Row],[_ShownFcstFinish]]),"")</f>
        <v/>
      </c>
      <c r="GR69" s="42">
        <f>IF(Tasks[[#This Row],[_IsLeaf]]=1,N(Tasks[[#This Row],[Story Points]]),0)</f>
        <v/>
      </c>
      <c r="GS69" s="42">
        <f>""</f>
        <v/>
      </c>
      <c r="GT69" s="42">
        <f>IF(Tasks[[#This Row],[Task Name]]="",FALSE(),AND(Tasks[[#This Row],[_IsLeaf]]=1,N(Tasks[[#This Row],[_Days]])=0))</f>
        <v/>
      </c>
      <c r="GU69" s="88">
        <f>IF(Tasks[[#This Row],[Task Name]]="",0,IF(AND(Tasks[[#This Row],[_IsLeaf]]=1,NOT(Tasks[[#This Row],[_IsMilestone]]),N(Tasks[[#This Row],[Progress]])&gt;0),Tasks[[#This Row],[Start]],0))</f>
        <v/>
      </c>
      <c r="GV69" s="88">
        <f>IF(Tasks[[#This Row],[_DoneFrom]]=0,0,IF(Tasks[[#This Row],[Progress]]&gt;=1,Tasks[[#This Row],[Finish]],MAX(Tasks[[#This Row],[_DoneFrom]],Tasks[[#This Row],[Start]]+ROUND((Tasks[[#This Row],[Finish]]-Tasks[[#This Row],[Start]]+1)*Tasks[[#This Row],[Progress]],0)-1)))</f>
        <v/>
      </c>
      <c r="GW69" s="88">
        <f>IF(Tasks[[#This Row],[Task Name]]="",0,IF(OR(NOT(Tasks[[#This Row],[_IsLeaf]]=1),Tasks[[#This Row],[_IsMilestone]],N(Tasks[[#This Row],[Progress]])&gt;=1),0,IF(Tasks[[#This Row],[_DoneTo]]&gt;0,Tasks[[#This Row],[_DoneTo]]+1,Tasks[[#This Row],[Start]])))</f>
        <v/>
      </c>
      <c r="GX69" s="88">
        <f>IF(Tasks[[#This Row],[_RemFrom]]=0,0,Tasks[[#This Row],[Finish]])</f>
        <v/>
      </c>
      <c r="GY69" s="42">
        <f>IF(Tasks[[#This Row],[Task Name]]="",FALSE(),OR(NOT(BaselineSet),N(Tasks[[#This Row],[Baseline Start]])&gt;0))</f>
        <v/>
      </c>
      <c r="GZ69" s="42">
        <f>IF(AND(Sandbox="Yes",L_PARSE_DURATION(Tasks[[#This Row],[Sandbox Duration]])&lt;&gt;""),L_PARSE_DURATION(Tasks[[#This Row],[Sandbox Duration]]),L_PARSE_DURATION(Tasks[[#This Row],[Duration]]))</f>
        <v/>
      </c>
      <c r="HA6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6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9" s="42">
        <f>IF(Tasks[[#This Row],[_IsLeaf]]=1,Tasks[[#This Row],[_Row]],"")</f>
        <v/>
      </c>
      <c r="HD69" s="42">
        <f>IFERROR(INDEX(Tasks[UID],SMALL(Tasks[_PickKey],Tasks[[#This Row],[_Row]]))&amp;" "&amp;INDEX(Tasks[Task Name],SMALL(Tasks[_PickKey],Tasks[[#This Row],[_Row]])),"")</f>
        <v/>
      </c>
      <c r="HE69" s="42">
        <f>IF(Tasks[[#This Row],[Task Name]]="","",IF(Tasks[[#This Row],[_IsSummary]],NETWORKDAYS.INTL(Tasks[[#This Row],[Start]],Tasks[[#This Row],[Finish]],WorkWeek,Holidays),N(Tasks[[#This Row],[_Days]])))</f>
        <v/>
      </c>
      <c r="HF69" s="42">
        <f>IF(Tasks[[#This Row],[Expected]]="",0,((Tasks[[#This Row],[Pessimistic]]-Tasks[[#This Row],[Optimistic]])/6)^2)</f>
        <v/>
      </c>
      <c r="HG69" s="42">
        <f>IF(Tasks[[#This Row],[Expected]]="",0,Tasks[[#This Row],[Expected]]-N(Tasks[[#This Row],[_Days]]))</f>
        <v/>
      </c>
    </row>
    <row r="70">
      <c r="A70" s="21">
        <f>IF(Tasks[[#This Row],[Task Name]]="","",COUNTA(Tasks[[#Headers],[Task Name]]:Tasks[[#This Row],[Task Name]])-1)</f>
        <v/>
      </c>
      <c r="B70" s="22" t="n">
        <v>78</v>
      </c>
      <c r="C70" s="22" t="n"/>
      <c r="D70" s="23" t="n"/>
      <c r="E70" s="22" t="n"/>
      <c r="F70" s="23" t="n"/>
      <c r="G70" s="22" t="n"/>
      <c r="H70" s="22" t="n"/>
      <c r="I70" s="23" t="n"/>
      <c r="J70" s="22" t="n"/>
      <c r="K70" s="22" t="n"/>
      <c r="L70" s="23" t="n"/>
      <c r="M70" s="22" t="n"/>
      <c r="N70" s="22" t="n"/>
      <c r="O70" s="23" t="n"/>
      <c r="P70" s="22" t="n"/>
      <c r="Q70" s="22" t="n"/>
      <c r="R70" s="23" t="n"/>
      <c r="S70" s="23" t="n"/>
      <c r="T70" s="82" t="n"/>
      <c r="U70" s="23" t="n"/>
      <c r="V70" s="82" t="n"/>
      <c r="W70" s="23" t="n"/>
      <c r="X70" s="82" t="n"/>
      <c r="Y70" s="23" t="n"/>
      <c r="Z70" s="82" t="n"/>
      <c r="AA70" s="23" t="n"/>
      <c r="AB70" s="23" t="n"/>
      <c r="AC70" s="7" t="n"/>
      <c r="AD70" s="7" t="n"/>
      <c r="AE70" s="61">
        <f>IF(Tasks[[#This Row],[Task Name]]="","",IF(Tasks[[#This Row],[_IsSummary]],MIN(INDEX(Tasks[_ShownFcstStart],Tasks[[#This Row],[_Row]]+1):INDEX(Tasks[_ShownFcstStart],Tasks[[#This Row],[_Row]]+Tasks[[#This Row],[_Descendants]])),Tasks[[#This Row],[_ShownFcstStart]]))</f>
        <v/>
      </c>
      <c r="AF70" s="61">
        <f>IF(Tasks[[#This Row],[Task Name]]="","",IF(Tasks[[#This Row],[_IsSummary]],MAX(INDEX(Tasks[_ShownFcstFinish],Tasks[[#This Row],[_Row]]+1):INDEX(Tasks[_ShownFcstFinish],Tasks[[#This Row],[_Row]]+Tasks[[#This Row],[_Descendants]])),Tasks[[#This Row],[_ShownFcstFinish]]))</f>
        <v/>
      </c>
      <c r="AG70" s="21">
        <f>""</f>
        <v/>
      </c>
      <c r="AH70" s="23" t="n"/>
      <c r="AI7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0" s="7" t="n"/>
      <c r="AK70" s="22" t="n"/>
      <c r="AL70" s="23" t="n"/>
      <c r="AM70" s="7" t="n"/>
      <c r="AN70" s="21">
        <f>IF(Tasks[[#This Row],[Task Name]]="","",IF(Tasks[[#This Row],[Finish]]&gt;=Tasks[[#This Row],[Planned Finish]],NETWORKDAYS.INTL(Tasks[[#This Row],[Planned Finish]],Tasks[[#This Row],[Finish]],WorkWeek,Holidays)-1,1-NETWORKDAYS.INTL(Tasks[[#This Row],[Finish]],Tasks[[#This Row],[Planned Finish]],WorkWeek,Holidays)))</f>
        <v/>
      </c>
      <c r="AO70" s="21">
        <f>IF(Tasks[[#This Row],[Task Name]]="","",IF(Tasks[[#This Row],[Progress]]&gt;=1,"Complete",IF(OR(N(Tasks[[#This Row],[Actual Start]])&gt;0,Tasks[[#This Row],[Progress]]&gt;0),IF(Tasks[[#This Row],[Finish Var]]&gt;0,"Behind","In Progress"),IF(Tasks[[#This Row],[Planned Start]]&lt;StatusDate,"Late Start","Not Started"))))</f>
        <v/>
      </c>
      <c r="AP70" s="21">
        <f>IF(Tasks[[#This Row],[Task Name]]="","",IF(IF(Tasks[[#This Row],[_IsSummary]],COUNTIF(INDEX(Tasks[_LeafCritical],Tasks[[#This Row],[_Row]]+1):INDEX(Tasks[_LeafCritical],Tasks[[#This Row],[_Row]]+Tasks[[#This Row],[_Descendants]]),TRUE())&gt;0,Tasks[[#This Row],[_LeafCritical]]),"Yes",""))</f>
        <v/>
      </c>
      <c r="AQ70" s="61">
        <f>IF(Tasks[[#This Row],[Task Name]]="","",IF(N(Tasks[[#This Row],[Baseline Start]])&gt;0,Tasks[[#This Row],[Baseline Start]],Tasks[[#This Row],[_CalcStart]]))</f>
        <v/>
      </c>
      <c r="AR70" s="61">
        <f>IF(Tasks[[#This Row],[Task Name]]="","",IF(N(Tasks[[#This Row],[Baseline Finish]])&gt;0,Tasks[[#This Row],[Baseline Finish]],Tasks[[#This Row],[_CalcFinish]]))</f>
        <v/>
      </c>
      <c r="AS70" s="21">
        <f>IF(Tasks[[#This Row],[Task Name]]="","",IF(Tasks[[#This Row],[Start]]&gt;=Tasks[[#This Row],[Planned Start]],NETWORKDAYS.INTL(Tasks[[#This Row],[Planned Start]],Tasks[[#This Row],[Start]],WorkWeek,Holidays)-1,1-NETWORKDAYS.INTL(Tasks[[#This Row],[Start]],Tasks[[#This Row],[Planned Start]],WorkWeek,Holidays)))</f>
        <v/>
      </c>
      <c r="AT70" s="61">
        <f>IF(Tasks[[#This Row],[Task Name]]="","",IF(Tasks[[#This Row],[_IsSummary]],MIN(INDEX(Tasks[_LeafLateStart],Tasks[[#This Row],[_Row]]+1):INDEX(Tasks[_LeafLateStart],Tasks[[#This Row],[_Row]]+Tasks[[#This Row],[_Descendants]])),Tasks[[#This Row],[_LeafLateStart]]))</f>
        <v/>
      </c>
      <c r="AU70" s="61">
        <f>IF(Tasks[[#This Row],[Task Name]]="","",IF(Tasks[[#This Row],[_IsSummary]],MAX(INDEX(Tasks[_LeafLateFinish],Tasks[[#This Row],[_Row]]+1):INDEX(Tasks[_LeafLateFinish],Tasks[[#This Row],[_Row]]+Tasks[[#This Row],[_Descendants]])),Tasks[[#This Row],[_LeafLateFinish]]))</f>
        <v/>
      </c>
      <c r="AV70" s="21">
        <f>IF(Tasks[[#This Row],[Task Name]]="","",IF(Tasks[[#This Row],[_IsSummary]],MIN(INDEX(Tasks[_LeafTotalSlack],Tasks[[#This Row],[_Row]]+1):INDEX(Tasks[_LeafTotalSlack],Tasks[[#This Row],[_Row]]+Tasks[[#This Row],[_Descendants]])),Tasks[[#This Row],[_LeafTotalSlack]]))</f>
        <v/>
      </c>
      <c r="AW7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3" t="n"/>
      <c r="BA7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f>IF(Tasks[[#This Row],[Task Name]]="","",IF(Tasks[[#This Row],[_Level]]&lt;=OutlineShowLevel,"Yes","No"))</f>
        <v/>
      </c>
      <c r="BE70" s="84">
        <f>IF(Tasks[[#This Row],[Task Name]]="","",IF(Tasks[[#This Row],[_IsSummary]],SUM(INDEX(Tasks[_LeafTotalWork],Tasks[[#This Row],[_Row]]+1):INDEX(Tasks[_LeafTotalWork],Tasks[[#This Row],[_Row]]+Tasks[[#This Row],[_Descendants]])),Tasks[[#This Row],[_LeafTotalWork]]))</f>
        <v/>
      </c>
      <c r="BF70" s="23" t="n"/>
      <c r="BG7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f>""</f>
        <v/>
      </c>
      <c r="BI70" s="85" t="n"/>
      <c r="BJ70" s="22" t="n"/>
      <c r="BK70" s="21">
        <f>IF(OR(Tasks[[#This Row],[Task Name]]="",Tasks[[#This Row],[Baseline Duration]]=""),"",Tasks[[#This Row],[_SpanDays]]-N(Tasks[[#This Row],[Baseline Duration]]))</f>
        <v/>
      </c>
      <c r="BL70" s="84">
        <f>IF(OR(Tasks[[#This Row],[Task Name]]="",Tasks[[#This Row],[Baseline Work]]=""),"",Tasks[[#This Row],[Work]]-N(Tasks[[#This Row],[Baseline Work]]))</f>
        <v/>
      </c>
      <c r="BM70" s="61">
        <f>IF(Tasks[[#This Row],[Task Name]]="","",IF(OR(TakeBaseline="Yes",N(Tasks[[#This Row],[Baseline Start]])=0),Tasks[[#This Row],[Start]],Tasks[[#This Row],[Baseline Start]]))</f>
        <v/>
      </c>
      <c r="BN70" s="61">
        <f>IF(Tasks[[#This Row],[Task Name]]="","",IF(OR(TakeBaseline="Yes",N(Tasks[[#This Row],[Baseline Finish]])=0),Tasks[[#This Row],[Finish]],Tasks[[#This Row],[Baseline Finish]]))</f>
        <v/>
      </c>
      <c r="BO70" s="21">
        <f>IF(Tasks[[#This Row],[Task Name]]="","",IF(OR(TakeBaseline="Yes",N(Tasks[[#This Row],[Baseline Duration]])=0),Tasks[[#This Row],[_SpanDays]],Tasks[[#This Row],[Baseline Duration]]))</f>
        <v/>
      </c>
      <c r="BP70" s="84">
        <f>IF(Tasks[[#This Row],[Task Name]]="","",IF(OR(TakeBaseline="Yes",N(Tasks[[#This Row],[Baseline Work]])=0),Tasks[[#This Row],[Work]],Tasks[[#This Row],[Baseline Work]]))</f>
        <v/>
      </c>
      <c r="BQ70" s="7" t="n"/>
      <c r="BR70" s="7" t="n"/>
      <c r="BS70" s="22" t="n"/>
      <c r="BT70" s="86" t="n"/>
      <c r="BU70" s="23" t="n"/>
      <c r="BV70" s="23" t="n"/>
      <c r="BW70" s="23" t="n"/>
      <c r="BX70" s="87">
        <f>IF(AND(Tasks[[#This Row],[_IsLeaf]]=1,ISNUMBER(Tasks[[#This Row],[Optimistic]]),ISNUMBER(Tasks[[#This Row],[Pessimistic]])),ROUND((Tasks[[#This Row],[Optimistic]]+4*N(Tasks[[#This Row],[_Days]])+Tasks[[#This Row],[Pessimistic]])/6,1),"")</f>
        <v/>
      </c>
      <c r="BY70" s="85" t="n"/>
      <c r="BZ70" s="85" t="n"/>
      <c r="CA70" s="22" t="n"/>
      <c r="CB70" s="42">
        <f>IF(Tasks[[#This Row],[Task Name]]="","",MAX(1,N(Tasks[[#This Row],[Level]])))</f>
        <v/>
      </c>
      <c r="CC70" s="42">
        <f>ROW()-ROW(Tasks[[#Headers],[ID]])</f>
        <v/>
      </c>
      <c r="CD70" s="42">
        <f>IF(OR(Tasks[[#This Row],[Task Name]]="",Tasks[[#This Row],[_Level]]&lt;=1),0,IFERROR(LOOKUP(2,1/(Tasks[[#Headers],[_Level]]:Tasks[[#This Row],[_Level]]=Tasks[[#This Row],[_Level]]-1),ROW(Tasks[[#Headers],[_Level]]:Tasks[[#This Row],[_Level]])),0))</f>
        <v/>
      </c>
      <c r="CE70" s="42">
        <f>IFERROR(N(INDEX(Tasks[_Level],Tasks[[#This Row],[_Row]]+1)),0)</f>
        <v/>
      </c>
      <c r="CF70" s="42">
        <f>AND(Tasks[[#This Row],[Task Name]]&lt;&gt;"",Tasks[[#This Row],[_NextLevel]]&gt;Tasks[[#This Row],[_Level]])</f>
        <v/>
      </c>
      <c r="CG70" s="42">
        <f>IF(Tasks[[#This Row],[_IsSummary]],COUNTIF(Tasks[WBS],Tasks[[#This Row],[WBS]]&amp;".*"),0)</f>
        <v/>
      </c>
      <c r="CH70" s="42">
        <f>IF(AND(Tasks[[#This Row],[Task Name]]&lt;&gt;"",NOT(Tasks[[#This Row],[_IsSummary]])),1,0)</f>
        <v/>
      </c>
      <c r="CI70" s="42">
        <f>IF(N(Tasks[[#This Row],[_Pred1UID]])=0,0,IFERROR(MATCH(Tasks[[#This Row],[_Pred1UID]],Tasks[UID],0),-1))</f>
        <v/>
      </c>
      <c r="CJ70" s="42">
        <f>IF(N(Tasks[[#This Row],[_Pred2UID]])=0,0,IFERROR(MATCH(Tasks[[#This Row],[_Pred2UID]],Tasks[UID],0),-1))</f>
        <v/>
      </c>
      <c r="CK70" s="42">
        <f>IF(N(Tasks[[#This Row],[_Pred3UID]])=0,0,IFERROR(MATCH(Tasks[[#This Row],[_Pred3UID]],Tasks[UID],0),-1))</f>
        <v/>
      </c>
      <c r="CL70" s="42">
        <f>IF(N(Tasks[[#This Row],[_Pred4UID]])=0,0,IFERROR(MATCH(Tasks[[#This Row],[_Pred4UID]],Tasks[UID],0),-1))</f>
        <v/>
      </c>
      <c r="CM7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0" s="88">
        <f>IF(N(Tasks[[#This Row],[Constraint Date]])=0,0,IF(AND(OR(Tasks[[#This Row],[_ConstraintCode]]=3,Tasks[[#This Row],[_ConstraintCode]]=6,Tasks[[#This Row],[_ConstraintCode]]=7),N(Tasks[[#This Row],[_Days]])&gt;1),WORKDAY.INTL(N(Tasks[[#This Row],[Constraint Date]]),-(N(Tasks[[#This Row],[_Days]])-1),WorkWeek,Holidays),N(Tasks[[#This Row],[Constraint Date]])))</f>
        <v/>
      </c>
      <c r="CO70" s="88">
        <f>IF(OR(Tasks[[#This Row],[_ConstraintCode]]=2,Tasks[[#This Row],[_ConstraintCode]]=3,Tasks[[#This Row],[_ConstraintCode]]=4,Tasks[[#This Row],[_ConstraintCode]]=6),Tasks[[#This Row],[_ConstraintStart]],0)</f>
        <v/>
      </c>
      <c r="CP70" s="88">
        <f>IF(OR(Tasks[[#This Row],[_ConstraintCode]]=2,Tasks[[#This Row],[_ConstraintCode]]=3,Tasks[[#This Row],[_ConstraintCode]]=5,Tasks[[#This Row],[_ConstraintCode]]=7),Tasks[[#This Row],[_ConstraintStart]],2958465)</f>
        <v/>
      </c>
      <c r="CQ7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0" s="88">
        <f>IF(NOT(Tasks[[#This Row],[_IsLeaf]]=1),"",IF(N(Tasks[[#This Row],[_Days]])&lt;=0,Tasks[[#This Row],[_LeafCalcStart]],WORKDAY.INTL(Tasks[[#This Row],[_LeafCalcStart]],Tasks[[#This Row],[_Days]]-1,WorkWeek,Holidays)))</f>
        <v/>
      </c>
      <c r="CS7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0" s="42">
        <f>IF(Tasks[[#This Row],[_Predecessors]]="","",TRIM(MID(SUBSTITUTE(SUBSTITUTE(SUBSTITUTE(UPPER(Tasks[[#This Row],[_Predecessors]]),";",",")," ",""),",",REPT(" ",99)),1,99)))</f>
        <v/>
      </c>
      <c r="CV70" s="42">
        <f>IF(Tasks[[#This Row],[_Pred1Text]]="","",IFERROR(VALUE(LEFT(Tasks[[#This Row],[_Pred1Text]],MIN(FIND("F",Tasks[[#This Row],[_Pred1Text]]&amp;"F"),FIND("S",Tasks[[#This Row],[_Pred1Text]]&amp;"S"),FIND("+",Tasks[[#This Row],[_Pred1Text]]&amp;"+"),FIND("-",Tasks[[#This Row],[_Pred1Text]]&amp;"-"))-1)),""))</f>
        <v/>
      </c>
      <c r="CW7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0" s="42">
        <f>IF(Tasks[[#This Row],[_Pred1Text]]="","",TRIM(MID(SUBSTITUTE(SUBSTITUTE(SUBSTITUTE(UPPER(Tasks[[#This Row],[_Predecessors]]),";",",")," ",""),",",REPT(" ",99)),100,99)))</f>
        <v/>
      </c>
      <c r="CZ70" s="42">
        <f>IF(Tasks[[#This Row],[_Pred2Text]]="","",IFERROR(VALUE(LEFT(Tasks[[#This Row],[_Pred2Text]],MIN(FIND("F",Tasks[[#This Row],[_Pred2Text]]&amp;"F"),FIND("S",Tasks[[#This Row],[_Pred2Text]]&amp;"S"),FIND("+",Tasks[[#This Row],[_Pred2Text]]&amp;"+"),FIND("-",Tasks[[#This Row],[_Pred2Text]]&amp;"-"))-1)),""))</f>
        <v/>
      </c>
      <c r="DA7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0" s="42">
        <f>IF(Tasks[[#This Row],[_Pred2Text]]="","",TRIM(MID(SUBSTITUTE(SUBSTITUTE(SUBSTITUTE(UPPER(Tasks[[#This Row],[_Predecessors]]),";",",")," ",""),",",REPT(" ",99)),199,99)))</f>
        <v/>
      </c>
      <c r="DD70" s="42">
        <f>IF(Tasks[[#This Row],[_Pred3Text]]="","",IFERROR(VALUE(LEFT(Tasks[[#This Row],[_Pred3Text]],MIN(FIND("F",Tasks[[#This Row],[_Pred3Text]]&amp;"F"),FIND("S",Tasks[[#This Row],[_Pred3Text]]&amp;"S"),FIND("+",Tasks[[#This Row],[_Pred3Text]]&amp;"+"),FIND("-",Tasks[[#This Row],[_Pred3Text]]&amp;"-"))-1)),""))</f>
        <v/>
      </c>
      <c r="DE7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0" s="42">
        <f>IF(Tasks[[#This Row],[_Pred3Text]]="","",TRIM(MID(SUBSTITUTE(SUBSTITUTE(SUBSTITUTE(UPPER(Tasks[[#This Row],[_Predecessors]]),";",",")," ",""),",",REPT(" ",99)),298,99)))</f>
        <v/>
      </c>
      <c r="DH70" s="42">
        <f>IF(Tasks[[#This Row],[_Pred4Text]]="","",IFERROR(VALUE(LEFT(Tasks[[#This Row],[_Pred4Text]],MIN(FIND("F",Tasks[[#This Row],[_Pred4Text]]&amp;"F"),FIND("S",Tasks[[#This Row],[_Pred4Text]]&amp;"S"),FIND("+",Tasks[[#This Row],[_Pred4Text]]&amp;"+"),FIND("-",Tasks[[#This Row],[_Pred4Text]]&amp;"-"))-1)),""))</f>
        <v/>
      </c>
      <c r="DI7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0" s="42">
        <f>IF(OR(Tasks[[#This Row],[Task Name]]="",Tasks[[#This Row],[_Resources]]=""),"",TRIM(MID(SUBSTITUTE(Tasks[[#This Row],[_Resources]],",",REPT(" ",99)),1,99)))</f>
        <v/>
      </c>
      <c r="DL70" s="42">
        <f>IF(Tasks[[#This Row],[_Res1Text]]="","",TRIM(MID(SUBSTITUTE(Tasks[[#This Row],[_Resources]],",",REPT(" ",99)),100,99)))</f>
        <v/>
      </c>
      <c r="DM70" s="42">
        <f>IF(Tasks[[#This Row],[_Res2Text]]="","",TRIM(MID(SUBSTITUTE(Tasks[[#This Row],[_Resources]],",",REPT(" ",99)),199,99)))</f>
        <v/>
      </c>
      <c r="DN70" s="42">
        <f>IF(Tasks[[#This Row],[_Res3Text]]="","",TRIM(MID(SUBSTITUTE(Tasks[[#This Row],[_Resources]],",",REPT(" ",99)),298,99)))</f>
        <v/>
      </c>
      <c r="DO70" s="42">
        <f>IF(Tasks[[#This Row],[_Res1Text]]="",0,IFERROR(MATCH(TRIM(LEFT(Tasks[[#This Row],[_Res1Text]],FIND("[",Tasks[[#This Row],[_Res1Text]]&amp;"[")-1)),res_Name,0),IFERROR(MATCH(TRIM(LEFT(Tasks[[#This Row],[_Res1Text]],FIND("[",Tasks[[#This Row],[_Res1Text]]&amp;"[")-1)),res_Initials,0),0)))</f>
        <v/>
      </c>
      <c r="DP70" s="42">
        <f>IF(Tasks[[#This Row],[_Res2Text]]="",0,IFERROR(MATCH(TRIM(LEFT(Tasks[[#This Row],[_Res2Text]],FIND("[",Tasks[[#This Row],[_Res2Text]]&amp;"[")-1)),res_Name,0),IFERROR(MATCH(TRIM(LEFT(Tasks[[#This Row],[_Res2Text]],FIND("[",Tasks[[#This Row],[_Res2Text]]&amp;"[")-1)),res_Initials,0),0)))</f>
        <v/>
      </c>
      <c r="DQ70" s="42">
        <f>IF(Tasks[[#This Row],[_Res3Text]]="",0,IFERROR(MATCH(TRIM(LEFT(Tasks[[#This Row],[_Res3Text]],FIND("[",Tasks[[#This Row],[_Res3Text]]&amp;"[")-1)),res_Name,0),IFERROR(MATCH(TRIM(LEFT(Tasks[[#This Row],[_Res3Text]],FIND("[",Tasks[[#This Row],[_Res3Text]]&amp;"[")-1)),res_Initials,0),0)))</f>
        <v/>
      </c>
      <c r="DR70" s="42">
        <f>IF(Tasks[[#This Row],[_Res4Text]]="",0,IFERROR(MATCH(TRIM(LEFT(Tasks[[#This Row],[_Res4Text]],FIND("[",Tasks[[#This Row],[_Res4Text]]&amp;"[")-1)),res_Name,0),IFERROR(MATCH(TRIM(LEFT(Tasks[[#This Row],[_Res4Text]],FIND("[",Tasks[[#This Row],[_Res4Text]]&amp;"[")-1)),res_Initials,0),0)))</f>
        <v/>
      </c>
      <c r="DS70" s="42">
        <f>IF(Tasks[[#This Row],[_Res1Text]]="","",IF(Tasks[[#This Row],[_Res1Row]]&gt;0,INDEX(res_Name,Tasks[[#This Row],[_Res1Row]]),TRIM(LEFT(Tasks[[#This Row],[_Res1Text]],FIND("[",Tasks[[#This Row],[_Res1Text]]&amp;"[")-1))))</f>
        <v/>
      </c>
      <c r="DT7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0" s="42">
        <f>IF(NOT(Tasks[[#This Row],[_IsLeaf]]=1),0,(Tasks[[#This Row],[_Resource1]]&lt;&gt;"")+(Tasks[[#This Row],[_Res2]]&lt;&gt;"")+(Tasks[[#This Row],[_Res3]]&lt;&gt;"")+(Tasks[[#This Row],[_Res4]]&lt;&gt;""))</f>
        <v/>
      </c>
      <c r="DV70" s="42">
        <f>IF(Tasks[[#This Row],[_Res2Text]]="","",IF(Tasks[[#This Row],[_Res2Row]]&gt;0,INDEX(res_Name,Tasks[[#This Row],[_Res2Row]]),TRIM(LEFT(Tasks[[#This Row],[_Res2Text]],FIND("[",Tasks[[#This Row],[_Res2Text]]&amp;"[")-1))))</f>
        <v/>
      </c>
      <c r="DW7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0" s="42">
        <f>IF(OR(NOT(Tasks[[#This Row],[_IsLeaf]]=1),Tasks[[#This Row],[_Res2Row]]=0),0,N(Tasks[[#This Row],[_Days]])*HoursPerDay*IF(Tasks[[#This Row],[_Res2Units]]="",DefaultUnits,Tasks[[#This Row],[_Res2Units]]))</f>
        <v/>
      </c>
      <c r="DY70" s="42">
        <f>IF(AND(AND(Tasks[[#This Row],[_IsLeaf]]=1,Tasks[[#This Row],[_LeafTotalWork]]&gt;0),Tasks[[#This Row],[_Res2Work]]&gt;0),Tasks[[#This Row],[_Res2Work]]/(Tasks[[#This Row],[_FinishWorkday]]-Tasks[[#This Row],[_StartWorkday]]+1),0)</f>
        <v/>
      </c>
      <c r="DZ70" s="42">
        <f>Tasks[[#This Row],[_Res2WorkPerWD]]*MAX(0,Tasks[[#This Row],[_StartWorkday]]-1)</f>
        <v/>
      </c>
      <c r="EA70" s="42">
        <f>Tasks[[#This Row],[_Res2Work]]*Tasks[[#This Row],[_LeafProgress]]</f>
        <v/>
      </c>
      <c r="EB70" s="42">
        <f>IF(Tasks[[#This Row],[_Res3Text]]="","",IF(Tasks[[#This Row],[_Res3Row]]&gt;0,INDEX(res_Name,Tasks[[#This Row],[_Res3Row]]),TRIM(LEFT(Tasks[[#This Row],[_Res3Text]],FIND("[",Tasks[[#This Row],[_Res3Text]]&amp;"[")-1))))</f>
        <v/>
      </c>
      <c r="EC7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0" s="42">
        <f>IF(OR(NOT(Tasks[[#This Row],[_IsLeaf]]=1),Tasks[[#This Row],[_Res3Row]]=0),0,N(Tasks[[#This Row],[_Days]])*HoursPerDay*IF(Tasks[[#This Row],[_Res3Units]]="",DefaultUnits,Tasks[[#This Row],[_Res3Units]]))</f>
        <v/>
      </c>
      <c r="EE70" s="42">
        <f>IF(AND(AND(Tasks[[#This Row],[_IsLeaf]]=1,Tasks[[#This Row],[_LeafTotalWork]]&gt;0),Tasks[[#This Row],[_Res3Work]]&gt;0),Tasks[[#This Row],[_Res3Work]]/(Tasks[[#This Row],[_FinishWorkday]]-Tasks[[#This Row],[_StartWorkday]]+1),0)</f>
        <v/>
      </c>
      <c r="EF70" s="42">
        <f>Tasks[[#This Row],[_Res3WorkPerWD]]*MAX(0,Tasks[[#This Row],[_StartWorkday]]-1)</f>
        <v/>
      </c>
      <c r="EG70" s="42">
        <f>Tasks[[#This Row],[_Res3Work]]*Tasks[[#This Row],[_LeafProgress]]</f>
        <v/>
      </c>
      <c r="EH70" s="42">
        <f>IF(Tasks[[#This Row],[_Res4Text]]="","",IF(Tasks[[#This Row],[_Res4Row]]&gt;0,INDEX(res_Name,Tasks[[#This Row],[_Res4Row]]),TRIM(LEFT(Tasks[[#This Row],[_Res4Text]],FIND("[",Tasks[[#This Row],[_Res4Text]]&amp;"[")-1))))</f>
        <v/>
      </c>
      <c r="EI7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0" s="42">
        <f>IF(OR(NOT(Tasks[[#This Row],[_IsLeaf]]=1),Tasks[[#This Row],[_Res4Row]]=0),0,N(Tasks[[#This Row],[_Days]])*HoursPerDay*IF(Tasks[[#This Row],[_Res4Units]]="",DefaultUnits,Tasks[[#This Row],[_Res4Units]]))</f>
        <v/>
      </c>
      <c r="EK70" s="42">
        <f>IF(AND(AND(Tasks[[#This Row],[_IsLeaf]]=1,Tasks[[#This Row],[_LeafTotalWork]]&gt;0),Tasks[[#This Row],[_Res4Work]]&gt;0),Tasks[[#This Row],[_Res4Work]]/(Tasks[[#This Row],[_FinishWorkday]]-Tasks[[#This Row],[_StartWorkday]]+1),0)</f>
        <v/>
      </c>
      <c r="EL70" s="42">
        <f>Tasks[[#This Row],[_Res4WorkPerWD]]*MAX(0,Tasks[[#This Row],[_StartWorkday]]-1)</f>
        <v/>
      </c>
      <c r="EM70" s="42">
        <f>Tasks[[#This Row],[_Res4Work]]*Tasks[[#This Row],[_LeafProgress]]</f>
        <v/>
      </c>
      <c r="EN70" s="42">
        <f>IF(ISNUMBER(Tasks[[#This Row],[% Complete]]),Tasks[[#This Row],[% Complete]],IF(Tasks[[#This Row],[Stage]]="",0,IFERROR(INDEX(stg_Pct,MATCH(Tasks[[#This Row],[Stage]],stg_Name,0)),0)))</f>
        <v/>
      </c>
      <c r="EO70" s="42">
        <f>IF(NOT(Tasks[[#This Row],[_IsLeaf]]=1),0,IF(N(Tasks[[#This Row],[Actual Finish]])&gt;0,1,MIN(1,Tasks[[#This Row],[_Pct]])))</f>
        <v/>
      </c>
      <c r="EP70" s="42">
        <f>IF(OR(NOT(Tasks[[#This Row],[_IsLeaf]]=1),Tasks[[#This Row],[_Res1Row]]=0),0,N(Tasks[[#This Row],[_Days]])*HoursPerDay*IF(Tasks[[#This Row],[_Units1]]="",DefaultUnits,Tasks[[#This Row],[_Units1]]))</f>
        <v/>
      </c>
      <c r="EQ70" s="42">
        <f>Tasks[[#This Row],[_LeafWork]]+Tasks[[#This Row],[_Res2Work]]+Tasks[[#This Row],[_Res3Work]]+Tasks[[#This Row],[_Res4Work]]</f>
        <v/>
      </c>
      <c r="ER7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0" s="42">
        <f>IF(NOT(Tasks[[#This Row],[_IsLeaf]]=1),0,MAX(_xlfn.MAXIFS(Tasks[_Row],Tasks[_Pred1UID],Tasks[[#This Row],[UID]]),_xlfn.MAXIFS(Tasks[_Row],Tasks[_Pred2UID],Tasks[[#This Row],[UID]]),_xlfn.MAXIFS(Tasks[_Row],Tasks[_Pred3UID],Tasks[[#This Row],[UID]]),_xlfn.MAXIFS(Tasks[_Row],Tasks[_Pred4UID],Tasks[[#This Row],[UID]])))</f>
        <v/>
      </c>
      <c r="FA7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0" s="88">
        <f>IF(NOT(Tasks[[#This Row],[_IsLeaf]]=1),"",IF(N(Tasks[[#This Row],[_Days]])&lt;=0,Tasks[[#This Row],[_LeafLateFinish]],WORKDAY.INTL(Tasks[[#This Row],[_LeafLateFinish]],-(Tasks[[#This Row],[_Days]]-1),WorkWeek,Holidays)))</f>
        <v/>
      </c>
      <c r="FD7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0" s="42">
        <f>AND(Tasks[[#This Row],[_IsLeaf]]=1,Tasks[[#This Row],[_LeafProgress]]&lt;1,N(Tasks[[#This Row],[_LeafTotalSlack]])&lt;=CriticalSlackDays)</f>
        <v/>
      </c>
      <c r="FF70" s="42">
        <f>IF(AND(Tasks[[#This Row],[_IsLeaf]]=1,Tasks[[#This Row],[_ConstraintCode]]=1,Tasks[[#This Row],[Mode]]&lt;&gt;"Manual",N(Tasks[[#This Row],[Actual Start]])=0),MAX(0,N(Tasks[[#This Row],[Free Slack]])),0)</f>
        <v/>
      </c>
      <c r="FG70" s="88">
        <f>IF(NOT(Tasks[[#This Row],[_IsLeaf]]=1),"",IF(Tasks[[#This Row],[_AlapShift]]=0,Tasks[[#This Row],[_LeafCalcStart]],WORKDAY.INTL(Tasks[[#This Row],[_LeafCalcStart]],Tasks[[#This Row],[_AlapShift]],WorkWeek,Holidays)))</f>
        <v/>
      </c>
      <c r="FH70" s="88">
        <f>IF(NOT(Tasks[[#This Row],[_IsLeaf]]=1),"",IF(Tasks[[#This Row],[_AlapShift]]=0,Tasks[[#This Row],[_LeafCalcFinish]],WORKDAY.INTL(Tasks[[#This Row],[_LeafCalcFinish]],Tasks[[#This Row],[_AlapShift]],WorkWeek,Holidays)))</f>
        <v/>
      </c>
      <c r="FI70" s="88">
        <f>IF(NOT(Tasks[[#This Row],[_IsLeaf]]=1),"",IF(Tasks[[#This Row],[_AlapShift]]=0,Tasks[[#This Row],[_LeafFcstStart]],WORKDAY.INTL(Tasks[[#This Row],[_LeafFcstStart]],Tasks[[#This Row],[_AlapShift]],WorkWeek,Holidays)))</f>
        <v/>
      </c>
      <c r="FJ70" s="88">
        <f>IF(NOT(Tasks[[#This Row],[_IsLeaf]]=1),"",IF(Tasks[[#This Row],[_AlapShift]]=0,Tasks[[#This Row],[_LeafFcstFinish]],WORKDAY.INTL(Tasks[[#This Row],[_LeafFcstFinish]],Tasks[[#This Row],[_AlapShift]],WorkWeek,Holidays)))</f>
        <v/>
      </c>
      <c r="FK70" s="88">
        <f>IF(Tasks[[#This Row],[Task Name]]="","",IF(Tasks[[#This Row],[_IsSummary]],MIN(INDEX(Tasks[_ShownCalcStart],Tasks[[#This Row],[_Row]]+1):INDEX(Tasks[_ShownCalcStart],Tasks[[#This Row],[_Row]]+Tasks[[#This Row],[_Descendants]])),Tasks[[#This Row],[_ShownCalcStart]]))</f>
        <v/>
      </c>
      <c r="FL70" s="88">
        <f>IF(Tasks[[#This Row],[Task Name]]="","",IF(Tasks[[#This Row],[_IsSummary]],MAX(INDEX(Tasks[_ShownCalcFinish],Tasks[[#This Row],[_Row]]+1):INDEX(Tasks[_ShownCalcFinish],Tasks[[#This Row],[_Row]]+Tasks[[#This Row],[_Descendants]])),Tasks[[#This Row],[_ShownCalcFinish]]))</f>
        <v/>
      </c>
      <c r="FM7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0" s="42">
        <f>IF(AND(Tasks[[#This Row],[_IsLeaf]]=1,Tasks[[#This Row],[_LeafTotalWork]]&gt;0),NETWORKDAYS.INTL(ProjectStart,Tasks[[#This Row],[_ShownFcstStart]],WorkWeek,Holidays),0)</f>
        <v/>
      </c>
      <c r="FZ70" s="42">
        <f>IF(AND(Tasks[[#This Row],[_IsLeaf]]=1,Tasks[[#This Row],[_LeafTotalWork]]&gt;0),MAX(Tasks[[#This Row],[_StartWorkday]],NETWORKDAYS.INTL(ProjectStart,Tasks[[#This Row],[_ShownFcstFinish]],WorkWeek,Holidays)),0)</f>
        <v/>
      </c>
      <c r="GA70" s="42">
        <f>IF(AND(Tasks[[#This Row],[_IsLeaf]]=1,Tasks[[#This Row],[_LeafTotalWork]]&gt;0),Tasks[[#This Row],[_LeafWork]]/(Tasks[[#This Row],[_FinishWorkday]]-Tasks[[#This Row],[_StartWorkday]]+1),0)</f>
        <v/>
      </c>
      <c r="GB70" s="42">
        <f>Tasks[[#This Row],[_WorkPerWorkday]]*(Tasks[[#This Row],[_StartWorkday]]-1)</f>
        <v/>
      </c>
      <c r="GC70" s="42">
        <f>IF(Tasks[[#This Row],[_IsLeaf]]=1,MAX(N(Tasks[[#This Row],[_Days]]),0.1),0)</f>
        <v/>
      </c>
      <c r="GD70" s="42">
        <f>Tasks[[#This Row],[_WeightDur]]*Tasks[[#This Row],[_LeafProgress]]</f>
        <v/>
      </c>
      <c r="GE70" s="42">
        <f>Tasks[[#This Row],[_WeightDur]]*Tasks[[#This Row],[_PlannedPct]]</f>
        <v/>
      </c>
      <c r="GF7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0" s="42">
        <f>IF(AND(Tasks[[#This Row],[_IsLeaf]]=1,N(Tasks[[#This Row],[_Days]])=0,Tasks[[#This Row],[_LeafProgress]]&lt;1),Tasks[[#This Row],[_ShownFcstFinish]]+Tasks[[#This Row],[_Row]]/100000,"")</f>
        <v/>
      </c>
      <c r="GH7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0" s="42">
        <f>IF(Tasks[[#This Row],[Task Name]]="","",LEFT(Tasks[[#This Row],[WBS]],FIND(".",Tasks[[#This Row],[WBS]]&amp;".")-1))</f>
        <v/>
      </c>
      <c r="GJ70" s="42">
        <f>IF(AND(Tasks[[#This Row],[Task Name]]&lt;&gt;"",Tasks[[#This Row],[_Level]]=1),Tasks[[#This Row],[_Row]],"")</f>
        <v/>
      </c>
      <c r="GK70" s="42">
        <f>IF(AND(Tasks[[#This Row],[_IsLeaf]]=1,N(Tasks[[#This Row],[_Days]])=0),Tasks[[#This Row],[Planned Finish]]+Tasks[[#This Row],[_Row]]/100000,"")</f>
        <v/>
      </c>
      <c r="GL70" s="42">
        <f>IF(AND(Tasks[[#This Row],[_IsLeaf]]=1,Tasks[[#This Row],[_LeafProgress]]&lt;1,OR(N(Tasks[[#This Row],[Finish Var]])&gt;0,Tasks[[#This Row],[Status]]="Late Start")),MAX(0,Tasks[[#This Row],[Finish Var]])+1-Tasks[[#This Row],[_Row]]/1000000,"")</f>
        <v/>
      </c>
      <c r="GM70" s="42">
        <f>IF(AND(Tasks[[#This Row],[_IsLeaf]]=1,N(Tasks[[#This Row],[Actual Start]])=0,Tasks[[#This Row],[_ShownFcstStart]]&gt;=StatusDate,Tasks[[#This Row],[_ShownFcstStart]]&lt;=LookaheadEnd),Tasks[[#This Row],[_ShownFcstStart]]+Tasks[[#This Row],[_Row]]/100000,"")</f>
        <v/>
      </c>
      <c r="GN70" s="42">
        <f>IF(AND(Tasks[[#This Row],[_IsLeaf]]=1,Tasks[[#This Row],[_LeafProgress]]&lt;1,Tasks[[#This Row],[_ShownFcstFinish]]&gt;=StatusDate,Tasks[[#This Row],[_ShownFcstFinish]]&lt;=LookaheadEnd),Tasks[[#This Row],[_ShownFcstFinish]]+Tasks[[#This Row],[_Row]]/100000,"")</f>
        <v/>
      </c>
      <c r="GO70" s="42">
        <f>IF(Tasks[[#This Row],[_LeafCritical]],Tasks[[#This Row],[_ShownFcstStart]]+Tasks[[#This Row],[_Row]]/100000,"")</f>
        <v/>
      </c>
      <c r="GP70" s="42">
        <f>Tasks[[#This Row],[_LeafWork]]*Tasks[[#This Row],[_LeafProgress]]</f>
        <v/>
      </c>
      <c r="GQ70" s="88">
        <f>IF(AND(Tasks[[#This Row],[_IsLeaf]]=1,Tasks[[#This Row],[_LeafProgress]]&gt;=1),IF(N(Tasks[[#This Row],[Actual Finish]])&gt;0,Tasks[[#This Row],[Actual Finish]],Tasks[[#This Row],[_ShownFcstFinish]]),"")</f>
        <v/>
      </c>
      <c r="GR70" s="42">
        <f>IF(Tasks[[#This Row],[_IsLeaf]]=1,N(Tasks[[#This Row],[Story Points]]),0)</f>
        <v/>
      </c>
      <c r="GS70" s="42">
        <f>""</f>
        <v/>
      </c>
      <c r="GT70" s="42">
        <f>IF(Tasks[[#This Row],[Task Name]]="",FALSE(),AND(Tasks[[#This Row],[_IsLeaf]]=1,N(Tasks[[#This Row],[_Days]])=0))</f>
        <v/>
      </c>
      <c r="GU70" s="88">
        <f>IF(Tasks[[#This Row],[Task Name]]="",0,IF(AND(Tasks[[#This Row],[_IsLeaf]]=1,NOT(Tasks[[#This Row],[_IsMilestone]]),N(Tasks[[#This Row],[Progress]])&gt;0),Tasks[[#This Row],[Start]],0))</f>
        <v/>
      </c>
      <c r="GV70" s="88">
        <f>IF(Tasks[[#This Row],[_DoneFrom]]=0,0,IF(Tasks[[#This Row],[Progress]]&gt;=1,Tasks[[#This Row],[Finish]],MAX(Tasks[[#This Row],[_DoneFrom]],Tasks[[#This Row],[Start]]+ROUND((Tasks[[#This Row],[Finish]]-Tasks[[#This Row],[Start]]+1)*Tasks[[#This Row],[Progress]],0)-1)))</f>
        <v/>
      </c>
      <c r="GW70" s="88">
        <f>IF(Tasks[[#This Row],[Task Name]]="",0,IF(OR(NOT(Tasks[[#This Row],[_IsLeaf]]=1),Tasks[[#This Row],[_IsMilestone]],N(Tasks[[#This Row],[Progress]])&gt;=1),0,IF(Tasks[[#This Row],[_DoneTo]]&gt;0,Tasks[[#This Row],[_DoneTo]]+1,Tasks[[#This Row],[Start]])))</f>
        <v/>
      </c>
      <c r="GX70" s="88">
        <f>IF(Tasks[[#This Row],[_RemFrom]]=0,0,Tasks[[#This Row],[Finish]])</f>
        <v/>
      </c>
      <c r="GY70" s="42">
        <f>IF(Tasks[[#This Row],[Task Name]]="",FALSE(),OR(NOT(BaselineSet),N(Tasks[[#This Row],[Baseline Start]])&gt;0))</f>
        <v/>
      </c>
      <c r="GZ70" s="42">
        <f>IF(AND(Sandbox="Yes",L_PARSE_DURATION(Tasks[[#This Row],[Sandbox Duration]])&lt;&gt;""),L_PARSE_DURATION(Tasks[[#This Row],[Sandbox Duration]]),L_PARSE_DURATION(Tasks[[#This Row],[Duration]]))</f>
        <v/>
      </c>
      <c r="HA7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0" s="42">
        <f>IF(Tasks[[#This Row],[_IsLeaf]]=1,Tasks[[#This Row],[_Row]],"")</f>
        <v/>
      </c>
      <c r="HD70" s="42">
        <f>IFERROR(INDEX(Tasks[UID],SMALL(Tasks[_PickKey],Tasks[[#This Row],[_Row]]))&amp;" "&amp;INDEX(Tasks[Task Name],SMALL(Tasks[_PickKey],Tasks[[#This Row],[_Row]])),"")</f>
        <v/>
      </c>
      <c r="HE70" s="42">
        <f>IF(Tasks[[#This Row],[Task Name]]="","",IF(Tasks[[#This Row],[_IsSummary]],NETWORKDAYS.INTL(Tasks[[#This Row],[Start]],Tasks[[#This Row],[Finish]],WorkWeek,Holidays),N(Tasks[[#This Row],[_Days]])))</f>
        <v/>
      </c>
      <c r="HF70" s="42">
        <f>IF(Tasks[[#This Row],[Expected]]="",0,((Tasks[[#This Row],[Pessimistic]]-Tasks[[#This Row],[Optimistic]])/6)^2)</f>
        <v/>
      </c>
      <c r="HG70" s="42">
        <f>IF(Tasks[[#This Row],[Expected]]="",0,Tasks[[#This Row],[Expected]]-N(Tasks[[#This Row],[_Days]]))</f>
        <v/>
      </c>
    </row>
    <row r="71">
      <c r="A71" s="21">
        <f>IF(Tasks[[#This Row],[Task Name]]="","",COUNTA(Tasks[[#Headers],[Task Name]]:Tasks[[#This Row],[Task Name]])-1)</f>
        <v/>
      </c>
      <c r="B71" s="22" t="n">
        <v>79</v>
      </c>
      <c r="C71" s="22" t="n"/>
      <c r="D71" s="23" t="n"/>
      <c r="E71" s="22" t="n"/>
      <c r="F71" s="23" t="n"/>
      <c r="G71" s="22" t="n"/>
      <c r="H71" s="22" t="n"/>
      <c r="I71" s="23" t="n"/>
      <c r="J71" s="22" t="n"/>
      <c r="K71" s="22" t="n"/>
      <c r="L71" s="23" t="n"/>
      <c r="M71" s="22" t="n"/>
      <c r="N71" s="22" t="n"/>
      <c r="O71" s="23" t="n"/>
      <c r="P71" s="22" t="n"/>
      <c r="Q71" s="22" t="n"/>
      <c r="R71" s="23" t="n"/>
      <c r="S71" s="23" t="n"/>
      <c r="T71" s="82" t="n"/>
      <c r="U71" s="23" t="n"/>
      <c r="V71" s="82" t="n"/>
      <c r="W71" s="23" t="n"/>
      <c r="X71" s="82" t="n"/>
      <c r="Y71" s="23" t="n"/>
      <c r="Z71" s="82" t="n"/>
      <c r="AA71" s="23" t="n"/>
      <c r="AB71" s="23" t="n"/>
      <c r="AC71" s="7" t="n"/>
      <c r="AD71" s="7" t="n"/>
      <c r="AE71" s="61">
        <f>IF(Tasks[[#This Row],[Task Name]]="","",IF(Tasks[[#This Row],[_IsSummary]],MIN(INDEX(Tasks[_ShownFcstStart],Tasks[[#This Row],[_Row]]+1):INDEX(Tasks[_ShownFcstStart],Tasks[[#This Row],[_Row]]+Tasks[[#This Row],[_Descendants]])),Tasks[[#This Row],[_ShownFcstStart]]))</f>
        <v/>
      </c>
      <c r="AF71" s="61">
        <f>IF(Tasks[[#This Row],[Task Name]]="","",IF(Tasks[[#This Row],[_IsSummary]],MAX(INDEX(Tasks[_ShownFcstFinish],Tasks[[#This Row],[_Row]]+1):INDEX(Tasks[_ShownFcstFinish],Tasks[[#This Row],[_Row]]+Tasks[[#This Row],[_Descendants]])),Tasks[[#This Row],[_ShownFcstFinish]]))</f>
        <v/>
      </c>
      <c r="AG71" s="21">
        <f>""</f>
        <v/>
      </c>
      <c r="AH71" s="23" t="n"/>
      <c r="AI7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1" s="7" t="n"/>
      <c r="AK71" s="22" t="n"/>
      <c r="AL71" s="23" t="n"/>
      <c r="AM71" s="7" t="n"/>
      <c r="AN71" s="21">
        <f>IF(Tasks[[#This Row],[Task Name]]="","",IF(Tasks[[#This Row],[Finish]]&gt;=Tasks[[#This Row],[Planned Finish]],NETWORKDAYS.INTL(Tasks[[#This Row],[Planned Finish]],Tasks[[#This Row],[Finish]],WorkWeek,Holidays)-1,1-NETWORKDAYS.INTL(Tasks[[#This Row],[Finish]],Tasks[[#This Row],[Planned Finish]],WorkWeek,Holidays)))</f>
        <v/>
      </c>
      <c r="AO71" s="21">
        <f>IF(Tasks[[#This Row],[Task Name]]="","",IF(Tasks[[#This Row],[Progress]]&gt;=1,"Complete",IF(OR(N(Tasks[[#This Row],[Actual Start]])&gt;0,Tasks[[#This Row],[Progress]]&gt;0),IF(Tasks[[#This Row],[Finish Var]]&gt;0,"Behind","In Progress"),IF(Tasks[[#This Row],[Planned Start]]&lt;StatusDate,"Late Start","Not Started"))))</f>
        <v/>
      </c>
      <c r="AP71" s="21">
        <f>IF(Tasks[[#This Row],[Task Name]]="","",IF(IF(Tasks[[#This Row],[_IsSummary]],COUNTIF(INDEX(Tasks[_LeafCritical],Tasks[[#This Row],[_Row]]+1):INDEX(Tasks[_LeafCritical],Tasks[[#This Row],[_Row]]+Tasks[[#This Row],[_Descendants]]),TRUE())&gt;0,Tasks[[#This Row],[_LeafCritical]]),"Yes",""))</f>
        <v/>
      </c>
      <c r="AQ71" s="61">
        <f>IF(Tasks[[#This Row],[Task Name]]="","",IF(N(Tasks[[#This Row],[Baseline Start]])&gt;0,Tasks[[#This Row],[Baseline Start]],Tasks[[#This Row],[_CalcStart]]))</f>
        <v/>
      </c>
      <c r="AR71" s="61">
        <f>IF(Tasks[[#This Row],[Task Name]]="","",IF(N(Tasks[[#This Row],[Baseline Finish]])&gt;0,Tasks[[#This Row],[Baseline Finish]],Tasks[[#This Row],[_CalcFinish]]))</f>
        <v/>
      </c>
      <c r="AS71" s="21">
        <f>IF(Tasks[[#This Row],[Task Name]]="","",IF(Tasks[[#This Row],[Start]]&gt;=Tasks[[#This Row],[Planned Start]],NETWORKDAYS.INTL(Tasks[[#This Row],[Planned Start]],Tasks[[#This Row],[Start]],WorkWeek,Holidays)-1,1-NETWORKDAYS.INTL(Tasks[[#This Row],[Start]],Tasks[[#This Row],[Planned Start]],WorkWeek,Holidays)))</f>
        <v/>
      </c>
      <c r="AT71" s="61">
        <f>IF(Tasks[[#This Row],[Task Name]]="","",IF(Tasks[[#This Row],[_IsSummary]],MIN(INDEX(Tasks[_LeafLateStart],Tasks[[#This Row],[_Row]]+1):INDEX(Tasks[_LeafLateStart],Tasks[[#This Row],[_Row]]+Tasks[[#This Row],[_Descendants]])),Tasks[[#This Row],[_LeafLateStart]]))</f>
        <v/>
      </c>
      <c r="AU71" s="61">
        <f>IF(Tasks[[#This Row],[Task Name]]="","",IF(Tasks[[#This Row],[_IsSummary]],MAX(INDEX(Tasks[_LeafLateFinish],Tasks[[#This Row],[_Row]]+1):INDEX(Tasks[_LeafLateFinish],Tasks[[#This Row],[_Row]]+Tasks[[#This Row],[_Descendants]])),Tasks[[#This Row],[_LeafLateFinish]]))</f>
        <v/>
      </c>
      <c r="AV71" s="21">
        <f>IF(Tasks[[#This Row],[Task Name]]="","",IF(Tasks[[#This Row],[_IsSummary]],MIN(INDEX(Tasks[_LeafTotalSlack],Tasks[[#This Row],[_Row]]+1):INDEX(Tasks[_LeafTotalSlack],Tasks[[#This Row],[_Row]]+Tasks[[#This Row],[_Descendants]])),Tasks[[#This Row],[_LeafTotalSlack]]))</f>
        <v/>
      </c>
      <c r="AW7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3" t="n"/>
      <c r="BA7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f>IF(Tasks[[#This Row],[Task Name]]="","",IF(Tasks[[#This Row],[_Level]]&lt;=OutlineShowLevel,"Yes","No"))</f>
        <v/>
      </c>
      <c r="BE71" s="84">
        <f>IF(Tasks[[#This Row],[Task Name]]="","",IF(Tasks[[#This Row],[_IsSummary]],SUM(INDEX(Tasks[_LeafTotalWork],Tasks[[#This Row],[_Row]]+1):INDEX(Tasks[_LeafTotalWork],Tasks[[#This Row],[_Row]]+Tasks[[#This Row],[_Descendants]])),Tasks[[#This Row],[_LeafTotalWork]]))</f>
        <v/>
      </c>
      <c r="BF71" s="23" t="n"/>
      <c r="BG7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f>""</f>
        <v/>
      </c>
      <c r="BI71" s="85" t="n"/>
      <c r="BJ71" s="22" t="n"/>
      <c r="BK71" s="21">
        <f>IF(OR(Tasks[[#This Row],[Task Name]]="",Tasks[[#This Row],[Baseline Duration]]=""),"",Tasks[[#This Row],[_SpanDays]]-N(Tasks[[#This Row],[Baseline Duration]]))</f>
        <v/>
      </c>
      <c r="BL71" s="84">
        <f>IF(OR(Tasks[[#This Row],[Task Name]]="",Tasks[[#This Row],[Baseline Work]]=""),"",Tasks[[#This Row],[Work]]-N(Tasks[[#This Row],[Baseline Work]]))</f>
        <v/>
      </c>
      <c r="BM71" s="61">
        <f>IF(Tasks[[#This Row],[Task Name]]="","",IF(OR(TakeBaseline="Yes",N(Tasks[[#This Row],[Baseline Start]])=0),Tasks[[#This Row],[Start]],Tasks[[#This Row],[Baseline Start]]))</f>
        <v/>
      </c>
      <c r="BN71" s="61">
        <f>IF(Tasks[[#This Row],[Task Name]]="","",IF(OR(TakeBaseline="Yes",N(Tasks[[#This Row],[Baseline Finish]])=0),Tasks[[#This Row],[Finish]],Tasks[[#This Row],[Baseline Finish]]))</f>
        <v/>
      </c>
      <c r="BO71" s="21">
        <f>IF(Tasks[[#This Row],[Task Name]]="","",IF(OR(TakeBaseline="Yes",N(Tasks[[#This Row],[Baseline Duration]])=0),Tasks[[#This Row],[_SpanDays]],Tasks[[#This Row],[Baseline Duration]]))</f>
        <v/>
      </c>
      <c r="BP71" s="84">
        <f>IF(Tasks[[#This Row],[Task Name]]="","",IF(OR(TakeBaseline="Yes",N(Tasks[[#This Row],[Baseline Work]])=0),Tasks[[#This Row],[Work]],Tasks[[#This Row],[Baseline Work]]))</f>
        <v/>
      </c>
      <c r="BQ71" s="7" t="n"/>
      <c r="BR71" s="7" t="n"/>
      <c r="BS71" s="22" t="n"/>
      <c r="BT71" s="86" t="n"/>
      <c r="BU71" s="23" t="n"/>
      <c r="BV71" s="23" t="n"/>
      <c r="BW71" s="23" t="n"/>
      <c r="BX71" s="87">
        <f>IF(AND(Tasks[[#This Row],[_IsLeaf]]=1,ISNUMBER(Tasks[[#This Row],[Optimistic]]),ISNUMBER(Tasks[[#This Row],[Pessimistic]])),ROUND((Tasks[[#This Row],[Optimistic]]+4*N(Tasks[[#This Row],[_Days]])+Tasks[[#This Row],[Pessimistic]])/6,1),"")</f>
        <v/>
      </c>
      <c r="BY71" s="85" t="n"/>
      <c r="BZ71" s="85" t="n"/>
      <c r="CA71" s="22" t="n"/>
      <c r="CB71" s="42">
        <f>IF(Tasks[[#This Row],[Task Name]]="","",MAX(1,N(Tasks[[#This Row],[Level]])))</f>
        <v/>
      </c>
      <c r="CC71" s="42">
        <f>ROW()-ROW(Tasks[[#Headers],[ID]])</f>
        <v/>
      </c>
      <c r="CD71" s="42">
        <f>IF(OR(Tasks[[#This Row],[Task Name]]="",Tasks[[#This Row],[_Level]]&lt;=1),0,IFERROR(LOOKUP(2,1/(Tasks[[#Headers],[_Level]]:Tasks[[#This Row],[_Level]]=Tasks[[#This Row],[_Level]]-1),ROW(Tasks[[#Headers],[_Level]]:Tasks[[#This Row],[_Level]])),0))</f>
        <v/>
      </c>
      <c r="CE71" s="42">
        <f>IFERROR(N(INDEX(Tasks[_Level],Tasks[[#This Row],[_Row]]+1)),0)</f>
        <v/>
      </c>
      <c r="CF71" s="42">
        <f>AND(Tasks[[#This Row],[Task Name]]&lt;&gt;"",Tasks[[#This Row],[_NextLevel]]&gt;Tasks[[#This Row],[_Level]])</f>
        <v/>
      </c>
      <c r="CG71" s="42">
        <f>IF(Tasks[[#This Row],[_IsSummary]],COUNTIF(Tasks[WBS],Tasks[[#This Row],[WBS]]&amp;".*"),0)</f>
        <v/>
      </c>
      <c r="CH71" s="42">
        <f>IF(AND(Tasks[[#This Row],[Task Name]]&lt;&gt;"",NOT(Tasks[[#This Row],[_IsSummary]])),1,0)</f>
        <v/>
      </c>
      <c r="CI71" s="42">
        <f>IF(N(Tasks[[#This Row],[_Pred1UID]])=0,0,IFERROR(MATCH(Tasks[[#This Row],[_Pred1UID]],Tasks[UID],0),-1))</f>
        <v/>
      </c>
      <c r="CJ71" s="42">
        <f>IF(N(Tasks[[#This Row],[_Pred2UID]])=0,0,IFERROR(MATCH(Tasks[[#This Row],[_Pred2UID]],Tasks[UID],0),-1))</f>
        <v/>
      </c>
      <c r="CK71" s="42">
        <f>IF(N(Tasks[[#This Row],[_Pred3UID]])=0,0,IFERROR(MATCH(Tasks[[#This Row],[_Pred3UID]],Tasks[UID],0),-1))</f>
        <v/>
      </c>
      <c r="CL71" s="42">
        <f>IF(N(Tasks[[#This Row],[_Pred4UID]])=0,0,IFERROR(MATCH(Tasks[[#This Row],[_Pred4UID]],Tasks[UID],0),-1))</f>
        <v/>
      </c>
      <c r="CM7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1" s="88">
        <f>IF(N(Tasks[[#This Row],[Constraint Date]])=0,0,IF(AND(OR(Tasks[[#This Row],[_ConstraintCode]]=3,Tasks[[#This Row],[_ConstraintCode]]=6,Tasks[[#This Row],[_ConstraintCode]]=7),N(Tasks[[#This Row],[_Days]])&gt;1),WORKDAY.INTL(N(Tasks[[#This Row],[Constraint Date]]),-(N(Tasks[[#This Row],[_Days]])-1),WorkWeek,Holidays),N(Tasks[[#This Row],[Constraint Date]])))</f>
        <v/>
      </c>
      <c r="CO71" s="88">
        <f>IF(OR(Tasks[[#This Row],[_ConstraintCode]]=2,Tasks[[#This Row],[_ConstraintCode]]=3,Tasks[[#This Row],[_ConstraintCode]]=4,Tasks[[#This Row],[_ConstraintCode]]=6),Tasks[[#This Row],[_ConstraintStart]],0)</f>
        <v/>
      </c>
      <c r="CP71" s="88">
        <f>IF(OR(Tasks[[#This Row],[_ConstraintCode]]=2,Tasks[[#This Row],[_ConstraintCode]]=3,Tasks[[#This Row],[_ConstraintCode]]=5,Tasks[[#This Row],[_ConstraintCode]]=7),Tasks[[#This Row],[_ConstraintStart]],2958465)</f>
        <v/>
      </c>
      <c r="CQ7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1" s="88">
        <f>IF(NOT(Tasks[[#This Row],[_IsLeaf]]=1),"",IF(N(Tasks[[#This Row],[_Days]])&lt;=0,Tasks[[#This Row],[_LeafCalcStart]],WORKDAY.INTL(Tasks[[#This Row],[_LeafCalcStart]],Tasks[[#This Row],[_Days]]-1,WorkWeek,Holidays)))</f>
        <v/>
      </c>
      <c r="CS7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1" s="42">
        <f>IF(Tasks[[#This Row],[_Predecessors]]="","",TRIM(MID(SUBSTITUTE(SUBSTITUTE(SUBSTITUTE(UPPER(Tasks[[#This Row],[_Predecessors]]),";",",")," ",""),",",REPT(" ",99)),1,99)))</f>
        <v/>
      </c>
      <c r="CV71" s="42">
        <f>IF(Tasks[[#This Row],[_Pred1Text]]="","",IFERROR(VALUE(LEFT(Tasks[[#This Row],[_Pred1Text]],MIN(FIND("F",Tasks[[#This Row],[_Pred1Text]]&amp;"F"),FIND("S",Tasks[[#This Row],[_Pred1Text]]&amp;"S"),FIND("+",Tasks[[#This Row],[_Pred1Text]]&amp;"+"),FIND("-",Tasks[[#This Row],[_Pred1Text]]&amp;"-"))-1)),""))</f>
        <v/>
      </c>
      <c r="CW7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1" s="42">
        <f>IF(Tasks[[#This Row],[_Pred1Text]]="","",TRIM(MID(SUBSTITUTE(SUBSTITUTE(SUBSTITUTE(UPPER(Tasks[[#This Row],[_Predecessors]]),";",",")," ",""),",",REPT(" ",99)),100,99)))</f>
        <v/>
      </c>
      <c r="CZ71" s="42">
        <f>IF(Tasks[[#This Row],[_Pred2Text]]="","",IFERROR(VALUE(LEFT(Tasks[[#This Row],[_Pred2Text]],MIN(FIND("F",Tasks[[#This Row],[_Pred2Text]]&amp;"F"),FIND("S",Tasks[[#This Row],[_Pred2Text]]&amp;"S"),FIND("+",Tasks[[#This Row],[_Pred2Text]]&amp;"+"),FIND("-",Tasks[[#This Row],[_Pred2Text]]&amp;"-"))-1)),""))</f>
        <v/>
      </c>
      <c r="DA7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1" s="42">
        <f>IF(Tasks[[#This Row],[_Pred2Text]]="","",TRIM(MID(SUBSTITUTE(SUBSTITUTE(SUBSTITUTE(UPPER(Tasks[[#This Row],[_Predecessors]]),";",",")," ",""),",",REPT(" ",99)),199,99)))</f>
        <v/>
      </c>
      <c r="DD71" s="42">
        <f>IF(Tasks[[#This Row],[_Pred3Text]]="","",IFERROR(VALUE(LEFT(Tasks[[#This Row],[_Pred3Text]],MIN(FIND("F",Tasks[[#This Row],[_Pred3Text]]&amp;"F"),FIND("S",Tasks[[#This Row],[_Pred3Text]]&amp;"S"),FIND("+",Tasks[[#This Row],[_Pred3Text]]&amp;"+"),FIND("-",Tasks[[#This Row],[_Pred3Text]]&amp;"-"))-1)),""))</f>
        <v/>
      </c>
      <c r="DE7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1" s="42">
        <f>IF(Tasks[[#This Row],[_Pred3Text]]="","",TRIM(MID(SUBSTITUTE(SUBSTITUTE(SUBSTITUTE(UPPER(Tasks[[#This Row],[_Predecessors]]),";",",")," ",""),",",REPT(" ",99)),298,99)))</f>
        <v/>
      </c>
      <c r="DH71" s="42">
        <f>IF(Tasks[[#This Row],[_Pred4Text]]="","",IFERROR(VALUE(LEFT(Tasks[[#This Row],[_Pred4Text]],MIN(FIND("F",Tasks[[#This Row],[_Pred4Text]]&amp;"F"),FIND("S",Tasks[[#This Row],[_Pred4Text]]&amp;"S"),FIND("+",Tasks[[#This Row],[_Pred4Text]]&amp;"+"),FIND("-",Tasks[[#This Row],[_Pred4Text]]&amp;"-"))-1)),""))</f>
        <v/>
      </c>
      <c r="DI7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1" s="42">
        <f>IF(OR(Tasks[[#This Row],[Task Name]]="",Tasks[[#This Row],[_Resources]]=""),"",TRIM(MID(SUBSTITUTE(Tasks[[#This Row],[_Resources]],",",REPT(" ",99)),1,99)))</f>
        <v/>
      </c>
      <c r="DL71" s="42">
        <f>IF(Tasks[[#This Row],[_Res1Text]]="","",TRIM(MID(SUBSTITUTE(Tasks[[#This Row],[_Resources]],",",REPT(" ",99)),100,99)))</f>
        <v/>
      </c>
      <c r="DM71" s="42">
        <f>IF(Tasks[[#This Row],[_Res2Text]]="","",TRIM(MID(SUBSTITUTE(Tasks[[#This Row],[_Resources]],",",REPT(" ",99)),199,99)))</f>
        <v/>
      </c>
      <c r="DN71" s="42">
        <f>IF(Tasks[[#This Row],[_Res3Text]]="","",TRIM(MID(SUBSTITUTE(Tasks[[#This Row],[_Resources]],",",REPT(" ",99)),298,99)))</f>
        <v/>
      </c>
      <c r="DO71" s="42">
        <f>IF(Tasks[[#This Row],[_Res1Text]]="",0,IFERROR(MATCH(TRIM(LEFT(Tasks[[#This Row],[_Res1Text]],FIND("[",Tasks[[#This Row],[_Res1Text]]&amp;"[")-1)),res_Name,0),IFERROR(MATCH(TRIM(LEFT(Tasks[[#This Row],[_Res1Text]],FIND("[",Tasks[[#This Row],[_Res1Text]]&amp;"[")-1)),res_Initials,0),0)))</f>
        <v/>
      </c>
      <c r="DP71" s="42">
        <f>IF(Tasks[[#This Row],[_Res2Text]]="",0,IFERROR(MATCH(TRIM(LEFT(Tasks[[#This Row],[_Res2Text]],FIND("[",Tasks[[#This Row],[_Res2Text]]&amp;"[")-1)),res_Name,0),IFERROR(MATCH(TRIM(LEFT(Tasks[[#This Row],[_Res2Text]],FIND("[",Tasks[[#This Row],[_Res2Text]]&amp;"[")-1)),res_Initials,0),0)))</f>
        <v/>
      </c>
      <c r="DQ71" s="42">
        <f>IF(Tasks[[#This Row],[_Res3Text]]="",0,IFERROR(MATCH(TRIM(LEFT(Tasks[[#This Row],[_Res3Text]],FIND("[",Tasks[[#This Row],[_Res3Text]]&amp;"[")-1)),res_Name,0),IFERROR(MATCH(TRIM(LEFT(Tasks[[#This Row],[_Res3Text]],FIND("[",Tasks[[#This Row],[_Res3Text]]&amp;"[")-1)),res_Initials,0),0)))</f>
        <v/>
      </c>
      <c r="DR71" s="42">
        <f>IF(Tasks[[#This Row],[_Res4Text]]="",0,IFERROR(MATCH(TRIM(LEFT(Tasks[[#This Row],[_Res4Text]],FIND("[",Tasks[[#This Row],[_Res4Text]]&amp;"[")-1)),res_Name,0),IFERROR(MATCH(TRIM(LEFT(Tasks[[#This Row],[_Res4Text]],FIND("[",Tasks[[#This Row],[_Res4Text]]&amp;"[")-1)),res_Initials,0),0)))</f>
        <v/>
      </c>
      <c r="DS71" s="42">
        <f>IF(Tasks[[#This Row],[_Res1Text]]="","",IF(Tasks[[#This Row],[_Res1Row]]&gt;0,INDEX(res_Name,Tasks[[#This Row],[_Res1Row]]),TRIM(LEFT(Tasks[[#This Row],[_Res1Text]],FIND("[",Tasks[[#This Row],[_Res1Text]]&amp;"[")-1))))</f>
        <v/>
      </c>
      <c r="DT7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1" s="42">
        <f>IF(NOT(Tasks[[#This Row],[_IsLeaf]]=1),0,(Tasks[[#This Row],[_Resource1]]&lt;&gt;"")+(Tasks[[#This Row],[_Res2]]&lt;&gt;"")+(Tasks[[#This Row],[_Res3]]&lt;&gt;"")+(Tasks[[#This Row],[_Res4]]&lt;&gt;""))</f>
        <v/>
      </c>
      <c r="DV71" s="42">
        <f>IF(Tasks[[#This Row],[_Res2Text]]="","",IF(Tasks[[#This Row],[_Res2Row]]&gt;0,INDEX(res_Name,Tasks[[#This Row],[_Res2Row]]),TRIM(LEFT(Tasks[[#This Row],[_Res2Text]],FIND("[",Tasks[[#This Row],[_Res2Text]]&amp;"[")-1))))</f>
        <v/>
      </c>
      <c r="DW7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1" s="42">
        <f>IF(OR(NOT(Tasks[[#This Row],[_IsLeaf]]=1),Tasks[[#This Row],[_Res2Row]]=0),0,N(Tasks[[#This Row],[_Days]])*HoursPerDay*IF(Tasks[[#This Row],[_Res2Units]]="",DefaultUnits,Tasks[[#This Row],[_Res2Units]]))</f>
        <v/>
      </c>
      <c r="DY71" s="42">
        <f>IF(AND(AND(Tasks[[#This Row],[_IsLeaf]]=1,Tasks[[#This Row],[_LeafTotalWork]]&gt;0),Tasks[[#This Row],[_Res2Work]]&gt;0),Tasks[[#This Row],[_Res2Work]]/(Tasks[[#This Row],[_FinishWorkday]]-Tasks[[#This Row],[_StartWorkday]]+1),0)</f>
        <v/>
      </c>
      <c r="DZ71" s="42">
        <f>Tasks[[#This Row],[_Res2WorkPerWD]]*MAX(0,Tasks[[#This Row],[_StartWorkday]]-1)</f>
        <v/>
      </c>
      <c r="EA71" s="42">
        <f>Tasks[[#This Row],[_Res2Work]]*Tasks[[#This Row],[_LeafProgress]]</f>
        <v/>
      </c>
      <c r="EB71" s="42">
        <f>IF(Tasks[[#This Row],[_Res3Text]]="","",IF(Tasks[[#This Row],[_Res3Row]]&gt;0,INDEX(res_Name,Tasks[[#This Row],[_Res3Row]]),TRIM(LEFT(Tasks[[#This Row],[_Res3Text]],FIND("[",Tasks[[#This Row],[_Res3Text]]&amp;"[")-1))))</f>
        <v/>
      </c>
      <c r="EC7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1" s="42">
        <f>IF(OR(NOT(Tasks[[#This Row],[_IsLeaf]]=1),Tasks[[#This Row],[_Res3Row]]=0),0,N(Tasks[[#This Row],[_Days]])*HoursPerDay*IF(Tasks[[#This Row],[_Res3Units]]="",DefaultUnits,Tasks[[#This Row],[_Res3Units]]))</f>
        <v/>
      </c>
      <c r="EE71" s="42">
        <f>IF(AND(AND(Tasks[[#This Row],[_IsLeaf]]=1,Tasks[[#This Row],[_LeafTotalWork]]&gt;0),Tasks[[#This Row],[_Res3Work]]&gt;0),Tasks[[#This Row],[_Res3Work]]/(Tasks[[#This Row],[_FinishWorkday]]-Tasks[[#This Row],[_StartWorkday]]+1),0)</f>
        <v/>
      </c>
      <c r="EF71" s="42">
        <f>Tasks[[#This Row],[_Res3WorkPerWD]]*MAX(0,Tasks[[#This Row],[_StartWorkday]]-1)</f>
        <v/>
      </c>
      <c r="EG71" s="42">
        <f>Tasks[[#This Row],[_Res3Work]]*Tasks[[#This Row],[_LeafProgress]]</f>
        <v/>
      </c>
      <c r="EH71" s="42">
        <f>IF(Tasks[[#This Row],[_Res4Text]]="","",IF(Tasks[[#This Row],[_Res4Row]]&gt;0,INDEX(res_Name,Tasks[[#This Row],[_Res4Row]]),TRIM(LEFT(Tasks[[#This Row],[_Res4Text]],FIND("[",Tasks[[#This Row],[_Res4Text]]&amp;"[")-1))))</f>
        <v/>
      </c>
      <c r="EI7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1" s="42">
        <f>IF(OR(NOT(Tasks[[#This Row],[_IsLeaf]]=1),Tasks[[#This Row],[_Res4Row]]=0),0,N(Tasks[[#This Row],[_Days]])*HoursPerDay*IF(Tasks[[#This Row],[_Res4Units]]="",DefaultUnits,Tasks[[#This Row],[_Res4Units]]))</f>
        <v/>
      </c>
      <c r="EK71" s="42">
        <f>IF(AND(AND(Tasks[[#This Row],[_IsLeaf]]=1,Tasks[[#This Row],[_LeafTotalWork]]&gt;0),Tasks[[#This Row],[_Res4Work]]&gt;0),Tasks[[#This Row],[_Res4Work]]/(Tasks[[#This Row],[_FinishWorkday]]-Tasks[[#This Row],[_StartWorkday]]+1),0)</f>
        <v/>
      </c>
      <c r="EL71" s="42">
        <f>Tasks[[#This Row],[_Res4WorkPerWD]]*MAX(0,Tasks[[#This Row],[_StartWorkday]]-1)</f>
        <v/>
      </c>
      <c r="EM71" s="42">
        <f>Tasks[[#This Row],[_Res4Work]]*Tasks[[#This Row],[_LeafProgress]]</f>
        <v/>
      </c>
      <c r="EN71" s="42">
        <f>IF(ISNUMBER(Tasks[[#This Row],[% Complete]]),Tasks[[#This Row],[% Complete]],IF(Tasks[[#This Row],[Stage]]="",0,IFERROR(INDEX(stg_Pct,MATCH(Tasks[[#This Row],[Stage]],stg_Name,0)),0)))</f>
        <v/>
      </c>
      <c r="EO71" s="42">
        <f>IF(NOT(Tasks[[#This Row],[_IsLeaf]]=1),0,IF(N(Tasks[[#This Row],[Actual Finish]])&gt;0,1,MIN(1,Tasks[[#This Row],[_Pct]])))</f>
        <v/>
      </c>
      <c r="EP71" s="42">
        <f>IF(OR(NOT(Tasks[[#This Row],[_IsLeaf]]=1),Tasks[[#This Row],[_Res1Row]]=0),0,N(Tasks[[#This Row],[_Days]])*HoursPerDay*IF(Tasks[[#This Row],[_Units1]]="",DefaultUnits,Tasks[[#This Row],[_Units1]]))</f>
        <v/>
      </c>
      <c r="EQ71" s="42">
        <f>Tasks[[#This Row],[_LeafWork]]+Tasks[[#This Row],[_Res2Work]]+Tasks[[#This Row],[_Res3Work]]+Tasks[[#This Row],[_Res4Work]]</f>
        <v/>
      </c>
      <c r="ER7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1" s="42">
        <f>IF(NOT(Tasks[[#This Row],[_IsLeaf]]=1),0,MAX(_xlfn.MAXIFS(Tasks[_Row],Tasks[_Pred1UID],Tasks[[#This Row],[UID]]),_xlfn.MAXIFS(Tasks[_Row],Tasks[_Pred2UID],Tasks[[#This Row],[UID]]),_xlfn.MAXIFS(Tasks[_Row],Tasks[_Pred3UID],Tasks[[#This Row],[UID]]),_xlfn.MAXIFS(Tasks[_Row],Tasks[_Pred4UID],Tasks[[#This Row],[UID]])))</f>
        <v/>
      </c>
      <c r="FA7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1" s="88">
        <f>IF(NOT(Tasks[[#This Row],[_IsLeaf]]=1),"",IF(N(Tasks[[#This Row],[_Days]])&lt;=0,Tasks[[#This Row],[_LeafLateFinish]],WORKDAY.INTL(Tasks[[#This Row],[_LeafLateFinish]],-(Tasks[[#This Row],[_Days]]-1),WorkWeek,Holidays)))</f>
        <v/>
      </c>
      <c r="FD7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1" s="42">
        <f>AND(Tasks[[#This Row],[_IsLeaf]]=1,Tasks[[#This Row],[_LeafProgress]]&lt;1,N(Tasks[[#This Row],[_LeafTotalSlack]])&lt;=CriticalSlackDays)</f>
        <v/>
      </c>
      <c r="FF71" s="42">
        <f>IF(AND(Tasks[[#This Row],[_IsLeaf]]=1,Tasks[[#This Row],[_ConstraintCode]]=1,Tasks[[#This Row],[Mode]]&lt;&gt;"Manual",N(Tasks[[#This Row],[Actual Start]])=0),MAX(0,N(Tasks[[#This Row],[Free Slack]])),0)</f>
        <v/>
      </c>
      <c r="FG71" s="88">
        <f>IF(NOT(Tasks[[#This Row],[_IsLeaf]]=1),"",IF(Tasks[[#This Row],[_AlapShift]]=0,Tasks[[#This Row],[_LeafCalcStart]],WORKDAY.INTL(Tasks[[#This Row],[_LeafCalcStart]],Tasks[[#This Row],[_AlapShift]],WorkWeek,Holidays)))</f>
        <v/>
      </c>
      <c r="FH71" s="88">
        <f>IF(NOT(Tasks[[#This Row],[_IsLeaf]]=1),"",IF(Tasks[[#This Row],[_AlapShift]]=0,Tasks[[#This Row],[_LeafCalcFinish]],WORKDAY.INTL(Tasks[[#This Row],[_LeafCalcFinish]],Tasks[[#This Row],[_AlapShift]],WorkWeek,Holidays)))</f>
        <v/>
      </c>
      <c r="FI71" s="88">
        <f>IF(NOT(Tasks[[#This Row],[_IsLeaf]]=1),"",IF(Tasks[[#This Row],[_AlapShift]]=0,Tasks[[#This Row],[_LeafFcstStart]],WORKDAY.INTL(Tasks[[#This Row],[_LeafFcstStart]],Tasks[[#This Row],[_AlapShift]],WorkWeek,Holidays)))</f>
        <v/>
      </c>
      <c r="FJ71" s="88">
        <f>IF(NOT(Tasks[[#This Row],[_IsLeaf]]=1),"",IF(Tasks[[#This Row],[_AlapShift]]=0,Tasks[[#This Row],[_LeafFcstFinish]],WORKDAY.INTL(Tasks[[#This Row],[_LeafFcstFinish]],Tasks[[#This Row],[_AlapShift]],WorkWeek,Holidays)))</f>
        <v/>
      </c>
      <c r="FK71" s="88">
        <f>IF(Tasks[[#This Row],[Task Name]]="","",IF(Tasks[[#This Row],[_IsSummary]],MIN(INDEX(Tasks[_ShownCalcStart],Tasks[[#This Row],[_Row]]+1):INDEX(Tasks[_ShownCalcStart],Tasks[[#This Row],[_Row]]+Tasks[[#This Row],[_Descendants]])),Tasks[[#This Row],[_ShownCalcStart]]))</f>
        <v/>
      </c>
      <c r="FL71" s="88">
        <f>IF(Tasks[[#This Row],[Task Name]]="","",IF(Tasks[[#This Row],[_IsSummary]],MAX(INDEX(Tasks[_ShownCalcFinish],Tasks[[#This Row],[_Row]]+1):INDEX(Tasks[_ShownCalcFinish],Tasks[[#This Row],[_Row]]+Tasks[[#This Row],[_Descendants]])),Tasks[[#This Row],[_ShownCalcFinish]]))</f>
        <v/>
      </c>
      <c r="FM7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1" s="42">
        <f>IF(AND(Tasks[[#This Row],[_IsLeaf]]=1,Tasks[[#This Row],[_LeafTotalWork]]&gt;0),NETWORKDAYS.INTL(ProjectStart,Tasks[[#This Row],[_ShownFcstStart]],WorkWeek,Holidays),0)</f>
        <v/>
      </c>
      <c r="FZ71" s="42">
        <f>IF(AND(Tasks[[#This Row],[_IsLeaf]]=1,Tasks[[#This Row],[_LeafTotalWork]]&gt;0),MAX(Tasks[[#This Row],[_StartWorkday]],NETWORKDAYS.INTL(ProjectStart,Tasks[[#This Row],[_ShownFcstFinish]],WorkWeek,Holidays)),0)</f>
        <v/>
      </c>
      <c r="GA71" s="42">
        <f>IF(AND(Tasks[[#This Row],[_IsLeaf]]=1,Tasks[[#This Row],[_LeafTotalWork]]&gt;0),Tasks[[#This Row],[_LeafWork]]/(Tasks[[#This Row],[_FinishWorkday]]-Tasks[[#This Row],[_StartWorkday]]+1),0)</f>
        <v/>
      </c>
      <c r="GB71" s="42">
        <f>Tasks[[#This Row],[_WorkPerWorkday]]*(Tasks[[#This Row],[_StartWorkday]]-1)</f>
        <v/>
      </c>
      <c r="GC71" s="42">
        <f>IF(Tasks[[#This Row],[_IsLeaf]]=1,MAX(N(Tasks[[#This Row],[_Days]]),0.1),0)</f>
        <v/>
      </c>
      <c r="GD71" s="42">
        <f>Tasks[[#This Row],[_WeightDur]]*Tasks[[#This Row],[_LeafProgress]]</f>
        <v/>
      </c>
      <c r="GE71" s="42">
        <f>Tasks[[#This Row],[_WeightDur]]*Tasks[[#This Row],[_PlannedPct]]</f>
        <v/>
      </c>
      <c r="GF7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1" s="42">
        <f>IF(AND(Tasks[[#This Row],[_IsLeaf]]=1,N(Tasks[[#This Row],[_Days]])=0,Tasks[[#This Row],[_LeafProgress]]&lt;1),Tasks[[#This Row],[_ShownFcstFinish]]+Tasks[[#This Row],[_Row]]/100000,"")</f>
        <v/>
      </c>
      <c r="GH7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1" s="42">
        <f>IF(Tasks[[#This Row],[Task Name]]="","",LEFT(Tasks[[#This Row],[WBS]],FIND(".",Tasks[[#This Row],[WBS]]&amp;".")-1))</f>
        <v/>
      </c>
      <c r="GJ71" s="42">
        <f>IF(AND(Tasks[[#This Row],[Task Name]]&lt;&gt;"",Tasks[[#This Row],[_Level]]=1),Tasks[[#This Row],[_Row]],"")</f>
        <v/>
      </c>
      <c r="GK71" s="42">
        <f>IF(AND(Tasks[[#This Row],[_IsLeaf]]=1,N(Tasks[[#This Row],[_Days]])=0),Tasks[[#This Row],[Planned Finish]]+Tasks[[#This Row],[_Row]]/100000,"")</f>
        <v/>
      </c>
      <c r="GL71" s="42">
        <f>IF(AND(Tasks[[#This Row],[_IsLeaf]]=1,Tasks[[#This Row],[_LeafProgress]]&lt;1,OR(N(Tasks[[#This Row],[Finish Var]])&gt;0,Tasks[[#This Row],[Status]]="Late Start")),MAX(0,Tasks[[#This Row],[Finish Var]])+1-Tasks[[#This Row],[_Row]]/1000000,"")</f>
        <v/>
      </c>
      <c r="GM71" s="42">
        <f>IF(AND(Tasks[[#This Row],[_IsLeaf]]=1,N(Tasks[[#This Row],[Actual Start]])=0,Tasks[[#This Row],[_ShownFcstStart]]&gt;=StatusDate,Tasks[[#This Row],[_ShownFcstStart]]&lt;=LookaheadEnd),Tasks[[#This Row],[_ShownFcstStart]]+Tasks[[#This Row],[_Row]]/100000,"")</f>
        <v/>
      </c>
      <c r="GN71" s="42">
        <f>IF(AND(Tasks[[#This Row],[_IsLeaf]]=1,Tasks[[#This Row],[_LeafProgress]]&lt;1,Tasks[[#This Row],[_ShownFcstFinish]]&gt;=StatusDate,Tasks[[#This Row],[_ShownFcstFinish]]&lt;=LookaheadEnd),Tasks[[#This Row],[_ShownFcstFinish]]+Tasks[[#This Row],[_Row]]/100000,"")</f>
        <v/>
      </c>
      <c r="GO71" s="42">
        <f>IF(Tasks[[#This Row],[_LeafCritical]],Tasks[[#This Row],[_ShownFcstStart]]+Tasks[[#This Row],[_Row]]/100000,"")</f>
        <v/>
      </c>
      <c r="GP71" s="42">
        <f>Tasks[[#This Row],[_LeafWork]]*Tasks[[#This Row],[_LeafProgress]]</f>
        <v/>
      </c>
      <c r="GQ71" s="88">
        <f>IF(AND(Tasks[[#This Row],[_IsLeaf]]=1,Tasks[[#This Row],[_LeafProgress]]&gt;=1),IF(N(Tasks[[#This Row],[Actual Finish]])&gt;0,Tasks[[#This Row],[Actual Finish]],Tasks[[#This Row],[_ShownFcstFinish]]),"")</f>
        <v/>
      </c>
      <c r="GR71" s="42">
        <f>IF(Tasks[[#This Row],[_IsLeaf]]=1,N(Tasks[[#This Row],[Story Points]]),0)</f>
        <v/>
      </c>
      <c r="GS71" s="42">
        <f>""</f>
        <v/>
      </c>
      <c r="GT71" s="42">
        <f>IF(Tasks[[#This Row],[Task Name]]="",FALSE(),AND(Tasks[[#This Row],[_IsLeaf]]=1,N(Tasks[[#This Row],[_Days]])=0))</f>
        <v/>
      </c>
      <c r="GU71" s="88">
        <f>IF(Tasks[[#This Row],[Task Name]]="",0,IF(AND(Tasks[[#This Row],[_IsLeaf]]=1,NOT(Tasks[[#This Row],[_IsMilestone]]),N(Tasks[[#This Row],[Progress]])&gt;0),Tasks[[#This Row],[Start]],0))</f>
        <v/>
      </c>
      <c r="GV71" s="88">
        <f>IF(Tasks[[#This Row],[_DoneFrom]]=0,0,IF(Tasks[[#This Row],[Progress]]&gt;=1,Tasks[[#This Row],[Finish]],MAX(Tasks[[#This Row],[_DoneFrom]],Tasks[[#This Row],[Start]]+ROUND((Tasks[[#This Row],[Finish]]-Tasks[[#This Row],[Start]]+1)*Tasks[[#This Row],[Progress]],0)-1)))</f>
        <v/>
      </c>
      <c r="GW71" s="88">
        <f>IF(Tasks[[#This Row],[Task Name]]="",0,IF(OR(NOT(Tasks[[#This Row],[_IsLeaf]]=1),Tasks[[#This Row],[_IsMilestone]],N(Tasks[[#This Row],[Progress]])&gt;=1),0,IF(Tasks[[#This Row],[_DoneTo]]&gt;0,Tasks[[#This Row],[_DoneTo]]+1,Tasks[[#This Row],[Start]])))</f>
        <v/>
      </c>
      <c r="GX71" s="88">
        <f>IF(Tasks[[#This Row],[_RemFrom]]=0,0,Tasks[[#This Row],[Finish]])</f>
        <v/>
      </c>
      <c r="GY71" s="42">
        <f>IF(Tasks[[#This Row],[Task Name]]="",FALSE(),OR(NOT(BaselineSet),N(Tasks[[#This Row],[Baseline Start]])&gt;0))</f>
        <v/>
      </c>
      <c r="GZ71" s="42">
        <f>IF(AND(Sandbox="Yes",L_PARSE_DURATION(Tasks[[#This Row],[Sandbox Duration]])&lt;&gt;""),L_PARSE_DURATION(Tasks[[#This Row],[Sandbox Duration]]),L_PARSE_DURATION(Tasks[[#This Row],[Duration]]))</f>
        <v/>
      </c>
      <c r="HA7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1" s="42">
        <f>IF(Tasks[[#This Row],[_IsLeaf]]=1,Tasks[[#This Row],[_Row]],"")</f>
        <v/>
      </c>
      <c r="HD71" s="42">
        <f>IFERROR(INDEX(Tasks[UID],SMALL(Tasks[_PickKey],Tasks[[#This Row],[_Row]]))&amp;" "&amp;INDEX(Tasks[Task Name],SMALL(Tasks[_PickKey],Tasks[[#This Row],[_Row]])),"")</f>
        <v/>
      </c>
      <c r="HE71" s="42">
        <f>IF(Tasks[[#This Row],[Task Name]]="","",IF(Tasks[[#This Row],[_IsSummary]],NETWORKDAYS.INTL(Tasks[[#This Row],[Start]],Tasks[[#This Row],[Finish]],WorkWeek,Holidays),N(Tasks[[#This Row],[_Days]])))</f>
        <v/>
      </c>
      <c r="HF71" s="42">
        <f>IF(Tasks[[#This Row],[Expected]]="",0,((Tasks[[#This Row],[Pessimistic]]-Tasks[[#This Row],[Optimistic]])/6)^2)</f>
        <v/>
      </c>
      <c r="HG71" s="42">
        <f>IF(Tasks[[#This Row],[Expected]]="",0,Tasks[[#This Row],[Expected]]-N(Tasks[[#This Row],[_Days]]))</f>
        <v/>
      </c>
    </row>
    <row r="72">
      <c r="A72" s="21">
        <f>IF(Tasks[[#This Row],[Task Name]]="","",COUNTA(Tasks[[#Headers],[Task Name]]:Tasks[[#This Row],[Task Name]])-1)</f>
        <v/>
      </c>
      <c r="B72" s="22" t="n">
        <v>80</v>
      </c>
      <c r="C72" s="22" t="n"/>
      <c r="D72" s="23" t="n"/>
      <c r="E72" s="22" t="n"/>
      <c r="F72" s="23" t="n"/>
      <c r="G72" s="22" t="n"/>
      <c r="H72" s="22" t="n"/>
      <c r="I72" s="23" t="n"/>
      <c r="J72" s="22" t="n"/>
      <c r="K72" s="22" t="n"/>
      <c r="L72" s="23" t="n"/>
      <c r="M72" s="22" t="n"/>
      <c r="N72" s="22" t="n"/>
      <c r="O72" s="23" t="n"/>
      <c r="P72" s="22" t="n"/>
      <c r="Q72" s="22" t="n"/>
      <c r="R72" s="23" t="n"/>
      <c r="S72" s="23" t="n"/>
      <c r="T72" s="82" t="n"/>
      <c r="U72" s="23" t="n"/>
      <c r="V72" s="82" t="n"/>
      <c r="W72" s="23" t="n"/>
      <c r="X72" s="82" t="n"/>
      <c r="Y72" s="23" t="n"/>
      <c r="Z72" s="82" t="n"/>
      <c r="AA72" s="23" t="n"/>
      <c r="AB72" s="23" t="n"/>
      <c r="AC72" s="7" t="n"/>
      <c r="AD72" s="7" t="n"/>
      <c r="AE72" s="61">
        <f>IF(Tasks[[#This Row],[Task Name]]="","",IF(Tasks[[#This Row],[_IsSummary]],MIN(INDEX(Tasks[_ShownFcstStart],Tasks[[#This Row],[_Row]]+1):INDEX(Tasks[_ShownFcstStart],Tasks[[#This Row],[_Row]]+Tasks[[#This Row],[_Descendants]])),Tasks[[#This Row],[_ShownFcstStart]]))</f>
        <v/>
      </c>
      <c r="AF72" s="61">
        <f>IF(Tasks[[#This Row],[Task Name]]="","",IF(Tasks[[#This Row],[_IsSummary]],MAX(INDEX(Tasks[_ShownFcstFinish],Tasks[[#This Row],[_Row]]+1):INDEX(Tasks[_ShownFcstFinish],Tasks[[#This Row],[_Row]]+Tasks[[#This Row],[_Descendants]])),Tasks[[#This Row],[_ShownFcstFinish]]))</f>
        <v/>
      </c>
      <c r="AG72" s="21">
        <f>""</f>
        <v/>
      </c>
      <c r="AH72" s="23" t="n"/>
      <c r="AI7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2" s="7" t="n"/>
      <c r="AK72" s="22" t="n"/>
      <c r="AL72" s="23" t="n"/>
      <c r="AM72" s="7" t="n"/>
      <c r="AN72" s="21">
        <f>IF(Tasks[[#This Row],[Task Name]]="","",IF(Tasks[[#This Row],[Finish]]&gt;=Tasks[[#This Row],[Planned Finish]],NETWORKDAYS.INTL(Tasks[[#This Row],[Planned Finish]],Tasks[[#This Row],[Finish]],WorkWeek,Holidays)-1,1-NETWORKDAYS.INTL(Tasks[[#This Row],[Finish]],Tasks[[#This Row],[Planned Finish]],WorkWeek,Holidays)))</f>
        <v/>
      </c>
      <c r="AO72" s="21">
        <f>IF(Tasks[[#This Row],[Task Name]]="","",IF(Tasks[[#This Row],[Progress]]&gt;=1,"Complete",IF(OR(N(Tasks[[#This Row],[Actual Start]])&gt;0,Tasks[[#This Row],[Progress]]&gt;0),IF(Tasks[[#This Row],[Finish Var]]&gt;0,"Behind","In Progress"),IF(Tasks[[#This Row],[Planned Start]]&lt;StatusDate,"Late Start","Not Started"))))</f>
        <v/>
      </c>
      <c r="AP72" s="21">
        <f>IF(Tasks[[#This Row],[Task Name]]="","",IF(IF(Tasks[[#This Row],[_IsSummary]],COUNTIF(INDEX(Tasks[_LeafCritical],Tasks[[#This Row],[_Row]]+1):INDEX(Tasks[_LeafCritical],Tasks[[#This Row],[_Row]]+Tasks[[#This Row],[_Descendants]]),TRUE())&gt;0,Tasks[[#This Row],[_LeafCritical]]),"Yes",""))</f>
        <v/>
      </c>
      <c r="AQ72" s="61">
        <f>IF(Tasks[[#This Row],[Task Name]]="","",IF(N(Tasks[[#This Row],[Baseline Start]])&gt;0,Tasks[[#This Row],[Baseline Start]],Tasks[[#This Row],[_CalcStart]]))</f>
        <v/>
      </c>
      <c r="AR72" s="61">
        <f>IF(Tasks[[#This Row],[Task Name]]="","",IF(N(Tasks[[#This Row],[Baseline Finish]])&gt;0,Tasks[[#This Row],[Baseline Finish]],Tasks[[#This Row],[_CalcFinish]]))</f>
        <v/>
      </c>
      <c r="AS72" s="21">
        <f>IF(Tasks[[#This Row],[Task Name]]="","",IF(Tasks[[#This Row],[Start]]&gt;=Tasks[[#This Row],[Planned Start]],NETWORKDAYS.INTL(Tasks[[#This Row],[Planned Start]],Tasks[[#This Row],[Start]],WorkWeek,Holidays)-1,1-NETWORKDAYS.INTL(Tasks[[#This Row],[Start]],Tasks[[#This Row],[Planned Start]],WorkWeek,Holidays)))</f>
        <v/>
      </c>
      <c r="AT72" s="61">
        <f>IF(Tasks[[#This Row],[Task Name]]="","",IF(Tasks[[#This Row],[_IsSummary]],MIN(INDEX(Tasks[_LeafLateStart],Tasks[[#This Row],[_Row]]+1):INDEX(Tasks[_LeafLateStart],Tasks[[#This Row],[_Row]]+Tasks[[#This Row],[_Descendants]])),Tasks[[#This Row],[_LeafLateStart]]))</f>
        <v/>
      </c>
      <c r="AU72" s="61">
        <f>IF(Tasks[[#This Row],[Task Name]]="","",IF(Tasks[[#This Row],[_IsSummary]],MAX(INDEX(Tasks[_LeafLateFinish],Tasks[[#This Row],[_Row]]+1):INDEX(Tasks[_LeafLateFinish],Tasks[[#This Row],[_Row]]+Tasks[[#This Row],[_Descendants]])),Tasks[[#This Row],[_LeafLateFinish]]))</f>
        <v/>
      </c>
      <c r="AV72" s="21">
        <f>IF(Tasks[[#This Row],[Task Name]]="","",IF(Tasks[[#This Row],[_IsSummary]],MIN(INDEX(Tasks[_LeafTotalSlack],Tasks[[#This Row],[_Row]]+1):INDEX(Tasks[_LeafTotalSlack],Tasks[[#This Row],[_Row]]+Tasks[[#This Row],[_Descendants]])),Tasks[[#This Row],[_LeafTotalSlack]]))</f>
        <v/>
      </c>
      <c r="AW7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3" t="n"/>
      <c r="BA7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f>IF(Tasks[[#This Row],[Task Name]]="","",IF(Tasks[[#This Row],[_Level]]&lt;=OutlineShowLevel,"Yes","No"))</f>
        <v/>
      </c>
      <c r="BE72" s="84">
        <f>IF(Tasks[[#This Row],[Task Name]]="","",IF(Tasks[[#This Row],[_IsSummary]],SUM(INDEX(Tasks[_LeafTotalWork],Tasks[[#This Row],[_Row]]+1):INDEX(Tasks[_LeafTotalWork],Tasks[[#This Row],[_Row]]+Tasks[[#This Row],[_Descendants]])),Tasks[[#This Row],[_LeafTotalWork]]))</f>
        <v/>
      </c>
      <c r="BF72" s="23" t="n"/>
      <c r="BG7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f>""</f>
        <v/>
      </c>
      <c r="BI72" s="85" t="n"/>
      <c r="BJ72" s="22" t="n"/>
      <c r="BK72" s="21">
        <f>IF(OR(Tasks[[#This Row],[Task Name]]="",Tasks[[#This Row],[Baseline Duration]]=""),"",Tasks[[#This Row],[_SpanDays]]-N(Tasks[[#This Row],[Baseline Duration]]))</f>
        <v/>
      </c>
      <c r="BL72" s="84">
        <f>IF(OR(Tasks[[#This Row],[Task Name]]="",Tasks[[#This Row],[Baseline Work]]=""),"",Tasks[[#This Row],[Work]]-N(Tasks[[#This Row],[Baseline Work]]))</f>
        <v/>
      </c>
      <c r="BM72" s="61">
        <f>IF(Tasks[[#This Row],[Task Name]]="","",IF(OR(TakeBaseline="Yes",N(Tasks[[#This Row],[Baseline Start]])=0),Tasks[[#This Row],[Start]],Tasks[[#This Row],[Baseline Start]]))</f>
        <v/>
      </c>
      <c r="BN72" s="61">
        <f>IF(Tasks[[#This Row],[Task Name]]="","",IF(OR(TakeBaseline="Yes",N(Tasks[[#This Row],[Baseline Finish]])=0),Tasks[[#This Row],[Finish]],Tasks[[#This Row],[Baseline Finish]]))</f>
        <v/>
      </c>
      <c r="BO72" s="21">
        <f>IF(Tasks[[#This Row],[Task Name]]="","",IF(OR(TakeBaseline="Yes",N(Tasks[[#This Row],[Baseline Duration]])=0),Tasks[[#This Row],[_SpanDays]],Tasks[[#This Row],[Baseline Duration]]))</f>
        <v/>
      </c>
      <c r="BP72" s="84">
        <f>IF(Tasks[[#This Row],[Task Name]]="","",IF(OR(TakeBaseline="Yes",N(Tasks[[#This Row],[Baseline Work]])=0),Tasks[[#This Row],[Work]],Tasks[[#This Row],[Baseline Work]]))</f>
        <v/>
      </c>
      <c r="BQ72" s="7" t="n"/>
      <c r="BR72" s="7" t="n"/>
      <c r="BS72" s="22" t="n"/>
      <c r="BT72" s="86" t="n"/>
      <c r="BU72" s="23" t="n"/>
      <c r="BV72" s="23" t="n"/>
      <c r="BW72" s="23" t="n"/>
      <c r="BX72" s="87">
        <f>IF(AND(Tasks[[#This Row],[_IsLeaf]]=1,ISNUMBER(Tasks[[#This Row],[Optimistic]]),ISNUMBER(Tasks[[#This Row],[Pessimistic]])),ROUND((Tasks[[#This Row],[Optimistic]]+4*N(Tasks[[#This Row],[_Days]])+Tasks[[#This Row],[Pessimistic]])/6,1),"")</f>
        <v/>
      </c>
      <c r="BY72" s="85" t="n"/>
      <c r="BZ72" s="85" t="n"/>
      <c r="CA72" s="22" t="n"/>
      <c r="CB72" s="42">
        <f>IF(Tasks[[#This Row],[Task Name]]="","",MAX(1,N(Tasks[[#This Row],[Level]])))</f>
        <v/>
      </c>
      <c r="CC72" s="42">
        <f>ROW()-ROW(Tasks[[#Headers],[ID]])</f>
        <v/>
      </c>
      <c r="CD72" s="42">
        <f>IF(OR(Tasks[[#This Row],[Task Name]]="",Tasks[[#This Row],[_Level]]&lt;=1),0,IFERROR(LOOKUP(2,1/(Tasks[[#Headers],[_Level]]:Tasks[[#This Row],[_Level]]=Tasks[[#This Row],[_Level]]-1),ROW(Tasks[[#Headers],[_Level]]:Tasks[[#This Row],[_Level]])),0))</f>
        <v/>
      </c>
      <c r="CE72" s="42">
        <f>IFERROR(N(INDEX(Tasks[_Level],Tasks[[#This Row],[_Row]]+1)),0)</f>
        <v/>
      </c>
      <c r="CF72" s="42">
        <f>AND(Tasks[[#This Row],[Task Name]]&lt;&gt;"",Tasks[[#This Row],[_NextLevel]]&gt;Tasks[[#This Row],[_Level]])</f>
        <v/>
      </c>
      <c r="CG72" s="42">
        <f>IF(Tasks[[#This Row],[_IsSummary]],COUNTIF(Tasks[WBS],Tasks[[#This Row],[WBS]]&amp;".*"),0)</f>
        <v/>
      </c>
      <c r="CH72" s="42">
        <f>IF(AND(Tasks[[#This Row],[Task Name]]&lt;&gt;"",NOT(Tasks[[#This Row],[_IsSummary]])),1,0)</f>
        <v/>
      </c>
      <c r="CI72" s="42">
        <f>IF(N(Tasks[[#This Row],[_Pred1UID]])=0,0,IFERROR(MATCH(Tasks[[#This Row],[_Pred1UID]],Tasks[UID],0),-1))</f>
        <v/>
      </c>
      <c r="CJ72" s="42">
        <f>IF(N(Tasks[[#This Row],[_Pred2UID]])=0,0,IFERROR(MATCH(Tasks[[#This Row],[_Pred2UID]],Tasks[UID],0),-1))</f>
        <v/>
      </c>
      <c r="CK72" s="42">
        <f>IF(N(Tasks[[#This Row],[_Pred3UID]])=0,0,IFERROR(MATCH(Tasks[[#This Row],[_Pred3UID]],Tasks[UID],0),-1))</f>
        <v/>
      </c>
      <c r="CL72" s="42">
        <f>IF(N(Tasks[[#This Row],[_Pred4UID]])=0,0,IFERROR(MATCH(Tasks[[#This Row],[_Pred4UID]],Tasks[UID],0),-1))</f>
        <v/>
      </c>
      <c r="CM7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2" s="88">
        <f>IF(N(Tasks[[#This Row],[Constraint Date]])=0,0,IF(AND(OR(Tasks[[#This Row],[_ConstraintCode]]=3,Tasks[[#This Row],[_ConstraintCode]]=6,Tasks[[#This Row],[_ConstraintCode]]=7),N(Tasks[[#This Row],[_Days]])&gt;1),WORKDAY.INTL(N(Tasks[[#This Row],[Constraint Date]]),-(N(Tasks[[#This Row],[_Days]])-1),WorkWeek,Holidays),N(Tasks[[#This Row],[Constraint Date]])))</f>
        <v/>
      </c>
      <c r="CO72" s="88">
        <f>IF(OR(Tasks[[#This Row],[_ConstraintCode]]=2,Tasks[[#This Row],[_ConstraintCode]]=3,Tasks[[#This Row],[_ConstraintCode]]=4,Tasks[[#This Row],[_ConstraintCode]]=6),Tasks[[#This Row],[_ConstraintStart]],0)</f>
        <v/>
      </c>
      <c r="CP72" s="88">
        <f>IF(OR(Tasks[[#This Row],[_ConstraintCode]]=2,Tasks[[#This Row],[_ConstraintCode]]=3,Tasks[[#This Row],[_ConstraintCode]]=5,Tasks[[#This Row],[_ConstraintCode]]=7),Tasks[[#This Row],[_ConstraintStart]],2958465)</f>
        <v/>
      </c>
      <c r="CQ7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2" s="88">
        <f>IF(NOT(Tasks[[#This Row],[_IsLeaf]]=1),"",IF(N(Tasks[[#This Row],[_Days]])&lt;=0,Tasks[[#This Row],[_LeafCalcStart]],WORKDAY.INTL(Tasks[[#This Row],[_LeafCalcStart]],Tasks[[#This Row],[_Days]]-1,WorkWeek,Holidays)))</f>
        <v/>
      </c>
      <c r="CS7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2" s="42">
        <f>IF(Tasks[[#This Row],[_Predecessors]]="","",TRIM(MID(SUBSTITUTE(SUBSTITUTE(SUBSTITUTE(UPPER(Tasks[[#This Row],[_Predecessors]]),";",",")," ",""),",",REPT(" ",99)),1,99)))</f>
        <v/>
      </c>
      <c r="CV72" s="42">
        <f>IF(Tasks[[#This Row],[_Pred1Text]]="","",IFERROR(VALUE(LEFT(Tasks[[#This Row],[_Pred1Text]],MIN(FIND("F",Tasks[[#This Row],[_Pred1Text]]&amp;"F"),FIND("S",Tasks[[#This Row],[_Pred1Text]]&amp;"S"),FIND("+",Tasks[[#This Row],[_Pred1Text]]&amp;"+"),FIND("-",Tasks[[#This Row],[_Pred1Text]]&amp;"-"))-1)),""))</f>
        <v/>
      </c>
      <c r="CW7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2" s="42">
        <f>IF(Tasks[[#This Row],[_Pred1Text]]="","",TRIM(MID(SUBSTITUTE(SUBSTITUTE(SUBSTITUTE(UPPER(Tasks[[#This Row],[_Predecessors]]),";",",")," ",""),",",REPT(" ",99)),100,99)))</f>
        <v/>
      </c>
      <c r="CZ72" s="42">
        <f>IF(Tasks[[#This Row],[_Pred2Text]]="","",IFERROR(VALUE(LEFT(Tasks[[#This Row],[_Pred2Text]],MIN(FIND("F",Tasks[[#This Row],[_Pred2Text]]&amp;"F"),FIND("S",Tasks[[#This Row],[_Pred2Text]]&amp;"S"),FIND("+",Tasks[[#This Row],[_Pred2Text]]&amp;"+"),FIND("-",Tasks[[#This Row],[_Pred2Text]]&amp;"-"))-1)),""))</f>
        <v/>
      </c>
      <c r="DA7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2" s="42">
        <f>IF(Tasks[[#This Row],[_Pred2Text]]="","",TRIM(MID(SUBSTITUTE(SUBSTITUTE(SUBSTITUTE(UPPER(Tasks[[#This Row],[_Predecessors]]),";",",")," ",""),",",REPT(" ",99)),199,99)))</f>
        <v/>
      </c>
      <c r="DD72" s="42">
        <f>IF(Tasks[[#This Row],[_Pred3Text]]="","",IFERROR(VALUE(LEFT(Tasks[[#This Row],[_Pred3Text]],MIN(FIND("F",Tasks[[#This Row],[_Pred3Text]]&amp;"F"),FIND("S",Tasks[[#This Row],[_Pred3Text]]&amp;"S"),FIND("+",Tasks[[#This Row],[_Pred3Text]]&amp;"+"),FIND("-",Tasks[[#This Row],[_Pred3Text]]&amp;"-"))-1)),""))</f>
        <v/>
      </c>
      <c r="DE7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2" s="42">
        <f>IF(Tasks[[#This Row],[_Pred3Text]]="","",TRIM(MID(SUBSTITUTE(SUBSTITUTE(SUBSTITUTE(UPPER(Tasks[[#This Row],[_Predecessors]]),";",",")," ",""),",",REPT(" ",99)),298,99)))</f>
        <v/>
      </c>
      <c r="DH72" s="42">
        <f>IF(Tasks[[#This Row],[_Pred4Text]]="","",IFERROR(VALUE(LEFT(Tasks[[#This Row],[_Pred4Text]],MIN(FIND("F",Tasks[[#This Row],[_Pred4Text]]&amp;"F"),FIND("S",Tasks[[#This Row],[_Pred4Text]]&amp;"S"),FIND("+",Tasks[[#This Row],[_Pred4Text]]&amp;"+"),FIND("-",Tasks[[#This Row],[_Pred4Text]]&amp;"-"))-1)),""))</f>
        <v/>
      </c>
      <c r="DI7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2" s="42">
        <f>IF(OR(Tasks[[#This Row],[Task Name]]="",Tasks[[#This Row],[_Resources]]=""),"",TRIM(MID(SUBSTITUTE(Tasks[[#This Row],[_Resources]],",",REPT(" ",99)),1,99)))</f>
        <v/>
      </c>
      <c r="DL72" s="42">
        <f>IF(Tasks[[#This Row],[_Res1Text]]="","",TRIM(MID(SUBSTITUTE(Tasks[[#This Row],[_Resources]],",",REPT(" ",99)),100,99)))</f>
        <v/>
      </c>
      <c r="DM72" s="42">
        <f>IF(Tasks[[#This Row],[_Res2Text]]="","",TRIM(MID(SUBSTITUTE(Tasks[[#This Row],[_Resources]],",",REPT(" ",99)),199,99)))</f>
        <v/>
      </c>
      <c r="DN72" s="42">
        <f>IF(Tasks[[#This Row],[_Res3Text]]="","",TRIM(MID(SUBSTITUTE(Tasks[[#This Row],[_Resources]],",",REPT(" ",99)),298,99)))</f>
        <v/>
      </c>
      <c r="DO72" s="42">
        <f>IF(Tasks[[#This Row],[_Res1Text]]="",0,IFERROR(MATCH(TRIM(LEFT(Tasks[[#This Row],[_Res1Text]],FIND("[",Tasks[[#This Row],[_Res1Text]]&amp;"[")-1)),res_Name,0),IFERROR(MATCH(TRIM(LEFT(Tasks[[#This Row],[_Res1Text]],FIND("[",Tasks[[#This Row],[_Res1Text]]&amp;"[")-1)),res_Initials,0),0)))</f>
        <v/>
      </c>
      <c r="DP72" s="42">
        <f>IF(Tasks[[#This Row],[_Res2Text]]="",0,IFERROR(MATCH(TRIM(LEFT(Tasks[[#This Row],[_Res2Text]],FIND("[",Tasks[[#This Row],[_Res2Text]]&amp;"[")-1)),res_Name,0),IFERROR(MATCH(TRIM(LEFT(Tasks[[#This Row],[_Res2Text]],FIND("[",Tasks[[#This Row],[_Res2Text]]&amp;"[")-1)),res_Initials,0),0)))</f>
        <v/>
      </c>
      <c r="DQ72" s="42">
        <f>IF(Tasks[[#This Row],[_Res3Text]]="",0,IFERROR(MATCH(TRIM(LEFT(Tasks[[#This Row],[_Res3Text]],FIND("[",Tasks[[#This Row],[_Res3Text]]&amp;"[")-1)),res_Name,0),IFERROR(MATCH(TRIM(LEFT(Tasks[[#This Row],[_Res3Text]],FIND("[",Tasks[[#This Row],[_Res3Text]]&amp;"[")-1)),res_Initials,0),0)))</f>
        <v/>
      </c>
      <c r="DR72" s="42">
        <f>IF(Tasks[[#This Row],[_Res4Text]]="",0,IFERROR(MATCH(TRIM(LEFT(Tasks[[#This Row],[_Res4Text]],FIND("[",Tasks[[#This Row],[_Res4Text]]&amp;"[")-1)),res_Name,0),IFERROR(MATCH(TRIM(LEFT(Tasks[[#This Row],[_Res4Text]],FIND("[",Tasks[[#This Row],[_Res4Text]]&amp;"[")-1)),res_Initials,0),0)))</f>
        <v/>
      </c>
      <c r="DS72" s="42">
        <f>IF(Tasks[[#This Row],[_Res1Text]]="","",IF(Tasks[[#This Row],[_Res1Row]]&gt;0,INDEX(res_Name,Tasks[[#This Row],[_Res1Row]]),TRIM(LEFT(Tasks[[#This Row],[_Res1Text]],FIND("[",Tasks[[#This Row],[_Res1Text]]&amp;"[")-1))))</f>
        <v/>
      </c>
      <c r="DT7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2" s="42">
        <f>IF(NOT(Tasks[[#This Row],[_IsLeaf]]=1),0,(Tasks[[#This Row],[_Resource1]]&lt;&gt;"")+(Tasks[[#This Row],[_Res2]]&lt;&gt;"")+(Tasks[[#This Row],[_Res3]]&lt;&gt;"")+(Tasks[[#This Row],[_Res4]]&lt;&gt;""))</f>
        <v/>
      </c>
      <c r="DV72" s="42">
        <f>IF(Tasks[[#This Row],[_Res2Text]]="","",IF(Tasks[[#This Row],[_Res2Row]]&gt;0,INDEX(res_Name,Tasks[[#This Row],[_Res2Row]]),TRIM(LEFT(Tasks[[#This Row],[_Res2Text]],FIND("[",Tasks[[#This Row],[_Res2Text]]&amp;"[")-1))))</f>
        <v/>
      </c>
      <c r="DW7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2" s="42">
        <f>IF(OR(NOT(Tasks[[#This Row],[_IsLeaf]]=1),Tasks[[#This Row],[_Res2Row]]=0),0,N(Tasks[[#This Row],[_Days]])*HoursPerDay*IF(Tasks[[#This Row],[_Res2Units]]="",DefaultUnits,Tasks[[#This Row],[_Res2Units]]))</f>
        <v/>
      </c>
      <c r="DY72" s="42">
        <f>IF(AND(AND(Tasks[[#This Row],[_IsLeaf]]=1,Tasks[[#This Row],[_LeafTotalWork]]&gt;0),Tasks[[#This Row],[_Res2Work]]&gt;0),Tasks[[#This Row],[_Res2Work]]/(Tasks[[#This Row],[_FinishWorkday]]-Tasks[[#This Row],[_StartWorkday]]+1),0)</f>
        <v/>
      </c>
      <c r="DZ72" s="42">
        <f>Tasks[[#This Row],[_Res2WorkPerWD]]*MAX(0,Tasks[[#This Row],[_StartWorkday]]-1)</f>
        <v/>
      </c>
      <c r="EA72" s="42">
        <f>Tasks[[#This Row],[_Res2Work]]*Tasks[[#This Row],[_LeafProgress]]</f>
        <v/>
      </c>
      <c r="EB72" s="42">
        <f>IF(Tasks[[#This Row],[_Res3Text]]="","",IF(Tasks[[#This Row],[_Res3Row]]&gt;0,INDEX(res_Name,Tasks[[#This Row],[_Res3Row]]),TRIM(LEFT(Tasks[[#This Row],[_Res3Text]],FIND("[",Tasks[[#This Row],[_Res3Text]]&amp;"[")-1))))</f>
        <v/>
      </c>
      <c r="EC7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2" s="42">
        <f>IF(OR(NOT(Tasks[[#This Row],[_IsLeaf]]=1),Tasks[[#This Row],[_Res3Row]]=0),0,N(Tasks[[#This Row],[_Days]])*HoursPerDay*IF(Tasks[[#This Row],[_Res3Units]]="",DefaultUnits,Tasks[[#This Row],[_Res3Units]]))</f>
        <v/>
      </c>
      <c r="EE72" s="42">
        <f>IF(AND(AND(Tasks[[#This Row],[_IsLeaf]]=1,Tasks[[#This Row],[_LeafTotalWork]]&gt;0),Tasks[[#This Row],[_Res3Work]]&gt;0),Tasks[[#This Row],[_Res3Work]]/(Tasks[[#This Row],[_FinishWorkday]]-Tasks[[#This Row],[_StartWorkday]]+1),0)</f>
        <v/>
      </c>
      <c r="EF72" s="42">
        <f>Tasks[[#This Row],[_Res3WorkPerWD]]*MAX(0,Tasks[[#This Row],[_StartWorkday]]-1)</f>
        <v/>
      </c>
      <c r="EG72" s="42">
        <f>Tasks[[#This Row],[_Res3Work]]*Tasks[[#This Row],[_LeafProgress]]</f>
        <v/>
      </c>
      <c r="EH72" s="42">
        <f>IF(Tasks[[#This Row],[_Res4Text]]="","",IF(Tasks[[#This Row],[_Res4Row]]&gt;0,INDEX(res_Name,Tasks[[#This Row],[_Res4Row]]),TRIM(LEFT(Tasks[[#This Row],[_Res4Text]],FIND("[",Tasks[[#This Row],[_Res4Text]]&amp;"[")-1))))</f>
        <v/>
      </c>
      <c r="EI7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2" s="42">
        <f>IF(OR(NOT(Tasks[[#This Row],[_IsLeaf]]=1),Tasks[[#This Row],[_Res4Row]]=0),0,N(Tasks[[#This Row],[_Days]])*HoursPerDay*IF(Tasks[[#This Row],[_Res4Units]]="",DefaultUnits,Tasks[[#This Row],[_Res4Units]]))</f>
        <v/>
      </c>
      <c r="EK72" s="42">
        <f>IF(AND(AND(Tasks[[#This Row],[_IsLeaf]]=1,Tasks[[#This Row],[_LeafTotalWork]]&gt;0),Tasks[[#This Row],[_Res4Work]]&gt;0),Tasks[[#This Row],[_Res4Work]]/(Tasks[[#This Row],[_FinishWorkday]]-Tasks[[#This Row],[_StartWorkday]]+1),0)</f>
        <v/>
      </c>
      <c r="EL72" s="42">
        <f>Tasks[[#This Row],[_Res4WorkPerWD]]*MAX(0,Tasks[[#This Row],[_StartWorkday]]-1)</f>
        <v/>
      </c>
      <c r="EM72" s="42">
        <f>Tasks[[#This Row],[_Res4Work]]*Tasks[[#This Row],[_LeafProgress]]</f>
        <v/>
      </c>
      <c r="EN72" s="42">
        <f>IF(ISNUMBER(Tasks[[#This Row],[% Complete]]),Tasks[[#This Row],[% Complete]],IF(Tasks[[#This Row],[Stage]]="",0,IFERROR(INDEX(stg_Pct,MATCH(Tasks[[#This Row],[Stage]],stg_Name,0)),0)))</f>
        <v/>
      </c>
      <c r="EO72" s="42">
        <f>IF(NOT(Tasks[[#This Row],[_IsLeaf]]=1),0,IF(N(Tasks[[#This Row],[Actual Finish]])&gt;0,1,MIN(1,Tasks[[#This Row],[_Pct]])))</f>
        <v/>
      </c>
      <c r="EP72" s="42">
        <f>IF(OR(NOT(Tasks[[#This Row],[_IsLeaf]]=1),Tasks[[#This Row],[_Res1Row]]=0),0,N(Tasks[[#This Row],[_Days]])*HoursPerDay*IF(Tasks[[#This Row],[_Units1]]="",DefaultUnits,Tasks[[#This Row],[_Units1]]))</f>
        <v/>
      </c>
      <c r="EQ72" s="42">
        <f>Tasks[[#This Row],[_LeafWork]]+Tasks[[#This Row],[_Res2Work]]+Tasks[[#This Row],[_Res3Work]]+Tasks[[#This Row],[_Res4Work]]</f>
        <v/>
      </c>
      <c r="ER7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2" s="42">
        <f>IF(NOT(Tasks[[#This Row],[_IsLeaf]]=1),0,MAX(_xlfn.MAXIFS(Tasks[_Row],Tasks[_Pred1UID],Tasks[[#This Row],[UID]]),_xlfn.MAXIFS(Tasks[_Row],Tasks[_Pred2UID],Tasks[[#This Row],[UID]]),_xlfn.MAXIFS(Tasks[_Row],Tasks[_Pred3UID],Tasks[[#This Row],[UID]]),_xlfn.MAXIFS(Tasks[_Row],Tasks[_Pred4UID],Tasks[[#This Row],[UID]])))</f>
        <v/>
      </c>
      <c r="FA7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2" s="88">
        <f>IF(NOT(Tasks[[#This Row],[_IsLeaf]]=1),"",IF(N(Tasks[[#This Row],[_Days]])&lt;=0,Tasks[[#This Row],[_LeafLateFinish]],WORKDAY.INTL(Tasks[[#This Row],[_LeafLateFinish]],-(Tasks[[#This Row],[_Days]]-1),WorkWeek,Holidays)))</f>
        <v/>
      </c>
      <c r="FD7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2" s="42">
        <f>AND(Tasks[[#This Row],[_IsLeaf]]=1,Tasks[[#This Row],[_LeafProgress]]&lt;1,N(Tasks[[#This Row],[_LeafTotalSlack]])&lt;=CriticalSlackDays)</f>
        <v/>
      </c>
      <c r="FF72" s="42">
        <f>IF(AND(Tasks[[#This Row],[_IsLeaf]]=1,Tasks[[#This Row],[_ConstraintCode]]=1,Tasks[[#This Row],[Mode]]&lt;&gt;"Manual",N(Tasks[[#This Row],[Actual Start]])=0),MAX(0,N(Tasks[[#This Row],[Free Slack]])),0)</f>
        <v/>
      </c>
      <c r="FG72" s="88">
        <f>IF(NOT(Tasks[[#This Row],[_IsLeaf]]=1),"",IF(Tasks[[#This Row],[_AlapShift]]=0,Tasks[[#This Row],[_LeafCalcStart]],WORKDAY.INTL(Tasks[[#This Row],[_LeafCalcStart]],Tasks[[#This Row],[_AlapShift]],WorkWeek,Holidays)))</f>
        <v/>
      </c>
      <c r="FH72" s="88">
        <f>IF(NOT(Tasks[[#This Row],[_IsLeaf]]=1),"",IF(Tasks[[#This Row],[_AlapShift]]=0,Tasks[[#This Row],[_LeafCalcFinish]],WORKDAY.INTL(Tasks[[#This Row],[_LeafCalcFinish]],Tasks[[#This Row],[_AlapShift]],WorkWeek,Holidays)))</f>
        <v/>
      </c>
      <c r="FI72" s="88">
        <f>IF(NOT(Tasks[[#This Row],[_IsLeaf]]=1),"",IF(Tasks[[#This Row],[_AlapShift]]=0,Tasks[[#This Row],[_LeafFcstStart]],WORKDAY.INTL(Tasks[[#This Row],[_LeafFcstStart]],Tasks[[#This Row],[_AlapShift]],WorkWeek,Holidays)))</f>
        <v/>
      </c>
      <c r="FJ72" s="88">
        <f>IF(NOT(Tasks[[#This Row],[_IsLeaf]]=1),"",IF(Tasks[[#This Row],[_AlapShift]]=0,Tasks[[#This Row],[_LeafFcstFinish]],WORKDAY.INTL(Tasks[[#This Row],[_LeafFcstFinish]],Tasks[[#This Row],[_AlapShift]],WorkWeek,Holidays)))</f>
        <v/>
      </c>
      <c r="FK72" s="88">
        <f>IF(Tasks[[#This Row],[Task Name]]="","",IF(Tasks[[#This Row],[_IsSummary]],MIN(INDEX(Tasks[_ShownCalcStart],Tasks[[#This Row],[_Row]]+1):INDEX(Tasks[_ShownCalcStart],Tasks[[#This Row],[_Row]]+Tasks[[#This Row],[_Descendants]])),Tasks[[#This Row],[_ShownCalcStart]]))</f>
        <v/>
      </c>
      <c r="FL72" s="88">
        <f>IF(Tasks[[#This Row],[Task Name]]="","",IF(Tasks[[#This Row],[_IsSummary]],MAX(INDEX(Tasks[_ShownCalcFinish],Tasks[[#This Row],[_Row]]+1):INDEX(Tasks[_ShownCalcFinish],Tasks[[#This Row],[_Row]]+Tasks[[#This Row],[_Descendants]])),Tasks[[#This Row],[_ShownCalcFinish]]))</f>
        <v/>
      </c>
      <c r="FM7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2" s="42">
        <f>IF(AND(Tasks[[#This Row],[_IsLeaf]]=1,Tasks[[#This Row],[_LeafTotalWork]]&gt;0),NETWORKDAYS.INTL(ProjectStart,Tasks[[#This Row],[_ShownFcstStart]],WorkWeek,Holidays),0)</f>
        <v/>
      </c>
      <c r="FZ72" s="42">
        <f>IF(AND(Tasks[[#This Row],[_IsLeaf]]=1,Tasks[[#This Row],[_LeafTotalWork]]&gt;0),MAX(Tasks[[#This Row],[_StartWorkday]],NETWORKDAYS.INTL(ProjectStart,Tasks[[#This Row],[_ShownFcstFinish]],WorkWeek,Holidays)),0)</f>
        <v/>
      </c>
      <c r="GA72" s="42">
        <f>IF(AND(Tasks[[#This Row],[_IsLeaf]]=1,Tasks[[#This Row],[_LeafTotalWork]]&gt;0),Tasks[[#This Row],[_LeafWork]]/(Tasks[[#This Row],[_FinishWorkday]]-Tasks[[#This Row],[_StartWorkday]]+1),0)</f>
        <v/>
      </c>
      <c r="GB72" s="42">
        <f>Tasks[[#This Row],[_WorkPerWorkday]]*(Tasks[[#This Row],[_StartWorkday]]-1)</f>
        <v/>
      </c>
      <c r="GC72" s="42">
        <f>IF(Tasks[[#This Row],[_IsLeaf]]=1,MAX(N(Tasks[[#This Row],[_Days]]),0.1),0)</f>
        <v/>
      </c>
      <c r="GD72" s="42">
        <f>Tasks[[#This Row],[_WeightDur]]*Tasks[[#This Row],[_LeafProgress]]</f>
        <v/>
      </c>
      <c r="GE72" s="42">
        <f>Tasks[[#This Row],[_WeightDur]]*Tasks[[#This Row],[_PlannedPct]]</f>
        <v/>
      </c>
      <c r="GF7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2" s="42">
        <f>IF(AND(Tasks[[#This Row],[_IsLeaf]]=1,N(Tasks[[#This Row],[_Days]])=0,Tasks[[#This Row],[_LeafProgress]]&lt;1),Tasks[[#This Row],[_ShownFcstFinish]]+Tasks[[#This Row],[_Row]]/100000,"")</f>
        <v/>
      </c>
      <c r="GH7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2" s="42">
        <f>IF(Tasks[[#This Row],[Task Name]]="","",LEFT(Tasks[[#This Row],[WBS]],FIND(".",Tasks[[#This Row],[WBS]]&amp;".")-1))</f>
        <v/>
      </c>
      <c r="GJ72" s="42">
        <f>IF(AND(Tasks[[#This Row],[Task Name]]&lt;&gt;"",Tasks[[#This Row],[_Level]]=1),Tasks[[#This Row],[_Row]],"")</f>
        <v/>
      </c>
      <c r="GK72" s="42">
        <f>IF(AND(Tasks[[#This Row],[_IsLeaf]]=1,N(Tasks[[#This Row],[_Days]])=0),Tasks[[#This Row],[Planned Finish]]+Tasks[[#This Row],[_Row]]/100000,"")</f>
        <v/>
      </c>
      <c r="GL72" s="42">
        <f>IF(AND(Tasks[[#This Row],[_IsLeaf]]=1,Tasks[[#This Row],[_LeafProgress]]&lt;1,OR(N(Tasks[[#This Row],[Finish Var]])&gt;0,Tasks[[#This Row],[Status]]="Late Start")),MAX(0,Tasks[[#This Row],[Finish Var]])+1-Tasks[[#This Row],[_Row]]/1000000,"")</f>
        <v/>
      </c>
      <c r="GM72" s="42">
        <f>IF(AND(Tasks[[#This Row],[_IsLeaf]]=1,N(Tasks[[#This Row],[Actual Start]])=0,Tasks[[#This Row],[_ShownFcstStart]]&gt;=StatusDate,Tasks[[#This Row],[_ShownFcstStart]]&lt;=LookaheadEnd),Tasks[[#This Row],[_ShownFcstStart]]+Tasks[[#This Row],[_Row]]/100000,"")</f>
        <v/>
      </c>
      <c r="GN72" s="42">
        <f>IF(AND(Tasks[[#This Row],[_IsLeaf]]=1,Tasks[[#This Row],[_LeafProgress]]&lt;1,Tasks[[#This Row],[_ShownFcstFinish]]&gt;=StatusDate,Tasks[[#This Row],[_ShownFcstFinish]]&lt;=LookaheadEnd),Tasks[[#This Row],[_ShownFcstFinish]]+Tasks[[#This Row],[_Row]]/100000,"")</f>
        <v/>
      </c>
      <c r="GO72" s="42">
        <f>IF(Tasks[[#This Row],[_LeafCritical]],Tasks[[#This Row],[_ShownFcstStart]]+Tasks[[#This Row],[_Row]]/100000,"")</f>
        <v/>
      </c>
      <c r="GP72" s="42">
        <f>Tasks[[#This Row],[_LeafWork]]*Tasks[[#This Row],[_LeafProgress]]</f>
        <v/>
      </c>
      <c r="GQ72" s="88">
        <f>IF(AND(Tasks[[#This Row],[_IsLeaf]]=1,Tasks[[#This Row],[_LeafProgress]]&gt;=1),IF(N(Tasks[[#This Row],[Actual Finish]])&gt;0,Tasks[[#This Row],[Actual Finish]],Tasks[[#This Row],[_ShownFcstFinish]]),"")</f>
        <v/>
      </c>
      <c r="GR72" s="42">
        <f>IF(Tasks[[#This Row],[_IsLeaf]]=1,N(Tasks[[#This Row],[Story Points]]),0)</f>
        <v/>
      </c>
      <c r="GS72" s="42">
        <f>""</f>
        <v/>
      </c>
      <c r="GT72" s="42">
        <f>IF(Tasks[[#This Row],[Task Name]]="",FALSE(),AND(Tasks[[#This Row],[_IsLeaf]]=1,N(Tasks[[#This Row],[_Days]])=0))</f>
        <v/>
      </c>
      <c r="GU72" s="88">
        <f>IF(Tasks[[#This Row],[Task Name]]="",0,IF(AND(Tasks[[#This Row],[_IsLeaf]]=1,NOT(Tasks[[#This Row],[_IsMilestone]]),N(Tasks[[#This Row],[Progress]])&gt;0),Tasks[[#This Row],[Start]],0))</f>
        <v/>
      </c>
      <c r="GV72" s="88">
        <f>IF(Tasks[[#This Row],[_DoneFrom]]=0,0,IF(Tasks[[#This Row],[Progress]]&gt;=1,Tasks[[#This Row],[Finish]],MAX(Tasks[[#This Row],[_DoneFrom]],Tasks[[#This Row],[Start]]+ROUND((Tasks[[#This Row],[Finish]]-Tasks[[#This Row],[Start]]+1)*Tasks[[#This Row],[Progress]],0)-1)))</f>
        <v/>
      </c>
      <c r="GW72" s="88">
        <f>IF(Tasks[[#This Row],[Task Name]]="",0,IF(OR(NOT(Tasks[[#This Row],[_IsLeaf]]=1),Tasks[[#This Row],[_IsMilestone]],N(Tasks[[#This Row],[Progress]])&gt;=1),0,IF(Tasks[[#This Row],[_DoneTo]]&gt;0,Tasks[[#This Row],[_DoneTo]]+1,Tasks[[#This Row],[Start]])))</f>
        <v/>
      </c>
      <c r="GX72" s="88">
        <f>IF(Tasks[[#This Row],[_RemFrom]]=0,0,Tasks[[#This Row],[Finish]])</f>
        <v/>
      </c>
      <c r="GY72" s="42">
        <f>IF(Tasks[[#This Row],[Task Name]]="",FALSE(),OR(NOT(BaselineSet),N(Tasks[[#This Row],[Baseline Start]])&gt;0))</f>
        <v/>
      </c>
      <c r="GZ72" s="42">
        <f>IF(AND(Sandbox="Yes",L_PARSE_DURATION(Tasks[[#This Row],[Sandbox Duration]])&lt;&gt;""),L_PARSE_DURATION(Tasks[[#This Row],[Sandbox Duration]]),L_PARSE_DURATION(Tasks[[#This Row],[Duration]]))</f>
        <v/>
      </c>
      <c r="HA7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2" s="42">
        <f>IF(Tasks[[#This Row],[_IsLeaf]]=1,Tasks[[#This Row],[_Row]],"")</f>
        <v/>
      </c>
      <c r="HD72" s="42">
        <f>IFERROR(INDEX(Tasks[UID],SMALL(Tasks[_PickKey],Tasks[[#This Row],[_Row]]))&amp;" "&amp;INDEX(Tasks[Task Name],SMALL(Tasks[_PickKey],Tasks[[#This Row],[_Row]])),"")</f>
        <v/>
      </c>
      <c r="HE72" s="42">
        <f>IF(Tasks[[#This Row],[Task Name]]="","",IF(Tasks[[#This Row],[_IsSummary]],NETWORKDAYS.INTL(Tasks[[#This Row],[Start]],Tasks[[#This Row],[Finish]],WorkWeek,Holidays),N(Tasks[[#This Row],[_Days]])))</f>
        <v/>
      </c>
      <c r="HF72" s="42">
        <f>IF(Tasks[[#This Row],[Expected]]="",0,((Tasks[[#This Row],[Pessimistic]]-Tasks[[#This Row],[Optimistic]])/6)^2)</f>
        <v/>
      </c>
      <c r="HG72" s="42">
        <f>IF(Tasks[[#This Row],[Expected]]="",0,Tasks[[#This Row],[Expected]]-N(Tasks[[#This Row],[_Days]]))</f>
        <v/>
      </c>
    </row>
    <row r="73">
      <c r="A73" s="21">
        <f>IF(Tasks[[#This Row],[Task Name]]="","",COUNTA(Tasks[[#Headers],[Task Name]]:Tasks[[#This Row],[Task Name]])-1)</f>
        <v/>
      </c>
      <c r="B73" s="22" t="n">
        <v>81</v>
      </c>
      <c r="C73" s="22" t="n"/>
      <c r="D73" s="23" t="n"/>
      <c r="E73" s="22" t="n"/>
      <c r="F73" s="23" t="n"/>
      <c r="G73" s="22" t="n"/>
      <c r="H73" s="22" t="n"/>
      <c r="I73" s="23" t="n"/>
      <c r="J73" s="22" t="n"/>
      <c r="K73" s="22" t="n"/>
      <c r="L73" s="23" t="n"/>
      <c r="M73" s="22" t="n"/>
      <c r="N73" s="22" t="n"/>
      <c r="O73" s="23" t="n"/>
      <c r="P73" s="22" t="n"/>
      <c r="Q73" s="22" t="n"/>
      <c r="R73" s="23" t="n"/>
      <c r="S73" s="23" t="n"/>
      <c r="T73" s="82" t="n"/>
      <c r="U73" s="23" t="n"/>
      <c r="V73" s="82" t="n"/>
      <c r="W73" s="23" t="n"/>
      <c r="X73" s="82" t="n"/>
      <c r="Y73" s="23" t="n"/>
      <c r="Z73" s="82" t="n"/>
      <c r="AA73" s="23" t="n"/>
      <c r="AB73" s="23" t="n"/>
      <c r="AC73" s="7" t="n"/>
      <c r="AD73" s="7" t="n"/>
      <c r="AE73" s="61">
        <f>IF(Tasks[[#This Row],[Task Name]]="","",IF(Tasks[[#This Row],[_IsSummary]],MIN(INDEX(Tasks[_ShownFcstStart],Tasks[[#This Row],[_Row]]+1):INDEX(Tasks[_ShownFcstStart],Tasks[[#This Row],[_Row]]+Tasks[[#This Row],[_Descendants]])),Tasks[[#This Row],[_ShownFcstStart]]))</f>
        <v/>
      </c>
      <c r="AF73" s="61">
        <f>IF(Tasks[[#This Row],[Task Name]]="","",IF(Tasks[[#This Row],[_IsSummary]],MAX(INDEX(Tasks[_ShownFcstFinish],Tasks[[#This Row],[_Row]]+1):INDEX(Tasks[_ShownFcstFinish],Tasks[[#This Row],[_Row]]+Tasks[[#This Row],[_Descendants]])),Tasks[[#This Row],[_ShownFcstFinish]]))</f>
        <v/>
      </c>
      <c r="AG73" s="21">
        <f>""</f>
        <v/>
      </c>
      <c r="AH73" s="23" t="n"/>
      <c r="AI7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3" s="7" t="n"/>
      <c r="AK73" s="22" t="n"/>
      <c r="AL73" s="23" t="n"/>
      <c r="AM73" s="7" t="n"/>
      <c r="AN73" s="21">
        <f>IF(Tasks[[#This Row],[Task Name]]="","",IF(Tasks[[#This Row],[Finish]]&gt;=Tasks[[#This Row],[Planned Finish]],NETWORKDAYS.INTL(Tasks[[#This Row],[Planned Finish]],Tasks[[#This Row],[Finish]],WorkWeek,Holidays)-1,1-NETWORKDAYS.INTL(Tasks[[#This Row],[Finish]],Tasks[[#This Row],[Planned Finish]],WorkWeek,Holidays)))</f>
        <v/>
      </c>
      <c r="AO73" s="21">
        <f>IF(Tasks[[#This Row],[Task Name]]="","",IF(Tasks[[#This Row],[Progress]]&gt;=1,"Complete",IF(OR(N(Tasks[[#This Row],[Actual Start]])&gt;0,Tasks[[#This Row],[Progress]]&gt;0),IF(Tasks[[#This Row],[Finish Var]]&gt;0,"Behind","In Progress"),IF(Tasks[[#This Row],[Planned Start]]&lt;StatusDate,"Late Start","Not Started"))))</f>
        <v/>
      </c>
      <c r="AP73" s="21">
        <f>IF(Tasks[[#This Row],[Task Name]]="","",IF(IF(Tasks[[#This Row],[_IsSummary]],COUNTIF(INDEX(Tasks[_LeafCritical],Tasks[[#This Row],[_Row]]+1):INDEX(Tasks[_LeafCritical],Tasks[[#This Row],[_Row]]+Tasks[[#This Row],[_Descendants]]),TRUE())&gt;0,Tasks[[#This Row],[_LeafCritical]]),"Yes",""))</f>
        <v/>
      </c>
      <c r="AQ73" s="61">
        <f>IF(Tasks[[#This Row],[Task Name]]="","",IF(N(Tasks[[#This Row],[Baseline Start]])&gt;0,Tasks[[#This Row],[Baseline Start]],Tasks[[#This Row],[_CalcStart]]))</f>
        <v/>
      </c>
      <c r="AR73" s="61">
        <f>IF(Tasks[[#This Row],[Task Name]]="","",IF(N(Tasks[[#This Row],[Baseline Finish]])&gt;0,Tasks[[#This Row],[Baseline Finish]],Tasks[[#This Row],[_CalcFinish]]))</f>
        <v/>
      </c>
      <c r="AS73" s="21">
        <f>IF(Tasks[[#This Row],[Task Name]]="","",IF(Tasks[[#This Row],[Start]]&gt;=Tasks[[#This Row],[Planned Start]],NETWORKDAYS.INTL(Tasks[[#This Row],[Planned Start]],Tasks[[#This Row],[Start]],WorkWeek,Holidays)-1,1-NETWORKDAYS.INTL(Tasks[[#This Row],[Start]],Tasks[[#This Row],[Planned Start]],WorkWeek,Holidays)))</f>
        <v/>
      </c>
      <c r="AT73" s="61">
        <f>IF(Tasks[[#This Row],[Task Name]]="","",IF(Tasks[[#This Row],[_IsSummary]],MIN(INDEX(Tasks[_LeafLateStart],Tasks[[#This Row],[_Row]]+1):INDEX(Tasks[_LeafLateStart],Tasks[[#This Row],[_Row]]+Tasks[[#This Row],[_Descendants]])),Tasks[[#This Row],[_LeafLateStart]]))</f>
        <v/>
      </c>
      <c r="AU73" s="61">
        <f>IF(Tasks[[#This Row],[Task Name]]="","",IF(Tasks[[#This Row],[_IsSummary]],MAX(INDEX(Tasks[_LeafLateFinish],Tasks[[#This Row],[_Row]]+1):INDEX(Tasks[_LeafLateFinish],Tasks[[#This Row],[_Row]]+Tasks[[#This Row],[_Descendants]])),Tasks[[#This Row],[_LeafLateFinish]]))</f>
        <v/>
      </c>
      <c r="AV73" s="21">
        <f>IF(Tasks[[#This Row],[Task Name]]="","",IF(Tasks[[#This Row],[_IsSummary]],MIN(INDEX(Tasks[_LeafTotalSlack],Tasks[[#This Row],[_Row]]+1):INDEX(Tasks[_LeafTotalSlack],Tasks[[#This Row],[_Row]]+Tasks[[#This Row],[_Descendants]])),Tasks[[#This Row],[_LeafTotalSlack]]))</f>
        <v/>
      </c>
      <c r="AW7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3" t="n"/>
      <c r="BA7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f>IF(Tasks[[#This Row],[Task Name]]="","",IF(Tasks[[#This Row],[_Level]]&lt;=OutlineShowLevel,"Yes","No"))</f>
        <v/>
      </c>
      <c r="BE73" s="84">
        <f>IF(Tasks[[#This Row],[Task Name]]="","",IF(Tasks[[#This Row],[_IsSummary]],SUM(INDEX(Tasks[_LeafTotalWork],Tasks[[#This Row],[_Row]]+1):INDEX(Tasks[_LeafTotalWork],Tasks[[#This Row],[_Row]]+Tasks[[#This Row],[_Descendants]])),Tasks[[#This Row],[_LeafTotalWork]]))</f>
        <v/>
      </c>
      <c r="BF73" s="23" t="n"/>
      <c r="BG7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f>""</f>
        <v/>
      </c>
      <c r="BI73" s="85" t="n"/>
      <c r="BJ73" s="22" t="n"/>
      <c r="BK73" s="21">
        <f>IF(OR(Tasks[[#This Row],[Task Name]]="",Tasks[[#This Row],[Baseline Duration]]=""),"",Tasks[[#This Row],[_SpanDays]]-N(Tasks[[#This Row],[Baseline Duration]]))</f>
        <v/>
      </c>
      <c r="BL73" s="84">
        <f>IF(OR(Tasks[[#This Row],[Task Name]]="",Tasks[[#This Row],[Baseline Work]]=""),"",Tasks[[#This Row],[Work]]-N(Tasks[[#This Row],[Baseline Work]]))</f>
        <v/>
      </c>
      <c r="BM73" s="61">
        <f>IF(Tasks[[#This Row],[Task Name]]="","",IF(OR(TakeBaseline="Yes",N(Tasks[[#This Row],[Baseline Start]])=0),Tasks[[#This Row],[Start]],Tasks[[#This Row],[Baseline Start]]))</f>
        <v/>
      </c>
      <c r="BN73" s="61">
        <f>IF(Tasks[[#This Row],[Task Name]]="","",IF(OR(TakeBaseline="Yes",N(Tasks[[#This Row],[Baseline Finish]])=0),Tasks[[#This Row],[Finish]],Tasks[[#This Row],[Baseline Finish]]))</f>
        <v/>
      </c>
      <c r="BO73" s="21">
        <f>IF(Tasks[[#This Row],[Task Name]]="","",IF(OR(TakeBaseline="Yes",N(Tasks[[#This Row],[Baseline Duration]])=0),Tasks[[#This Row],[_SpanDays]],Tasks[[#This Row],[Baseline Duration]]))</f>
        <v/>
      </c>
      <c r="BP73" s="84">
        <f>IF(Tasks[[#This Row],[Task Name]]="","",IF(OR(TakeBaseline="Yes",N(Tasks[[#This Row],[Baseline Work]])=0),Tasks[[#This Row],[Work]],Tasks[[#This Row],[Baseline Work]]))</f>
        <v/>
      </c>
      <c r="BQ73" s="7" t="n"/>
      <c r="BR73" s="7" t="n"/>
      <c r="BS73" s="22" t="n"/>
      <c r="BT73" s="86" t="n"/>
      <c r="BU73" s="23" t="n"/>
      <c r="BV73" s="23" t="n"/>
      <c r="BW73" s="23" t="n"/>
      <c r="BX73" s="87">
        <f>IF(AND(Tasks[[#This Row],[_IsLeaf]]=1,ISNUMBER(Tasks[[#This Row],[Optimistic]]),ISNUMBER(Tasks[[#This Row],[Pessimistic]])),ROUND((Tasks[[#This Row],[Optimistic]]+4*N(Tasks[[#This Row],[_Days]])+Tasks[[#This Row],[Pessimistic]])/6,1),"")</f>
        <v/>
      </c>
      <c r="BY73" s="85" t="n"/>
      <c r="BZ73" s="85" t="n"/>
      <c r="CA73" s="22" t="n"/>
      <c r="CB73" s="42">
        <f>IF(Tasks[[#This Row],[Task Name]]="","",MAX(1,N(Tasks[[#This Row],[Level]])))</f>
        <v/>
      </c>
      <c r="CC73" s="42">
        <f>ROW()-ROW(Tasks[[#Headers],[ID]])</f>
        <v/>
      </c>
      <c r="CD73" s="42">
        <f>IF(OR(Tasks[[#This Row],[Task Name]]="",Tasks[[#This Row],[_Level]]&lt;=1),0,IFERROR(LOOKUP(2,1/(Tasks[[#Headers],[_Level]]:Tasks[[#This Row],[_Level]]=Tasks[[#This Row],[_Level]]-1),ROW(Tasks[[#Headers],[_Level]]:Tasks[[#This Row],[_Level]])),0))</f>
        <v/>
      </c>
      <c r="CE73" s="42">
        <f>IFERROR(N(INDEX(Tasks[_Level],Tasks[[#This Row],[_Row]]+1)),0)</f>
        <v/>
      </c>
      <c r="CF73" s="42">
        <f>AND(Tasks[[#This Row],[Task Name]]&lt;&gt;"",Tasks[[#This Row],[_NextLevel]]&gt;Tasks[[#This Row],[_Level]])</f>
        <v/>
      </c>
      <c r="CG73" s="42">
        <f>IF(Tasks[[#This Row],[_IsSummary]],COUNTIF(Tasks[WBS],Tasks[[#This Row],[WBS]]&amp;".*"),0)</f>
        <v/>
      </c>
      <c r="CH73" s="42">
        <f>IF(AND(Tasks[[#This Row],[Task Name]]&lt;&gt;"",NOT(Tasks[[#This Row],[_IsSummary]])),1,0)</f>
        <v/>
      </c>
      <c r="CI73" s="42">
        <f>IF(N(Tasks[[#This Row],[_Pred1UID]])=0,0,IFERROR(MATCH(Tasks[[#This Row],[_Pred1UID]],Tasks[UID],0),-1))</f>
        <v/>
      </c>
      <c r="CJ73" s="42">
        <f>IF(N(Tasks[[#This Row],[_Pred2UID]])=0,0,IFERROR(MATCH(Tasks[[#This Row],[_Pred2UID]],Tasks[UID],0),-1))</f>
        <v/>
      </c>
      <c r="CK73" s="42">
        <f>IF(N(Tasks[[#This Row],[_Pred3UID]])=0,0,IFERROR(MATCH(Tasks[[#This Row],[_Pred3UID]],Tasks[UID],0),-1))</f>
        <v/>
      </c>
      <c r="CL73" s="42">
        <f>IF(N(Tasks[[#This Row],[_Pred4UID]])=0,0,IFERROR(MATCH(Tasks[[#This Row],[_Pred4UID]],Tasks[UID],0),-1))</f>
        <v/>
      </c>
      <c r="CM7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3" s="88">
        <f>IF(N(Tasks[[#This Row],[Constraint Date]])=0,0,IF(AND(OR(Tasks[[#This Row],[_ConstraintCode]]=3,Tasks[[#This Row],[_ConstraintCode]]=6,Tasks[[#This Row],[_ConstraintCode]]=7),N(Tasks[[#This Row],[_Days]])&gt;1),WORKDAY.INTL(N(Tasks[[#This Row],[Constraint Date]]),-(N(Tasks[[#This Row],[_Days]])-1),WorkWeek,Holidays),N(Tasks[[#This Row],[Constraint Date]])))</f>
        <v/>
      </c>
      <c r="CO73" s="88">
        <f>IF(OR(Tasks[[#This Row],[_ConstraintCode]]=2,Tasks[[#This Row],[_ConstraintCode]]=3,Tasks[[#This Row],[_ConstraintCode]]=4,Tasks[[#This Row],[_ConstraintCode]]=6),Tasks[[#This Row],[_ConstraintStart]],0)</f>
        <v/>
      </c>
      <c r="CP73" s="88">
        <f>IF(OR(Tasks[[#This Row],[_ConstraintCode]]=2,Tasks[[#This Row],[_ConstraintCode]]=3,Tasks[[#This Row],[_ConstraintCode]]=5,Tasks[[#This Row],[_ConstraintCode]]=7),Tasks[[#This Row],[_ConstraintStart]],2958465)</f>
        <v/>
      </c>
      <c r="CQ7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3" s="88">
        <f>IF(NOT(Tasks[[#This Row],[_IsLeaf]]=1),"",IF(N(Tasks[[#This Row],[_Days]])&lt;=0,Tasks[[#This Row],[_LeafCalcStart]],WORKDAY.INTL(Tasks[[#This Row],[_LeafCalcStart]],Tasks[[#This Row],[_Days]]-1,WorkWeek,Holidays)))</f>
        <v/>
      </c>
      <c r="CS7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3" s="42">
        <f>IF(Tasks[[#This Row],[_Predecessors]]="","",TRIM(MID(SUBSTITUTE(SUBSTITUTE(SUBSTITUTE(UPPER(Tasks[[#This Row],[_Predecessors]]),";",",")," ",""),",",REPT(" ",99)),1,99)))</f>
        <v/>
      </c>
      <c r="CV73" s="42">
        <f>IF(Tasks[[#This Row],[_Pred1Text]]="","",IFERROR(VALUE(LEFT(Tasks[[#This Row],[_Pred1Text]],MIN(FIND("F",Tasks[[#This Row],[_Pred1Text]]&amp;"F"),FIND("S",Tasks[[#This Row],[_Pred1Text]]&amp;"S"),FIND("+",Tasks[[#This Row],[_Pred1Text]]&amp;"+"),FIND("-",Tasks[[#This Row],[_Pred1Text]]&amp;"-"))-1)),""))</f>
        <v/>
      </c>
      <c r="CW7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3" s="42">
        <f>IF(Tasks[[#This Row],[_Pred1Text]]="","",TRIM(MID(SUBSTITUTE(SUBSTITUTE(SUBSTITUTE(UPPER(Tasks[[#This Row],[_Predecessors]]),";",",")," ",""),",",REPT(" ",99)),100,99)))</f>
        <v/>
      </c>
      <c r="CZ73" s="42">
        <f>IF(Tasks[[#This Row],[_Pred2Text]]="","",IFERROR(VALUE(LEFT(Tasks[[#This Row],[_Pred2Text]],MIN(FIND("F",Tasks[[#This Row],[_Pred2Text]]&amp;"F"),FIND("S",Tasks[[#This Row],[_Pred2Text]]&amp;"S"),FIND("+",Tasks[[#This Row],[_Pred2Text]]&amp;"+"),FIND("-",Tasks[[#This Row],[_Pred2Text]]&amp;"-"))-1)),""))</f>
        <v/>
      </c>
      <c r="DA7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3" s="42">
        <f>IF(Tasks[[#This Row],[_Pred2Text]]="","",TRIM(MID(SUBSTITUTE(SUBSTITUTE(SUBSTITUTE(UPPER(Tasks[[#This Row],[_Predecessors]]),";",",")," ",""),",",REPT(" ",99)),199,99)))</f>
        <v/>
      </c>
      <c r="DD73" s="42">
        <f>IF(Tasks[[#This Row],[_Pred3Text]]="","",IFERROR(VALUE(LEFT(Tasks[[#This Row],[_Pred3Text]],MIN(FIND("F",Tasks[[#This Row],[_Pred3Text]]&amp;"F"),FIND("S",Tasks[[#This Row],[_Pred3Text]]&amp;"S"),FIND("+",Tasks[[#This Row],[_Pred3Text]]&amp;"+"),FIND("-",Tasks[[#This Row],[_Pred3Text]]&amp;"-"))-1)),""))</f>
        <v/>
      </c>
      <c r="DE7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3" s="42">
        <f>IF(Tasks[[#This Row],[_Pred3Text]]="","",TRIM(MID(SUBSTITUTE(SUBSTITUTE(SUBSTITUTE(UPPER(Tasks[[#This Row],[_Predecessors]]),";",",")," ",""),",",REPT(" ",99)),298,99)))</f>
        <v/>
      </c>
      <c r="DH73" s="42">
        <f>IF(Tasks[[#This Row],[_Pred4Text]]="","",IFERROR(VALUE(LEFT(Tasks[[#This Row],[_Pred4Text]],MIN(FIND("F",Tasks[[#This Row],[_Pred4Text]]&amp;"F"),FIND("S",Tasks[[#This Row],[_Pred4Text]]&amp;"S"),FIND("+",Tasks[[#This Row],[_Pred4Text]]&amp;"+"),FIND("-",Tasks[[#This Row],[_Pred4Text]]&amp;"-"))-1)),""))</f>
        <v/>
      </c>
      <c r="DI7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3" s="42">
        <f>IF(OR(Tasks[[#This Row],[Task Name]]="",Tasks[[#This Row],[_Resources]]=""),"",TRIM(MID(SUBSTITUTE(Tasks[[#This Row],[_Resources]],",",REPT(" ",99)),1,99)))</f>
        <v/>
      </c>
      <c r="DL73" s="42">
        <f>IF(Tasks[[#This Row],[_Res1Text]]="","",TRIM(MID(SUBSTITUTE(Tasks[[#This Row],[_Resources]],",",REPT(" ",99)),100,99)))</f>
        <v/>
      </c>
      <c r="DM73" s="42">
        <f>IF(Tasks[[#This Row],[_Res2Text]]="","",TRIM(MID(SUBSTITUTE(Tasks[[#This Row],[_Resources]],",",REPT(" ",99)),199,99)))</f>
        <v/>
      </c>
      <c r="DN73" s="42">
        <f>IF(Tasks[[#This Row],[_Res3Text]]="","",TRIM(MID(SUBSTITUTE(Tasks[[#This Row],[_Resources]],",",REPT(" ",99)),298,99)))</f>
        <v/>
      </c>
      <c r="DO73" s="42">
        <f>IF(Tasks[[#This Row],[_Res1Text]]="",0,IFERROR(MATCH(TRIM(LEFT(Tasks[[#This Row],[_Res1Text]],FIND("[",Tasks[[#This Row],[_Res1Text]]&amp;"[")-1)),res_Name,0),IFERROR(MATCH(TRIM(LEFT(Tasks[[#This Row],[_Res1Text]],FIND("[",Tasks[[#This Row],[_Res1Text]]&amp;"[")-1)),res_Initials,0),0)))</f>
        <v/>
      </c>
      <c r="DP73" s="42">
        <f>IF(Tasks[[#This Row],[_Res2Text]]="",0,IFERROR(MATCH(TRIM(LEFT(Tasks[[#This Row],[_Res2Text]],FIND("[",Tasks[[#This Row],[_Res2Text]]&amp;"[")-1)),res_Name,0),IFERROR(MATCH(TRIM(LEFT(Tasks[[#This Row],[_Res2Text]],FIND("[",Tasks[[#This Row],[_Res2Text]]&amp;"[")-1)),res_Initials,0),0)))</f>
        <v/>
      </c>
      <c r="DQ73" s="42">
        <f>IF(Tasks[[#This Row],[_Res3Text]]="",0,IFERROR(MATCH(TRIM(LEFT(Tasks[[#This Row],[_Res3Text]],FIND("[",Tasks[[#This Row],[_Res3Text]]&amp;"[")-1)),res_Name,0),IFERROR(MATCH(TRIM(LEFT(Tasks[[#This Row],[_Res3Text]],FIND("[",Tasks[[#This Row],[_Res3Text]]&amp;"[")-1)),res_Initials,0),0)))</f>
        <v/>
      </c>
      <c r="DR73" s="42">
        <f>IF(Tasks[[#This Row],[_Res4Text]]="",0,IFERROR(MATCH(TRIM(LEFT(Tasks[[#This Row],[_Res4Text]],FIND("[",Tasks[[#This Row],[_Res4Text]]&amp;"[")-1)),res_Name,0),IFERROR(MATCH(TRIM(LEFT(Tasks[[#This Row],[_Res4Text]],FIND("[",Tasks[[#This Row],[_Res4Text]]&amp;"[")-1)),res_Initials,0),0)))</f>
        <v/>
      </c>
      <c r="DS73" s="42">
        <f>IF(Tasks[[#This Row],[_Res1Text]]="","",IF(Tasks[[#This Row],[_Res1Row]]&gt;0,INDEX(res_Name,Tasks[[#This Row],[_Res1Row]]),TRIM(LEFT(Tasks[[#This Row],[_Res1Text]],FIND("[",Tasks[[#This Row],[_Res1Text]]&amp;"[")-1))))</f>
        <v/>
      </c>
      <c r="DT7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3" s="42">
        <f>IF(NOT(Tasks[[#This Row],[_IsLeaf]]=1),0,(Tasks[[#This Row],[_Resource1]]&lt;&gt;"")+(Tasks[[#This Row],[_Res2]]&lt;&gt;"")+(Tasks[[#This Row],[_Res3]]&lt;&gt;"")+(Tasks[[#This Row],[_Res4]]&lt;&gt;""))</f>
        <v/>
      </c>
      <c r="DV73" s="42">
        <f>IF(Tasks[[#This Row],[_Res2Text]]="","",IF(Tasks[[#This Row],[_Res2Row]]&gt;0,INDEX(res_Name,Tasks[[#This Row],[_Res2Row]]),TRIM(LEFT(Tasks[[#This Row],[_Res2Text]],FIND("[",Tasks[[#This Row],[_Res2Text]]&amp;"[")-1))))</f>
        <v/>
      </c>
      <c r="DW7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3" s="42">
        <f>IF(OR(NOT(Tasks[[#This Row],[_IsLeaf]]=1),Tasks[[#This Row],[_Res2Row]]=0),0,N(Tasks[[#This Row],[_Days]])*HoursPerDay*IF(Tasks[[#This Row],[_Res2Units]]="",DefaultUnits,Tasks[[#This Row],[_Res2Units]]))</f>
        <v/>
      </c>
      <c r="DY73" s="42">
        <f>IF(AND(AND(Tasks[[#This Row],[_IsLeaf]]=1,Tasks[[#This Row],[_LeafTotalWork]]&gt;0),Tasks[[#This Row],[_Res2Work]]&gt;0),Tasks[[#This Row],[_Res2Work]]/(Tasks[[#This Row],[_FinishWorkday]]-Tasks[[#This Row],[_StartWorkday]]+1),0)</f>
        <v/>
      </c>
      <c r="DZ73" s="42">
        <f>Tasks[[#This Row],[_Res2WorkPerWD]]*MAX(0,Tasks[[#This Row],[_StartWorkday]]-1)</f>
        <v/>
      </c>
      <c r="EA73" s="42">
        <f>Tasks[[#This Row],[_Res2Work]]*Tasks[[#This Row],[_LeafProgress]]</f>
        <v/>
      </c>
      <c r="EB73" s="42">
        <f>IF(Tasks[[#This Row],[_Res3Text]]="","",IF(Tasks[[#This Row],[_Res3Row]]&gt;0,INDEX(res_Name,Tasks[[#This Row],[_Res3Row]]),TRIM(LEFT(Tasks[[#This Row],[_Res3Text]],FIND("[",Tasks[[#This Row],[_Res3Text]]&amp;"[")-1))))</f>
        <v/>
      </c>
      <c r="EC7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3" s="42">
        <f>IF(OR(NOT(Tasks[[#This Row],[_IsLeaf]]=1),Tasks[[#This Row],[_Res3Row]]=0),0,N(Tasks[[#This Row],[_Days]])*HoursPerDay*IF(Tasks[[#This Row],[_Res3Units]]="",DefaultUnits,Tasks[[#This Row],[_Res3Units]]))</f>
        <v/>
      </c>
      <c r="EE73" s="42">
        <f>IF(AND(AND(Tasks[[#This Row],[_IsLeaf]]=1,Tasks[[#This Row],[_LeafTotalWork]]&gt;0),Tasks[[#This Row],[_Res3Work]]&gt;0),Tasks[[#This Row],[_Res3Work]]/(Tasks[[#This Row],[_FinishWorkday]]-Tasks[[#This Row],[_StartWorkday]]+1),0)</f>
        <v/>
      </c>
      <c r="EF73" s="42">
        <f>Tasks[[#This Row],[_Res3WorkPerWD]]*MAX(0,Tasks[[#This Row],[_StartWorkday]]-1)</f>
        <v/>
      </c>
      <c r="EG73" s="42">
        <f>Tasks[[#This Row],[_Res3Work]]*Tasks[[#This Row],[_LeafProgress]]</f>
        <v/>
      </c>
      <c r="EH73" s="42">
        <f>IF(Tasks[[#This Row],[_Res4Text]]="","",IF(Tasks[[#This Row],[_Res4Row]]&gt;0,INDEX(res_Name,Tasks[[#This Row],[_Res4Row]]),TRIM(LEFT(Tasks[[#This Row],[_Res4Text]],FIND("[",Tasks[[#This Row],[_Res4Text]]&amp;"[")-1))))</f>
        <v/>
      </c>
      <c r="EI7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3" s="42">
        <f>IF(OR(NOT(Tasks[[#This Row],[_IsLeaf]]=1),Tasks[[#This Row],[_Res4Row]]=0),0,N(Tasks[[#This Row],[_Days]])*HoursPerDay*IF(Tasks[[#This Row],[_Res4Units]]="",DefaultUnits,Tasks[[#This Row],[_Res4Units]]))</f>
        <v/>
      </c>
      <c r="EK73" s="42">
        <f>IF(AND(AND(Tasks[[#This Row],[_IsLeaf]]=1,Tasks[[#This Row],[_LeafTotalWork]]&gt;0),Tasks[[#This Row],[_Res4Work]]&gt;0),Tasks[[#This Row],[_Res4Work]]/(Tasks[[#This Row],[_FinishWorkday]]-Tasks[[#This Row],[_StartWorkday]]+1),0)</f>
        <v/>
      </c>
      <c r="EL73" s="42">
        <f>Tasks[[#This Row],[_Res4WorkPerWD]]*MAX(0,Tasks[[#This Row],[_StartWorkday]]-1)</f>
        <v/>
      </c>
      <c r="EM73" s="42">
        <f>Tasks[[#This Row],[_Res4Work]]*Tasks[[#This Row],[_LeafProgress]]</f>
        <v/>
      </c>
      <c r="EN73" s="42">
        <f>IF(ISNUMBER(Tasks[[#This Row],[% Complete]]),Tasks[[#This Row],[% Complete]],IF(Tasks[[#This Row],[Stage]]="",0,IFERROR(INDEX(stg_Pct,MATCH(Tasks[[#This Row],[Stage]],stg_Name,0)),0)))</f>
        <v/>
      </c>
      <c r="EO73" s="42">
        <f>IF(NOT(Tasks[[#This Row],[_IsLeaf]]=1),0,IF(N(Tasks[[#This Row],[Actual Finish]])&gt;0,1,MIN(1,Tasks[[#This Row],[_Pct]])))</f>
        <v/>
      </c>
      <c r="EP73" s="42">
        <f>IF(OR(NOT(Tasks[[#This Row],[_IsLeaf]]=1),Tasks[[#This Row],[_Res1Row]]=0),0,N(Tasks[[#This Row],[_Days]])*HoursPerDay*IF(Tasks[[#This Row],[_Units1]]="",DefaultUnits,Tasks[[#This Row],[_Units1]]))</f>
        <v/>
      </c>
      <c r="EQ73" s="42">
        <f>Tasks[[#This Row],[_LeafWork]]+Tasks[[#This Row],[_Res2Work]]+Tasks[[#This Row],[_Res3Work]]+Tasks[[#This Row],[_Res4Work]]</f>
        <v/>
      </c>
      <c r="ER7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3" s="42">
        <f>IF(NOT(Tasks[[#This Row],[_IsLeaf]]=1),0,MAX(_xlfn.MAXIFS(Tasks[_Row],Tasks[_Pred1UID],Tasks[[#This Row],[UID]]),_xlfn.MAXIFS(Tasks[_Row],Tasks[_Pred2UID],Tasks[[#This Row],[UID]]),_xlfn.MAXIFS(Tasks[_Row],Tasks[_Pred3UID],Tasks[[#This Row],[UID]]),_xlfn.MAXIFS(Tasks[_Row],Tasks[_Pred4UID],Tasks[[#This Row],[UID]])))</f>
        <v/>
      </c>
      <c r="FA7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3" s="88">
        <f>IF(NOT(Tasks[[#This Row],[_IsLeaf]]=1),"",IF(N(Tasks[[#This Row],[_Days]])&lt;=0,Tasks[[#This Row],[_LeafLateFinish]],WORKDAY.INTL(Tasks[[#This Row],[_LeafLateFinish]],-(Tasks[[#This Row],[_Days]]-1),WorkWeek,Holidays)))</f>
        <v/>
      </c>
      <c r="FD7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3" s="42">
        <f>AND(Tasks[[#This Row],[_IsLeaf]]=1,Tasks[[#This Row],[_LeafProgress]]&lt;1,N(Tasks[[#This Row],[_LeafTotalSlack]])&lt;=CriticalSlackDays)</f>
        <v/>
      </c>
      <c r="FF73" s="42">
        <f>IF(AND(Tasks[[#This Row],[_IsLeaf]]=1,Tasks[[#This Row],[_ConstraintCode]]=1,Tasks[[#This Row],[Mode]]&lt;&gt;"Manual",N(Tasks[[#This Row],[Actual Start]])=0),MAX(0,N(Tasks[[#This Row],[Free Slack]])),0)</f>
        <v/>
      </c>
      <c r="FG73" s="88">
        <f>IF(NOT(Tasks[[#This Row],[_IsLeaf]]=1),"",IF(Tasks[[#This Row],[_AlapShift]]=0,Tasks[[#This Row],[_LeafCalcStart]],WORKDAY.INTL(Tasks[[#This Row],[_LeafCalcStart]],Tasks[[#This Row],[_AlapShift]],WorkWeek,Holidays)))</f>
        <v/>
      </c>
      <c r="FH73" s="88">
        <f>IF(NOT(Tasks[[#This Row],[_IsLeaf]]=1),"",IF(Tasks[[#This Row],[_AlapShift]]=0,Tasks[[#This Row],[_LeafCalcFinish]],WORKDAY.INTL(Tasks[[#This Row],[_LeafCalcFinish]],Tasks[[#This Row],[_AlapShift]],WorkWeek,Holidays)))</f>
        <v/>
      </c>
      <c r="FI73" s="88">
        <f>IF(NOT(Tasks[[#This Row],[_IsLeaf]]=1),"",IF(Tasks[[#This Row],[_AlapShift]]=0,Tasks[[#This Row],[_LeafFcstStart]],WORKDAY.INTL(Tasks[[#This Row],[_LeafFcstStart]],Tasks[[#This Row],[_AlapShift]],WorkWeek,Holidays)))</f>
        <v/>
      </c>
      <c r="FJ73" s="88">
        <f>IF(NOT(Tasks[[#This Row],[_IsLeaf]]=1),"",IF(Tasks[[#This Row],[_AlapShift]]=0,Tasks[[#This Row],[_LeafFcstFinish]],WORKDAY.INTL(Tasks[[#This Row],[_LeafFcstFinish]],Tasks[[#This Row],[_AlapShift]],WorkWeek,Holidays)))</f>
        <v/>
      </c>
      <c r="FK73" s="88">
        <f>IF(Tasks[[#This Row],[Task Name]]="","",IF(Tasks[[#This Row],[_IsSummary]],MIN(INDEX(Tasks[_ShownCalcStart],Tasks[[#This Row],[_Row]]+1):INDEX(Tasks[_ShownCalcStart],Tasks[[#This Row],[_Row]]+Tasks[[#This Row],[_Descendants]])),Tasks[[#This Row],[_ShownCalcStart]]))</f>
        <v/>
      </c>
      <c r="FL73" s="88">
        <f>IF(Tasks[[#This Row],[Task Name]]="","",IF(Tasks[[#This Row],[_IsSummary]],MAX(INDEX(Tasks[_ShownCalcFinish],Tasks[[#This Row],[_Row]]+1):INDEX(Tasks[_ShownCalcFinish],Tasks[[#This Row],[_Row]]+Tasks[[#This Row],[_Descendants]])),Tasks[[#This Row],[_ShownCalcFinish]]))</f>
        <v/>
      </c>
      <c r="FM7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3" s="42">
        <f>IF(AND(Tasks[[#This Row],[_IsLeaf]]=1,Tasks[[#This Row],[_LeafTotalWork]]&gt;0),NETWORKDAYS.INTL(ProjectStart,Tasks[[#This Row],[_ShownFcstStart]],WorkWeek,Holidays),0)</f>
        <v/>
      </c>
      <c r="FZ73" s="42">
        <f>IF(AND(Tasks[[#This Row],[_IsLeaf]]=1,Tasks[[#This Row],[_LeafTotalWork]]&gt;0),MAX(Tasks[[#This Row],[_StartWorkday]],NETWORKDAYS.INTL(ProjectStart,Tasks[[#This Row],[_ShownFcstFinish]],WorkWeek,Holidays)),0)</f>
        <v/>
      </c>
      <c r="GA73" s="42">
        <f>IF(AND(Tasks[[#This Row],[_IsLeaf]]=1,Tasks[[#This Row],[_LeafTotalWork]]&gt;0),Tasks[[#This Row],[_LeafWork]]/(Tasks[[#This Row],[_FinishWorkday]]-Tasks[[#This Row],[_StartWorkday]]+1),0)</f>
        <v/>
      </c>
      <c r="GB73" s="42">
        <f>Tasks[[#This Row],[_WorkPerWorkday]]*(Tasks[[#This Row],[_StartWorkday]]-1)</f>
        <v/>
      </c>
      <c r="GC73" s="42">
        <f>IF(Tasks[[#This Row],[_IsLeaf]]=1,MAX(N(Tasks[[#This Row],[_Days]]),0.1),0)</f>
        <v/>
      </c>
      <c r="GD73" s="42">
        <f>Tasks[[#This Row],[_WeightDur]]*Tasks[[#This Row],[_LeafProgress]]</f>
        <v/>
      </c>
      <c r="GE73" s="42">
        <f>Tasks[[#This Row],[_WeightDur]]*Tasks[[#This Row],[_PlannedPct]]</f>
        <v/>
      </c>
      <c r="GF7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3" s="42">
        <f>IF(AND(Tasks[[#This Row],[_IsLeaf]]=1,N(Tasks[[#This Row],[_Days]])=0,Tasks[[#This Row],[_LeafProgress]]&lt;1),Tasks[[#This Row],[_ShownFcstFinish]]+Tasks[[#This Row],[_Row]]/100000,"")</f>
        <v/>
      </c>
      <c r="GH7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3" s="42">
        <f>IF(Tasks[[#This Row],[Task Name]]="","",LEFT(Tasks[[#This Row],[WBS]],FIND(".",Tasks[[#This Row],[WBS]]&amp;".")-1))</f>
        <v/>
      </c>
      <c r="GJ73" s="42">
        <f>IF(AND(Tasks[[#This Row],[Task Name]]&lt;&gt;"",Tasks[[#This Row],[_Level]]=1),Tasks[[#This Row],[_Row]],"")</f>
        <v/>
      </c>
      <c r="GK73" s="42">
        <f>IF(AND(Tasks[[#This Row],[_IsLeaf]]=1,N(Tasks[[#This Row],[_Days]])=0),Tasks[[#This Row],[Planned Finish]]+Tasks[[#This Row],[_Row]]/100000,"")</f>
        <v/>
      </c>
      <c r="GL73" s="42">
        <f>IF(AND(Tasks[[#This Row],[_IsLeaf]]=1,Tasks[[#This Row],[_LeafProgress]]&lt;1,OR(N(Tasks[[#This Row],[Finish Var]])&gt;0,Tasks[[#This Row],[Status]]="Late Start")),MAX(0,Tasks[[#This Row],[Finish Var]])+1-Tasks[[#This Row],[_Row]]/1000000,"")</f>
        <v/>
      </c>
      <c r="GM73" s="42">
        <f>IF(AND(Tasks[[#This Row],[_IsLeaf]]=1,N(Tasks[[#This Row],[Actual Start]])=0,Tasks[[#This Row],[_ShownFcstStart]]&gt;=StatusDate,Tasks[[#This Row],[_ShownFcstStart]]&lt;=LookaheadEnd),Tasks[[#This Row],[_ShownFcstStart]]+Tasks[[#This Row],[_Row]]/100000,"")</f>
        <v/>
      </c>
      <c r="GN73" s="42">
        <f>IF(AND(Tasks[[#This Row],[_IsLeaf]]=1,Tasks[[#This Row],[_LeafProgress]]&lt;1,Tasks[[#This Row],[_ShownFcstFinish]]&gt;=StatusDate,Tasks[[#This Row],[_ShownFcstFinish]]&lt;=LookaheadEnd),Tasks[[#This Row],[_ShownFcstFinish]]+Tasks[[#This Row],[_Row]]/100000,"")</f>
        <v/>
      </c>
      <c r="GO73" s="42">
        <f>IF(Tasks[[#This Row],[_LeafCritical]],Tasks[[#This Row],[_ShownFcstStart]]+Tasks[[#This Row],[_Row]]/100000,"")</f>
        <v/>
      </c>
      <c r="GP73" s="42">
        <f>Tasks[[#This Row],[_LeafWork]]*Tasks[[#This Row],[_LeafProgress]]</f>
        <v/>
      </c>
      <c r="GQ73" s="88">
        <f>IF(AND(Tasks[[#This Row],[_IsLeaf]]=1,Tasks[[#This Row],[_LeafProgress]]&gt;=1),IF(N(Tasks[[#This Row],[Actual Finish]])&gt;0,Tasks[[#This Row],[Actual Finish]],Tasks[[#This Row],[_ShownFcstFinish]]),"")</f>
        <v/>
      </c>
      <c r="GR73" s="42">
        <f>IF(Tasks[[#This Row],[_IsLeaf]]=1,N(Tasks[[#This Row],[Story Points]]),0)</f>
        <v/>
      </c>
      <c r="GS73" s="42">
        <f>""</f>
        <v/>
      </c>
      <c r="GT73" s="42">
        <f>IF(Tasks[[#This Row],[Task Name]]="",FALSE(),AND(Tasks[[#This Row],[_IsLeaf]]=1,N(Tasks[[#This Row],[_Days]])=0))</f>
        <v/>
      </c>
      <c r="GU73" s="88">
        <f>IF(Tasks[[#This Row],[Task Name]]="",0,IF(AND(Tasks[[#This Row],[_IsLeaf]]=1,NOT(Tasks[[#This Row],[_IsMilestone]]),N(Tasks[[#This Row],[Progress]])&gt;0),Tasks[[#This Row],[Start]],0))</f>
        <v/>
      </c>
      <c r="GV73" s="88">
        <f>IF(Tasks[[#This Row],[_DoneFrom]]=0,0,IF(Tasks[[#This Row],[Progress]]&gt;=1,Tasks[[#This Row],[Finish]],MAX(Tasks[[#This Row],[_DoneFrom]],Tasks[[#This Row],[Start]]+ROUND((Tasks[[#This Row],[Finish]]-Tasks[[#This Row],[Start]]+1)*Tasks[[#This Row],[Progress]],0)-1)))</f>
        <v/>
      </c>
      <c r="GW73" s="88">
        <f>IF(Tasks[[#This Row],[Task Name]]="",0,IF(OR(NOT(Tasks[[#This Row],[_IsLeaf]]=1),Tasks[[#This Row],[_IsMilestone]],N(Tasks[[#This Row],[Progress]])&gt;=1),0,IF(Tasks[[#This Row],[_DoneTo]]&gt;0,Tasks[[#This Row],[_DoneTo]]+1,Tasks[[#This Row],[Start]])))</f>
        <v/>
      </c>
      <c r="GX73" s="88">
        <f>IF(Tasks[[#This Row],[_RemFrom]]=0,0,Tasks[[#This Row],[Finish]])</f>
        <v/>
      </c>
      <c r="GY73" s="42">
        <f>IF(Tasks[[#This Row],[Task Name]]="",FALSE(),OR(NOT(BaselineSet),N(Tasks[[#This Row],[Baseline Start]])&gt;0))</f>
        <v/>
      </c>
      <c r="GZ73" s="42">
        <f>IF(AND(Sandbox="Yes",L_PARSE_DURATION(Tasks[[#This Row],[Sandbox Duration]])&lt;&gt;""),L_PARSE_DURATION(Tasks[[#This Row],[Sandbox Duration]]),L_PARSE_DURATION(Tasks[[#This Row],[Duration]]))</f>
        <v/>
      </c>
      <c r="HA7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3" s="42">
        <f>IF(Tasks[[#This Row],[_IsLeaf]]=1,Tasks[[#This Row],[_Row]],"")</f>
        <v/>
      </c>
      <c r="HD73" s="42">
        <f>IFERROR(INDEX(Tasks[UID],SMALL(Tasks[_PickKey],Tasks[[#This Row],[_Row]]))&amp;" "&amp;INDEX(Tasks[Task Name],SMALL(Tasks[_PickKey],Tasks[[#This Row],[_Row]])),"")</f>
        <v/>
      </c>
      <c r="HE73" s="42">
        <f>IF(Tasks[[#This Row],[Task Name]]="","",IF(Tasks[[#This Row],[_IsSummary]],NETWORKDAYS.INTL(Tasks[[#This Row],[Start]],Tasks[[#This Row],[Finish]],WorkWeek,Holidays),N(Tasks[[#This Row],[_Days]])))</f>
        <v/>
      </c>
      <c r="HF73" s="42">
        <f>IF(Tasks[[#This Row],[Expected]]="",0,((Tasks[[#This Row],[Pessimistic]]-Tasks[[#This Row],[Optimistic]])/6)^2)</f>
        <v/>
      </c>
      <c r="HG73" s="42">
        <f>IF(Tasks[[#This Row],[Expected]]="",0,Tasks[[#This Row],[Expected]]-N(Tasks[[#This Row],[_Days]]))</f>
        <v/>
      </c>
    </row>
    <row r="74">
      <c r="A74" s="21">
        <f>IF(Tasks[[#This Row],[Task Name]]="","",COUNTA(Tasks[[#Headers],[Task Name]]:Tasks[[#This Row],[Task Name]])-1)</f>
        <v/>
      </c>
      <c r="B74" s="22" t="n">
        <v>82</v>
      </c>
      <c r="C74" s="22" t="n"/>
      <c r="D74" s="23" t="n"/>
      <c r="E74" s="22" t="n"/>
      <c r="F74" s="23" t="n"/>
      <c r="G74" s="22" t="n"/>
      <c r="H74" s="22" t="n"/>
      <c r="I74" s="23" t="n"/>
      <c r="J74" s="22" t="n"/>
      <c r="K74" s="22" t="n"/>
      <c r="L74" s="23" t="n"/>
      <c r="M74" s="22" t="n"/>
      <c r="N74" s="22" t="n"/>
      <c r="O74" s="23" t="n"/>
      <c r="P74" s="22" t="n"/>
      <c r="Q74" s="22" t="n"/>
      <c r="R74" s="23" t="n"/>
      <c r="S74" s="23" t="n"/>
      <c r="T74" s="82" t="n"/>
      <c r="U74" s="23" t="n"/>
      <c r="V74" s="82" t="n"/>
      <c r="W74" s="23" t="n"/>
      <c r="X74" s="82" t="n"/>
      <c r="Y74" s="23" t="n"/>
      <c r="Z74" s="82" t="n"/>
      <c r="AA74" s="23" t="n"/>
      <c r="AB74" s="23" t="n"/>
      <c r="AC74" s="7" t="n"/>
      <c r="AD74" s="7" t="n"/>
      <c r="AE74" s="61">
        <f>IF(Tasks[[#This Row],[Task Name]]="","",IF(Tasks[[#This Row],[_IsSummary]],MIN(INDEX(Tasks[_ShownFcstStart],Tasks[[#This Row],[_Row]]+1):INDEX(Tasks[_ShownFcstStart],Tasks[[#This Row],[_Row]]+Tasks[[#This Row],[_Descendants]])),Tasks[[#This Row],[_ShownFcstStart]]))</f>
        <v/>
      </c>
      <c r="AF74" s="61">
        <f>IF(Tasks[[#This Row],[Task Name]]="","",IF(Tasks[[#This Row],[_IsSummary]],MAX(INDEX(Tasks[_ShownFcstFinish],Tasks[[#This Row],[_Row]]+1):INDEX(Tasks[_ShownFcstFinish],Tasks[[#This Row],[_Row]]+Tasks[[#This Row],[_Descendants]])),Tasks[[#This Row],[_ShownFcstFinish]]))</f>
        <v/>
      </c>
      <c r="AG74" s="21">
        <f>""</f>
        <v/>
      </c>
      <c r="AH74" s="23" t="n"/>
      <c r="AI7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4" s="7" t="n"/>
      <c r="AK74" s="22" t="n"/>
      <c r="AL74" s="23" t="n"/>
      <c r="AM74" s="7" t="n"/>
      <c r="AN74" s="21">
        <f>IF(Tasks[[#This Row],[Task Name]]="","",IF(Tasks[[#This Row],[Finish]]&gt;=Tasks[[#This Row],[Planned Finish]],NETWORKDAYS.INTL(Tasks[[#This Row],[Planned Finish]],Tasks[[#This Row],[Finish]],WorkWeek,Holidays)-1,1-NETWORKDAYS.INTL(Tasks[[#This Row],[Finish]],Tasks[[#This Row],[Planned Finish]],WorkWeek,Holidays)))</f>
        <v/>
      </c>
      <c r="AO74" s="21">
        <f>IF(Tasks[[#This Row],[Task Name]]="","",IF(Tasks[[#This Row],[Progress]]&gt;=1,"Complete",IF(OR(N(Tasks[[#This Row],[Actual Start]])&gt;0,Tasks[[#This Row],[Progress]]&gt;0),IF(Tasks[[#This Row],[Finish Var]]&gt;0,"Behind","In Progress"),IF(Tasks[[#This Row],[Planned Start]]&lt;StatusDate,"Late Start","Not Started"))))</f>
        <v/>
      </c>
      <c r="AP74" s="21">
        <f>IF(Tasks[[#This Row],[Task Name]]="","",IF(IF(Tasks[[#This Row],[_IsSummary]],COUNTIF(INDEX(Tasks[_LeafCritical],Tasks[[#This Row],[_Row]]+1):INDEX(Tasks[_LeafCritical],Tasks[[#This Row],[_Row]]+Tasks[[#This Row],[_Descendants]]),TRUE())&gt;0,Tasks[[#This Row],[_LeafCritical]]),"Yes",""))</f>
        <v/>
      </c>
      <c r="AQ74" s="61">
        <f>IF(Tasks[[#This Row],[Task Name]]="","",IF(N(Tasks[[#This Row],[Baseline Start]])&gt;0,Tasks[[#This Row],[Baseline Start]],Tasks[[#This Row],[_CalcStart]]))</f>
        <v/>
      </c>
      <c r="AR74" s="61">
        <f>IF(Tasks[[#This Row],[Task Name]]="","",IF(N(Tasks[[#This Row],[Baseline Finish]])&gt;0,Tasks[[#This Row],[Baseline Finish]],Tasks[[#This Row],[_CalcFinish]]))</f>
        <v/>
      </c>
      <c r="AS74" s="21">
        <f>IF(Tasks[[#This Row],[Task Name]]="","",IF(Tasks[[#This Row],[Start]]&gt;=Tasks[[#This Row],[Planned Start]],NETWORKDAYS.INTL(Tasks[[#This Row],[Planned Start]],Tasks[[#This Row],[Start]],WorkWeek,Holidays)-1,1-NETWORKDAYS.INTL(Tasks[[#This Row],[Start]],Tasks[[#This Row],[Planned Start]],WorkWeek,Holidays)))</f>
        <v/>
      </c>
      <c r="AT74" s="61">
        <f>IF(Tasks[[#This Row],[Task Name]]="","",IF(Tasks[[#This Row],[_IsSummary]],MIN(INDEX(Tasks[_LeafLateStart],Tasks[[#This Row],[_Row]]+1):INDEX(Tasks[_LeafLateStart],Tasks[[#This Row],[_Row]]+Tasks[[#This Row],[_Descendants]])),Tasks[[#This Row],[_LeafLateStart]]))</f>
        <v/>
      </c>
      <c r="AU74" s="61">
        <f>IF(Tasks[[#This Row],[Task Name]]="","",IF(Tasks[[#This Row],[_IsSummary]],MAX(INDEX(Tasks[_LeafLateFinish],Tasks[[#This Row],[_Row]]+1):INDEX(Tasks[_LeafLateFinish],Tasks[[#This Row],[_Row]]+Tasks[[#This Row],[_Descendants]])),Tasks[[#This Row],[_LeafLateFinish]]))</f>
        <v/>
      </c>
      <c r="AV74" s="21">
        <f>IF(Tasks[[#This Row],[Task Name]]="","",IF(Tasks[[#This Row],[_IsSummary]],MIN(INDEX(Tasks[_LeafTotalSlack],Tasks[[#This Row],[_Row]]+1):INDEX(Tasks[_LeafTotalSlack],Tasks[[#This Row],[_Row]]+Tasks[[#This Row],[_Descendants]])),Tasks[[#This Row],[_LeafTotalSlack]]))</f>
        <v/>
      </c>
      <c r="AW7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3" t="n"/>
      <c r="BA7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f>IF(Tasks[[#This Row],[Task Name]]="","",IF(Tasks[[#This Row],[_Level]]&lt;=OutlineShowLevel,"Yes","No"))</f>
        <v/>
      </c>
      <c r="BE74" s="84">
        <f>IF(Tasks[[#This Row],[Task Name]]="","",IF(Tasks[[#This Row],[_IsSummary]],SUM(INDEX(Tasks[_LeafTotalWork],Tasks[[#This Row],[_Row]]+1):INDEX(Tasks[_LeafTotalWork],Tasks[[#This Row],[_Row]]+Tasks[[#This Row],[_Descendants]])),Tasks[[#This Row],[_LeafTotalWork]]))</f>
        <v/>
      </c>
      <c r="BF74" s="23" t="n"/>
      <c r="BG7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f>""</f>
        <v/>
      </c>
      <c r="BI74" s="85" t="n"/>
      <c r="BJ74" s="22" t="n"/>
      <c r="BK74" s="21">
        <f>IF(OR(Tasks[[#This Row],[Task Name]]="",Tasks[[#This Row],[Baseline Duration]]=""),"",Tasks[[#This Row],[_SpanDays]]-N(Tasks[[#This Row],[Baseline Duration]]))</f>
        <v/>
      </c>
      <c r="BL74" s="84">
        <f>IF(OR(Tasks[[#This Row],[Task Name]]="",Tasks[[#This Row],[Baseline Work]]=""),"",Tasks[[#This Row],[Work]]-N(Tasks[[#This Row],[Baseline Work]]))</f>
        <v/>
      </c>
      <c r="BM74" s="61">
        <f>IF(Tasks[[#This Row],[Task Name]]="","",IF(OR(TakeBaseline="Yes",N(Tasks[[#This Row],[Baseline Start]])=0),Tasks[[#This Row],[Start]],Tasks[[#This Row],[Baseline Start]]))</f>
        <v/>
      </c>
      <c r="BN74" s="61">
        <f>IF(Tasks[[#This Row],[Task Name]]="","",IF(OR(TakeBaseline="Yes",N(Tasks[[#This Row],[Baseline Finish]])=0),Tasks[[#This Row],[Finish]],Tasks[[#This Row],[Baseline Finish]]))</f>
        <v/>
      </c>
      <c r="BO74" s="21">
        <f>IF(Tasks[[#This Row],[Task Name]]="","",IF(OR(TakeBaseline="Yes",N(Tasks[[#This Row],[Baseline Duration]])=0),Tasks[[#This Row],[_SpanDays]],Tasks[[#This Row],[Baseline Duration]]))</f>
        <v/>
      </c>
      <c r="BP74" s="84">
        <f>IF(Tasks[[#This Row],[Task Name]]="","",IF(OR(TakeBaseline="Yes",N(Tasks[[#This Row],[Baseline Work]])=0),Tasks[[#This Row],[Work]],Tasks[[#This Row],[Baseline Work]]))</f>
        <v/>
      </c>
      <c r="BQ74" s="7" t="n"/>
      <c r="BR74" s="7" t="n"/>
      <c r="BS74" s="22" t="n"/>
      <c r="BT74" s="86" t="n"/>
      <c r="BU74" s="23" t="n"/>
      <c r="BV74" s="23" t="n"/>
      <c r="BW74" s="23" t="n"/>
      <c r="BX74" s="87">
        <f>IF(AND(Tasks[[#This Row],[_IsLeaf]]=1,ISNUMBER(Tasks[[#This Row],[Optimistic]]),ISNUMBER(Tasks[[#This Row],[Pessimistic]])),ROUND((Tasks[[#This Row],[Optimistic]]+4*N(Tasks[[#This Row],[_Days]])+Tasks[[#This Row],[Pessimistic]])/6,1),"")</f>
        <v/>
      </c>
      <c r="BY74" s="85" t="n"/>
      <c r="BZ74" s="85" t="n"/>
      <c r="CA74" s="22" t="n"/>
      <c r="CB74" s="42">
        <f>IF(Tasks[[#This Row],[Task Name]]="","",MAX(1,N(Tasks[[#This Row],[Level]])))</f>
        <v/>
      </c>
      <c r="CC74" s="42">
        <f>ROW()-ROW(Tasks[[#Headers],[ID]])</f>
        <v/>
      </c>
      <c r="CD74" s="42">
        <f>IF(OR(Tasks[[#This Row],[Task Name]]="",Tasks[[#This Row],[_Level]]&lt;=1),0,IFERROR(LOOKUP(2,1/(Tasks[[#Headers],[_Level]]:Tasks[[#This Row],[_Level]]=Tasks[[#This Row],[_Level]]-1),ROW(Tasks[[#Headers],[_Level]]:Tasks[[#This Row],[_Level]])),0))</f>
        <v/>
      </c>
      <c r="CE74" s="42">
        <f>IFERROR(N(INDEX(Tasks[_Level],Tasks[[#This Row],[_Row]]+1)),0)</f>
        <v/>
      </c>
      <c r="CF74" s="42">
        <f>AND(Tasks[[#This Row],[Task Name]]&lt;&gt;"",Tasks[[#This Row],[_NextLevel]]&gt;Tasks[[#This Row],[_Level]])</f>
        <v/>
      </c>
      <c r="CG74" s="42">
        <f>IF(Tasks[[#This Row],[_IsSummary]],COUNTIF(Tasks[WBS],Tasks[[#This Row],[WBS]]&amp;".*"),0)</f>
        <v/>
      </c>
      <c r="CH74" s="42">
        <f>IF(AND(Tasks[[#This Row],[Task Name]]&lt;&gt;"",NOT(Tasks[[#This Row],[_IsSummary]])),1,0)</f>
        <v/>
      </c>
      <c r="CI74" s="42">
        <f>IF(N(Tasks[[#This Row],[_Pred1UID]])=0,0,IFERROR(MATCH(Tasks[[#This Row],[_Pred1UID]],Tasks[UID],0),-1))</f>
        <v/>
      </c>
      <c r="CJ74" s="42">
        <f>IF(N(Tasks[[#This Row],[_Pred2UID]])=0,0,IFERROR(MATCH(Tasks[[#This Row],[_Pred2UID]],Tasks[UID],0),-1))</f>
        <v/>
      </c>
      <c r="CK74" s="42">
        <f>IF(N(Tasks[[#This Row],[_Pred3UID]])=0,0,IFERROR(MATCH(Tasks[[#This Row],[_Pred3UID]],Tasks[UID],0),-1))</f>
        <v/>
      </c>
      <c r="CL74" s="42">
        <f>IF(N(Tasks[[#This Row],[_Pred4UID]])=0,0,IFERROR(MATCH(Tasks[[#This Row],[_Pred4UID]],Tasks[UID],0),-1))</f>
        <v/>
      </c>
      <c r="CM7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4" s="88">
        <f>IF(N(Tasks[[#This Row],[Constraint Date]])=0,0,IF(AND(OR(Tasks[[#This Row],[_ConstraintCode]]=3,Tasks[[#This Row],[_ConstraintCode]]=6,Tasks[[#This Row],[_ConstraintCode]]=7),N(Tasks[[#This Row],[_Days]])&gt;1),WORKDAY.INTL(N(Tasks[[#This Row],[Constraint Date]]),-(N(Tasks[[#This Row],[_Days]])-1),WorkWeek,Holidays),N(Tasks[[#This Row],[Constraint Date]])))</f>
        <v/>
      </c>
      <c r="CO74" s="88">
        <f>IF(OR(Tasks[[#This Row],[_ConstraintCode]]=2,Tasks[[#This Row],[_ConstraintCode]]=3,Tasks[[#This Row],[_ConstraintCode]]=4,Tasks[[#This Row],[_ConstraintCode]]=6),Tasks[[#This Row],[_ConstraintStart]],0)</f>
        <v/>
      </c>
      <c r="CP74" s="88">
        <f>IF(OR(Tasks[[#This Row],[_ConstraintCode]]=2,Tasks[[#This Row],[_ConstraintCode]]=3,Tasks[[#This Row],[_ConstraintCode]]=5,Tasks[[#This Row],[_ConstraintCode]]=7),Tasks[[#This Row],[_ConstraintStart]],2958465)</f>
        <v/>
      </c>
      <c r="CQ7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4" s="88">
        <f>IF(NOT(Tasks[[#This Row],[_IsLeaf]]=1),"",IF(N(Tasks[[#This Row],[_Days]])&lt;=0,Tasks[[#This Row],[_LeafCalcStart]],WORKDAY.INTL(Tasks[[#This Row],[_LeafCalcStart]],Tasks[[#This Row],[_Days]]-1,WorkWeek,Holidays)))</f>
        <v/>
      </c>
      <c r="CS7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4" s="42">
        <f>IF(Tasks[[#This Row],[_Predecessors]]="","",TRIM(MID(SUBSTITUTE(SUBSTITUTE(SUBSTITUTE(UPPER(Tasks[[#This Row],[_Predecessors]]),";",",")," ",""),",",REPT(" ",99)),1,99)))</f>
        <v/>
      </c>
      <c r="CV74" s="42">
        <f>IF(Tasks[[#This Row],[_Pred1Text]]="","",IFERROR(VALUE(LEFT(Tasks[[#This Row],[_Pred1Text]],MIN(FIND("F",Tasks[[#This Row],[_Pred1Text]]&amp;"F"),FIND("S",Tasks[[#This Row],[_Pred1Text]]&amp;"S"),FIND("+",Tasks[[#This Row],[_Pred1Text]]&amp;"+"),FIND("-",Tasks[[#This Row],[_Pred1Text]]&amp;"-"))-1)),""))</f>
        <v/>
      </c>
      <c r="CW7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4" s="42">
        <f>IF(Tasks[[#This Row],[_Pred1Text]]="","",TRIM(MID(SUBSTITUTE(SUBSTITUTE(SUBSTITUTE(UPPER(Tasks[[#This Row],[_Predecessors]]),";",",")," ",""),",",REPT(" ",99)),100,99)))</f>
        <v/>
      </c>
      <c r="CZ74" s="42">
        <f>IF(Tasks[[#This Row],[_Pred2Text]]="","",IFERROR(VALUE(LEFT(Tasks[[#This Row],[_Pred2Text]],MIN(FIND("F",Tasks[[#This Row],[_Pred2Text]]&amp;"F"),FIND("S",Tasks[[#This Row],[_Pred2Text]]&amp;"S"),FIND("+",Tasks[[#This Row],[_Pred2Text]]&amp;"+"),FIND("-",Tasks[[#This Row],[_Pred2Text]]&amp;"-"))-1)),""))</f>
        <v/>
      </c>
      <c r="DA7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4" s="42">
        <f>IF(Tasks[[#This Row],[_Pred2Text]]="","",TRIM(MID(SUBSTITUTE(SUBSTITUTE(SUBSTITUTE(UPPER(Tasks[[#This Row],[_Predecessors]]),";",",")," ",""),",",REPT(" ",99)),199,99)))</f>
        <v/>
      </c>
      <c r="DD74" s="42">
        <f>IF(Tasks[[#This Row],[_Pred3Text]]="","",IFERROR(VALUE(LEFT(Tasks[[#This Row],[_Pred3Text]],MIN(FIND("F",Tasks[[#This Row],[_Pred3Text]]&amp;"F"),FIND("S",Tasks[[#This Row],[_Pred3Text]]&amp;"S"),FIND("+",Tasks[[#This Row],[_Pred3Text]]&amp;"+"),FIND("-",Tasks[[#This Row],[_Pred3Text]]&amp;"-"))-1)),""))</f>
        <v/>
      </c>
      <c r="DE7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4" s="42">
        <f>IF(Tasks[[#This Row],[_Pred3Text]]="","",TRIM(MID(SUBSTITUTE(SUBSTITUTE(SUBSTITUTE(UPPER(Tasks[[#This Row],[_Predecessors]]),";",",")," ",""),",",REPT(" ",99)),298,99)))</f>
        <v/>
      </c>
      <c r="DH74" s="42">
        <f>IF(Tasks[[#This Row],[_Pred4Text]]="","",IFERROR(VALUE(LEFT(Tasks[[#This Row],[_Pred4Text]],MIN(FIND("F",Tasks[[#This Row],[_Pred4Text]]&amp;"F"),FIND("S",Tasks[[#This Row],[_Pred4Text]]&amp;"S"),FIND("+",Tasks[[#This Row],[_Pred4Text]]&amp;"+"),FIND("-",Tasks[[#This Row],[_Pred4Text]]&amp;"-"))-1)),""))</f>
        <v/>
      </c>
      <c r="DI7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4" s="42">
        <f>IF(OR(Tasks[[#This Row],[Task Name]]="",Tasks[[#This Row],[_Resources]]=""),"",TRIM(MID(SUBSTITUTE(Tasks[[#This Row],[_Resources]],",",REPT(" ",99)),1,99)))</f>
        <v/>
      </c>
      <c r="DL74" s="42">
        <f>IF(Tasks[[#This Row],[_Res1Text]]="","",TRIM(MID(SUBSTITUTE(Tasks[[#This Row],[_Resources]],",",REPT(" ",99)),100,99)))</f>
        <v/>
      </c>
      <c r="DM74" s="42">
        <f>IF(Tasks[[#This Row],[_Res2Text]]="","",TRIM(MID(SUBSTITUTE(Tasks[[#This Row],[_Resources]],",",REPT(" ",99)),199,99)))</f>
        <v/>
      </c>
      <c r="DN74" s="42">
        <f>IF(Tasks[[#This Row],[_Res3Text]]="","",TRIM(MID(SUBSTITUTE(Tasks[[#This Row],[_Resources]],",",REPT(" ",99)),298,99)))</f>
        <v/>
      </c>
      <c r="DO74" s="42">
        <f>IF(Tasks[[#This Row],[_Res1Text]]="",0,IFERROR(MATCH(TRIM(LEFT(Tasks[[#This Row],[_Res1Text]],FIND("[",Tasks[[#This Row],[_Res1Text]]&amp;"[")-1)),res_Name,0),IFERROR(MATCH(TRIM(LEFT(Tasks[[#This Row],[_Res1Text]],FIND("[",Tasks[[#This Row],[_Res1Text]]&amp;"[")-1)),res_Initials,0),0)))</f>
        <v/>
      </c>
      <c r="DP74" s="42">
        <f>IF(Tasks[[#This Row],[_Res2Text]]="",0,IFERROR(MATCH(TRIM(LEFT(Tasks[[#This Row],[_Res2Text]],FIND("[",Tasks[[#This Row],[_Res2Text]]&amp;"[")-1)),res_Name,0),IFERROR(MATCH(TRIM(LEFT(Tasks[[#This Row],[_Res2Text]],FIND("[",Tasks[[#This Row],[_Res2Text]]&amp;"[")-1)),res_Initials,0),0)))</f>
        <v/>
      </c>
      <c r="DQ74" s="42">
        <f>IF(Tasks[[#This Row],[_Res3Text]]="",0,IFERROR(MATCH(TRIM(LEFT(Tasks[[#This Row],[_Res3Text]],FIND("[",Tasks[[#This Row],[_Res3Text]]&amp;"[")-1)),res_Name,0),IFERROR(MATCH(TRIM(LEFT(Tasks[[#This Row],[_Res3Text]],FIND("[",Tasks[[#This Row],[_Res3Text]]&amp;"[")-1)),res_Initials,0),0)))</f>
        <v/>
      </c>
      <c r="DR74" s="42">
        <f>IF(Tasks[[#This Row],[_Res4Text]]="",0,IFERROR(MATCH(TRIM(LEFT(Tasks[[#This Row],[_Res4Text]],FIND("[",Tasks[[#This Row],[_Res4Text]]&amp;"[")-1)),res_Name,0),IFERROR(MATCH(TRIM(LEFT(Tasks[[#This Row],[_Res4Text]],FIND("[",Tasks[[#This Row],[_Res4Text]]&amp;"[")-1)),res_Initials,0),0)))</f>
        <v/>
      </c>
      <c r="DS74" s="42">
        <f>IF(Tasks[[#This Row],[_Res1Text]]="","",IF(Tasks[[#This Row],[_Res1Row]]&gt;0,INDEX(res_Name,Tasks[[#This Row],[_Res1Row]]),TRIM(LEFT(Tasks[[#This Row],[_Res1Text]],FIND("[",Tasks[[#This Row],[_Res1Text]]&amp;"[")-1))))</f>
        <v/>
      </c>
      <c r="DT7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4" s="42">
        <f>IF(NOT(Tasks[[#This Row],[_IsLeaf]]=1),0,(Tasks[[#This Row],[_Resource1]]&lt;&gt;"")+(Tasks[[#This Row],[_Res2]]&lt;&gt;"")+(Tasks[[#This Row],[_Res3]]&lt;&gt;"")+(Tasks[[#This Row],[_Res4]]&lt;&gt;""))</f>
        <v/>
      </c>
      <c r="DV74" s="42">
        <f>IF(Tasks[[#This Row],[_Res2Text]]="","",IF(Tasks[[#This Row],[_Res2Row]]&gt;0,INDEX(res_Name,Tasks[[#This Row],[_Res2Row]]),TRIM(LEFT(Tasks[[#This Row],[_Res2Text]],FIND("[",Tasks[[#This Row],[_Res2Text]]&amp;"[")-1))))</f>
        <v/>
      </c>
      <c r="DW7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4" s="42">
        <f>IF(OR(NOT(Tasks[[#This Row],[_IsLeaf]]=1),Tasks[[#This Row],[_Res2Row]]=0),0,N(Tasks[[#This Row],[_Days]])*HoursPerDay*IF(Tasks[[#This Row],[_Res2Units]]="",DefaultUnits,Tasks[[#This Row],[_Res2Units]]))</f>
        <v/>
      </c>
      <c r="DY74" s="42">
        <f>IF(AND(AND(Tasks[[#This Row],[_IsLeaf]]=1,Tasks[[#This Row],[_LeafTotalWork]]&gt;0),Tasks[[#This Row],[_Res2Work]]&gt;0),Tasks[[#This Row],[_Res2Work]]/(Tasks[[#This Row],[_FinishWorkday]]-Tasks[[#This Row],[_StartWorkday]]+1),0)</f>
        <v/>
      </c>
      <c r="DZ74" s="42">
        <f>Tasks[[#This Row],[_Res2WorkPerWD]]*MAX(0,Tasks[[#This Row],[_StartWorkday]]-1)</f>
        <v/>
      </c>
      <c r="EA74" s="42">
        <f>Tasks[[#This Row],[_Res2Work]]*Tasks[[#This Row],[_LeafProgress]]</f>
        <v/>
      </c>
      <c r="EB74" s="42">
        <f>IF(Tasks[[#This Row],[_Res3Text]]="","",IF(Tasks[[#This Row],[_Res3Row]]&gt;0,INDEX(res_Name,Tasks[[#This Row],[_Res3Row]]),TRIM(LEFT(Tasks[[#This Row],[_Res3Text]],FIND("[",Tasks[[#This Row],[_Res3Text]]&amp;"[")-1))))</f>
        <v/>
      </c>
      <c r="EC7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4" s="42">
        <f>IF(OR(NOT(Tasks[[#This Row],[_IsLeaf]]=1),Tasks[[#This Row],[_Res3Row]]=0),0,N(Tasks[[#This Row],[_Days]])*HoursPerDay*IF(Tasks[[#This Row],[_Res3Units]]="",DefaultUnits,Tasks[[#This Row],[_Res3Units]]))</f>
        <v/>
      </c>
      <c r="EE74" s="42">
        <f>IF(AND(AND(Tasks[[#This Row],[_IsLeaf]]=1,Tasks[[#This Row],[_LeafTotalWork]]&gt;0),Tasks[[#This Row],[_Res3Work]]&gt;0),Tasks[[#This Row],[_Res3Work]]/(Tasks[[#This Row],[_FinishWorkday]]-Tasks[[#This Row],[_StartWorkday]]+1),0)</f>
        <v/>
      </c>
      <c r="EF74" s="42">
        <f>Tasks[[#This Row],[_Res3WorkPerWD]]*MAX(0,Tasks[[#This Row],[_StartWorkday]]-1)</f>
        <v/>
      </c>
      <c r="EG74" s="42">
        <f>Tasks[[#This Row],[_Res3Work]]*Tasks[[#This Row],[_LeafProgress]]</f>
        <v/>
      </c>
      <c r="EH74" s="42">
        <f>IF(Tasks[[#This Row],[_Res4Text]]="","",IF(Tasks[[#This Row],[_Res4Row]]&gt;0,INDEX(res_Name,Tasks[[#This Row],[_Res4Row]]),TRIM(LEFT(Tasks[[#This Row],[_Res4Text]],FIND("[",Tasks[[#This Row],[_Res4Text]]&amp;"[")-1))))</f>
        <v/>
      </c>
      <c r="EI7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4" s="42">
        <f>IF(OR(NOT(Tasks[[#This Row],[_IsLeaf]]=1),Tasks[[#This Row],[_Res4Row]]=0),0,N(Tasks[[#This Row],[_Days]])*HoursPerDay*IF(Tasks[[#This Row],[_Res4Units]]="",DefaultUnits,Tasks[[#This Row],[_Res4Units]]))</f>
        <v/>
      </c>
      <c r="EK74" s="42">
        <f>IF(AND(AND(Tasks[[#This Row],[_IsLeaf]]=1,Tasks[[#This Row],[_LeafTotalWork]]&gt;0),Tasks[[#This Row],[_Res4Work]]&gt;0),Tasks[[#This Row],[_Res4Work]]/(Tasks[[#This Row],[_FinishWorkday]]-Tasks[[#This Row],[_StartWorkday]]+1),0)</f>
        <v/>
      </c>
      <c r="EL74" s="42">
        <f>Tasks[[#This Row],[_Res4WorkPerWD]]*MAX(0,Tasks[[#This Row],[_StartWorkday]]-1)</f>
        <v/>
      </c>
      <c r="EM74" s="42">
        <f>Tasks[[#This Row],[_Res4Work]]*Tasks[[#This Row],[_LeafProgress]]</f>
        <v/>
      </c>
      <c r="EN74" s="42">
        <f>IF(ISNUMBER(Tasks[[#This Row],[% Complete]]),Tasks[[#This Row],[% Complete]],IF(Tasks[[#This Row],[Stage]]="",0,IFERROR(INDEX(stg_Pct,MATCH(Tasks[[#This Row],[Stage]],stg_Name,0)),0)))</f>
        <v/>
      </c>
      <c r="EO74" s="42">
        <f>IF(NOT(Tasks[[#This Row],[_IsLeaf]]=1),0,IF(N(Tasks[[#This Row],[Actual Finish]])&gt;0,1,MIN(1,Tasks[[#This Row],[_Pct]])))</f>
        <v/>
      </c>
      <c r="EP74" s="42">
        <f>IF(OR(NOT(Tasks[[#This Row],[_IsLeaf]]=1),Tasks[[#This Row],[_Res1Row]]=0),0,N(Tasks[[#This Row],[_Days]])*HoursPerDay*IF(Tasks[[#This Row],[_Units1]]="",DefaultUnits,Tasks[[#This Row],[_Units1]]))</f>
        <v/>
      </c>
      <c r="EQ74" s="42">
        <f>Tasks[[#This Row],[_LeafWork]]+Tasks[[#This Row],[_Res2Work]]+Tasks[[#This Row],[_Res3Work]]+Tasks[[#This Row],[_Res4Work]]</f>
        <v/>
      </c>
      <c r="ER7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4" s="42">
        <f>IF(NOT(Tasks[[#This Row],[_IsLeaf]]=1),0,MAX(_xlfn.MAXIFS(Tasks[_Row],Tasks[_Pred1UID],Tasks[[#This Row],[UID]]),_xlfn.MAXIFS(Tasks[_Row],Tasks[_Pred2UID],Tasks[[#This Row],[UID]]),_xlfn.MAXIFS(Tasks[_Row],Tasks[_Pred3UID],Tasks[[#This Row],[UID]]),_xlfn.MAXIFS(Tasks[_Row],Tasks[_Pred4UID],Tasks[[#This Row],[UID]])))</f>
        <v/>
      </c>
      <c r="FA7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4" s="88">
        <f>IF(NOT(Tasks[[#This Row],[_IsLeaf]]=1),"",IF(N(Tasks[[#This Row],[_Days]])&lt;=0,Tasks[[#This Row],[_LeafLateFinish]],WORKDAY.INTL(Tasks[[#This Row],[_LeafLateFinish]],-(Tasks[[#This Row],[_Days]]-1),WorkWeek,Holidays)))</f>
        <v/>
      </c>
      <c r="FD7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4" s="42">
        <f>AND(Tasks[[#This Row],[_IsLeaf]]=1,Tasks[[#This Row],[_LeafProgress]]&lt;1,N(Tasks[[#This Row],[_LeafTotalSlack]])&lt;=CriticalSlackDays)</f>
        <v/>
      </c>
      <c r="FF74" s="42">
        <f>IF(AND(Tasks[[#This Row],[_IsLeaf]]=1,Tasks[[#This Row],[_ConstraintCode]]=1,Tasks[[#This Row],[Mode]]&lt;&gt;"Manual",N(Tasks[[#This Row],[Actual Start]])=0),MAX(0,N(Tasks[[#This Row],[Free Slack]])),0)</f>
        <v/>
      </c>
      <c r="FG74" s="88">
        <f>IF(NOT(Tasks[[#This Row],[_IsLeaf]]=1),"",IF(Tasks[[#This Row],[_AlapShift]]=0,Tasks[[#This Row],[_LeafCalcStart]],WORKDAY.INTL(Tasks[[#This Row],[_LeafCalcStart]],Tasks[[#This Row],[_AlapShift]],WorkWeek,Holidays)))</f>
        <v/>
      </c>
      <c r="FH74" s="88">
        <f>IF(NOT(Tasks[[#This Row],[_IsLeaf]]=1),"",IF(Tasks[[#This Row],[_AlapShift]]=0,Tasks[[#This Row],[_LeafCalcFinish]],WORKDAY.INTL(Tasks[[#This Row],[_LeafCalcFinish]],Tasks[[#This Row],[_AlapShift]],WorkWeek,Holidays)))</f>
        <v/>
      </c>
      <c r="FI74" s="88">
        <f>IF(NOT(Tasks[[#This Row],[_IsLeaf]]=1),"",IF(Tasks[[#This Row],[_AlapShift]]=0,Tasks[[#This Row],[_LeafFcstStart]],WORKDAY.INTL(Tasks[[#This Row],[_LeafFcstStart]],Tasks[[#This Row],[_AlapShift]],WorkWeek,Holidays)))</f>
        <v/>
      </c>
      <c r="FJ74" s="88">
        <f>IF(NOT(Tasks[[#This Row],[_IsLeaf]]=1),"",IF(Tasks[[#This Row],[_AlapShift]]=0,Tasks[[#This Row],[_LeafFcstFinish]],WORKDAY.INTL(Tasks[[#This Row],[_LeafFcstFinish]],Tasks[[#This Row],[_AlapShift]],WorkWeek,Holidays)))</f>
        <v/>
      </c>
      <c r="FK74" s="88">
        <f>IF(Tasks[[#This Row],[Task Name]]="","",IF(Tasks[[#This Row],[_IsSummary]],MIN(INDEX(Tasks[_ShownCalcStart],Tasks[[#This Row],[_Row]]+1):INDEX(Tasks[_ShownCalcStart],Tasks[[#This Row],[_Row]]+Tasks[[#This Row],[_Descendants]])),Tasks[[#This Row],[_ShownCalcStart]]))</f>
        <v/>
      </c>
      <c r="FL74" s="88">
        <f>IF(Tasks[[#This Row],[Task Name]]="","",IF(Tasks[[#This Row],[_IsSummary]],MAX(INDEX(Tasks[_ShownCalcFinish],Tasks[[#This Row],[_Row]]+1):INDEX(Tasks[_ShownCalcFinish],Tasks[[#This Row],[_Row]]+Tasks[[#This Row],[_Descendants]])),Tasks[[#This Row],[_ShownCalcFinish]]))</f>
        <v/>
      </c>
      <c r="FM7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4" s="42">
        <f>IF(AND(Tasks[[#This Row],[_IsLeaf]]=1,Tasks[[#This Row],[_LeafTotalWork]]&gt;0),NETWORKDAYS.INTL(ProjectStart,Tasks[[#This Row],[_ShownFcstStart]],WorkWeek,Holidays),0)</f>
        <v/>
      </c>
      <c r="FZ74" s="42">
        <f>IF(AND(Tasks[[#This Row],[_IsLeaf]]=1,Tasks[[#This Row],[_LeafTotalWork]]&gt;0),MAX(Tasks[[#This Row],[_StartWorkday]],NETWORKDAYS.INTL(ProjectStart,Tasks[[#This Row],[_ShownFcstFinish]],WorkWeek,Holidays)),0)</f>
        <v/>
      </c>
      <c r="GA74" s="42">
        <f>IF(AND(Tasks[[#This Row],[_IsLeaf]]=1,Tasks[[#This Row],[_LeafTotalWork]]&gt;0),Tasks[[#This Row],[_LeafWork]]/(Tasks[[#This Row],[_FinishWorkday]]-Tasks[[#This Row],[_StartWorkday]]+1),0)</f>
        <v/>
      </c>
      <c r="GB74" s="42">
        <f>Tasks[[#This Row],[_WorkPerWorkday]]*(Tasks[[#This Row],[_StartWorkday]]-1)</f>
        <v/>
      </c>
      <c r="GC74" s="42">
        <f>IF(Tasks[[#This Row],[_IsLeaf]]=1,MAX(N(Tasks[[#This Row],[_Days]]),0.1),0)</f>
        <v/>
      </c>
      <c r="GD74" s="42">
        <f>Tasks[[#This Row],[_WeightDur]]*Tasks[[#This Row],[_LeafProgress]]</f>
        <v/>
      </c>
      <c r="GE74" s="42">
        <f>Tasks[[#This Row],[_WeightDur]]*Tasks[[#This Row],[_PlannedPct]]</f>
        <v/>
      </c>
      <c r="GF7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4" s="42">
        <f>IF(AND(Tasks[[#This Row],[_IsLeaf]]=1,N(Tasks[[#This Row],[_Days]])=0,Tasks[[#This Row],[_LeafProgress]]&lt;1),Tasks[[#This Row],[_ShownFcstFinish]]+Tasks[[#This Row],[_Row]]/100000,"")</f>
        <v/>
      </c>
      <c r="GH7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4" s="42">
        <f>IF(Tasks[[#This Row],[Task Name]]="","",LEFT(Tasks[[#This Row],[WBS]],FIND(".",Tasks[[#This Row],[WBS]]&amp;".")-1))</f>
        <v/>
      </c>
      <c r="GJ74" s="42">
        <f>IF(AND(Tasks[[#This Row],[Task Name]]&lt;&gt;"",Tasks[[#This Row],[_Level]]=1),Tasks[[#This Row],[_Row]],"")</f>
        <v/>
      </c>
      <c r="GK74" s="42">
        <f>IF(AND(Tasks[[#This Row],[_IsLeaf]]=1,N(Tasks[[#This Row],[_Days]])=0),Tasks[[#This Row],[Planned Finish]]+Tasks[[#This Row],[_Row]]/100000,"")</f>
        <v/>
      </c>
      <c r="GL74" s="42">
        <f>IF(AND(Tasks[[#This Row],[_IsLeaf]]=1,Tasks[[#This Row],[_LeafProgress]]&lt;1,OR(N(Tasks[[#This Row],[Finish Var]])&gt;0,Tasks[[#This Row],[Status]]="Late Start")),MAX(0,Tasks[[#This Row],[Finish Var]])+1-Tasks[[#This Row],[_Row]]/1000000,"")</f>
        <v/>
      </c>
      <c r="GM74" s="42">
        <f>IF(AND(Tasks[[#This Row],[_IsLeaf]]=1,N(Tasks[[#This Row],[Actual Start]])=0,Tasks[[#This Row],[_ShownFcstStart]]&gt;=StatusDate,Tasks[[#This Row],[_ShownFcstStart]]&lt;=LookaheadEnd),Tasks[[#This Row],[_ShownFcstStart]]+Tasks[[#This Row],[_Row]]/100000,"")</f>
        <v/>
      </c>
      <c r="GN74" s="42">
        <f>IF(AND(Tasks[[#This Row],[_IsLeaf]]=1,Tasks[[#This Row],[_LeafProgress]]&lt;1,Tasks[[#This Row],[_ShownFcstFinish]]&gt;=StatusDate,Tasks[[#This Row],[_ShownFcstFinish]]&lt;=LookaheadEnd),Tasks[[#This Row],[_ShownFcstFinish]]+Tasks[[#This Row],[_Row]]/100000,"")</f>
        <v/>
      </c>
      <c r="GO74" s="42">
        <f>IF(Tasks[[#This Row],[_LeafCritical]],Tasks[[#This Row],[_ShownFcstStart]]+Tasks[[#This Row],[_Row]]/100000,"")</f>
        <v/>
      </c>
      <c r="GP74" s="42">
        <f>Tasks[[#This Row],[_LeafWork]]*Tasks[[#This Row],[_LeafProgress]]</f>
        <v/>
      </c>
      <c r="GQ74" s="88">
        <f>IF(AND(Tasks[[#This Row],[_IsLeaf]]=1,Tasks[[#This Row],[_LeafProgress]]&gt;=1),IF(N(Tasks[[#This Row],[Actual Finish]])&gt;0,Tasks[[#This Row],[Actual Finish]],Tasks[[#This Row],[_ShownFcstFinish]]),"")</f>
        <v/>
      </c>
      <c r="GR74" s="42">
        <f>IF(Tasks[[#This Row],[_IsLeaf]]=1,N(Tasks[[#This Row],[Story Points]]),0)</f>
        <v/>
      </c>
      <c r="GS74" s="42">
        <f>""</f>
        <v/>
      </c>
      <c r="GT74" s="42">
        <f>IF(Tasks[[#This Row],[Task Name]]="",FALSE(),AND(Tasks[[#This Row],[_IsLeaf]]=1,N(Tasks[[#This Row],[_Days]])=0))</f>
        <v/>
      </c>
      <c r="GU74" s="88">
        <f>IF(Tasks[[#This Row],[Task Name]]="",0,IF(AND(Tasks[[#This Row],[_IsLeaf]]=1,NOT(Tasks[[#This Row],[_IsMilestone]]),N(Tasks[[#This Row],[Progress]])&gt;0),Tasks[[#This Row],[Start]],0))</f>
        <v/>
      </c>
      <c r="GV74" s="88">
        <f>IF(Tasks[[#This Row],[_DoneFrom]]=0,0,IF(Tasks[[#This Row],[Progress]]&gt;=1,Tasks[[#This Row],[Finish]],MAX(Tasks[[#This Row],[_DoneFrom]],Tasks[[#This Row],[Start]]+ROUND((Tasks[[#This Row],[Finish]]-Tasks[[#This Row],[Start]]+1)*Tasks[[#This Row],[Progress]],0)-1)))</f>
        <v/>
      </c>
      <c r="GW74" s="88">
        <f>IF(Tasks[[#This Row],[Task Name]]="",0,IF(OR(NOT(Tasks[[#This Row],[_IsLeaf]]=1),Tasks[[#This Row],[_IsMilestone]],N(Tasks[[#This Row],[Progress]])&gt;=1),0,IF(Tasks[[#This Row],[_DoneTo]]&gt;0,Tasks[[#This Row],[_DoneTo]]+1,Tasks[[#This Row],[Start]])))</f>
        <v/>
      </c>
      <c r="GX74" s="88">
        <f>IF(Tasks[[#This Row],[_RemFrom]]=0,0,Tasks[[#This Row],[Finish]])</f>
        <v/>
      </c>
      <c r="GY74" s="42">
        <f>IF(Tasks[[#This Row],[Task Name]]="",FALSE(),OR(NOT(BaselineSet),N(Tasks[[#This Row],[Baseline Start]])&gt;0))</f>
        <v/>
      </c>
      <c r="GZ74" s="42">
        <f>IF(AND(Sandbox="Yes",L_PARSE_DURATION(Tasks[[#This Row],[Sandbox Duration]])&lt;&gt;""),L_PARSE_DURATION(Tasks[[#This Row],[Sandbox Duration]]),L_PARSE_DURATION(Tasks[[#This Row],[Duration]]))</f>
        <v/>
      </c>
      <c r="HA7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4" s="42">
        <f>IF(Tasks[[#This Row],[_IsLeaf]]=1,Tasks[[#This Row],[_Row]],"")</f>
        <v/>
      </c>
      <c r="HD74" s="42">
        <f>IFERROR(INDEX(Tasks[UID],SMALL(Tasks[_PickKey],Tasks[[#This Row],[_Row]]))&amp;" "&amp;INDEX(Tasks[Task Name],SMALL(Tasks[_PickKey],Tasks[[#This Row],[_Row]])),"")</f>
        <v/>
      </c>
      <c r="HE74" s="42">
        <f>IF(Tasks[[#This Row],[Task Name]]="","",IF(Tasks[[#This Row],[_IsSummary]],NETWORKDAYS.INTL(Tasks[[#This Row],[Start]],Tasks[[#This Row],[Finish]],WorkWeek,Holidays),N(Tasks[[#This Row],[_Days]])))</f>
        <v/>
      </c>
      <c r="HF74" s="42">
        <f>IF(Tasks[[#This Row],[Expected]]="",0,((Tasks[[#This Row],[Pessimistic]]-Tasks[[#This Row],[Optimistic]])/6)^2)</f>
        <v/>
      </c>
      <c r="HG74" s="42">
        <f>IF(Tasks[[#This Row],[Expected]]="",0,Tasks[[#This Row],[Expected]]-N(Tasks[[#This Row],[_Days]]))</f>
        <v/>
      </c>
    </row>
    <row r="75">
      <c r="A75" s="21">
        <f>IF(Tasks[[#This Row],[Task Name]]="","",COUNTA(Tasks[[#Headers],[Task Name]]:Tasks[[#This Row],[Task Name]])-1)</f>
        <v/>
      </c>
      <c r="B75" s="22" t="n">
        <v>83</v>
      </c>
      <c r="C75" s="22" t="n"/>
      <c r="D75" s="23" t="n"/>
      <c r="E75" s="22" t="n"/>
      <c r="F75" s="23" t="n"/>
      <c r="G75" s="22" t="n"/>
      <c r="H75" s="22" t="n"/>
      <c r="I75" s="23" t="n"/>
      <c r="J75" s="22" t="n"/>
      <c r="K75" s="22" t="n"/>
      <c r="L75" s="23" t="n"/>
      <c r="M75" s="22" t="n"/>
      <c r="N75" s="22" t="n"/>
      <c r="O75" s="23" t="n"/>
      <c r="P75" s="22" t="n"/>
      <c r="Q75" s="22" t="n"/>
      <c r="R75" s="23" t="n"/>
      <c r="S75" s="23" t="n"/>
      <c r="T75" s="82" t="n"/>
      <c r="U75" s="23" t="n"/>
      <c r="V75" s="82" t="n"/>
      <c r="W75" s="23" t="n"/>
      <c r="X75" s="82" t="n"/>
      <c r="Y75" s="23" t="n"/>
      <c r="Z75" s="82" t="n"/>
      <c r="AA75" s="23" t="n"/>
      <c r="AB75" s="23" t="n"/>
      <c r="AC75" s="7" t="n"/>
      <c r="AD75" s="7" t="n"/>
      <c r="AE75" s="61">
        <f>IF(Tasks[[#This Row],[Task Name]]="","",IF(Tasks[[#This Row],[_IsSummary]],MIN(INDEX(Tasks[_ShownFcstStart],Tasks[[#This Row],[_Row]]+1):INDEX(Tasks[_ShownFcstStart],Tasks[[#This Row],[_Row]]+Tasks[[#This Row],[_Descendants]])),Tasks[[#This Row],[_ShownFcstStart]]))</f>
        <v/>
      </c>
      <c r="AF75" s="61">
        <f>IF(Tasks[[#This Row],[Task Name]]="","",IF(Tasks[[#This Row],[_IsSummary]],MAX(INDEX(Tasks[_ShownFcstFinish],Tasks[[#This Row],[_Row]]+1):INDEX(Tasks[_ShownFcstFinish],Tasks[[#This Row],[_Row]]+Tasks[[#This Row],[_Descendants]])),Tasks[[#This Row],[_ShownFcstFinish]]))</f>
        <v/>
      </c>
      <c r="AG75" s="21">
        <f>""</f>
        <v/>
      </c>
      <c r="AH75" s="23" t="n"/>
      <c r="AI7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5" s="7" t="n"/>
      <c r="AK75" s="22" t="n"/>
      <c r="AL75" s="23" t="n"/>
      <c r="AM75" s="7" t="n"/>
      <c r="AN75" s="21">
        <f>IF(Tasks[[#This Row],[Task Name]]="","",IF(Tasks[[#This Row],[Finish]]&gt;=Tasks[[#This Row],[Planned Finish]],NETWORKDAYS.INTL(Tasks[[#This Row],[Planned Finish]],Tasks[[#This Row],[Finish]],WorkWeek,Holidays)-1,1-NETWORKDAYS.INTL(Tasks[[#This Row],[Finish]],Tasks[[#This Row],[Planned Finish]],WorkWeek,Holidays)))</f>
        <v/>
      </c>
      <c r="AO75" s="21">
        <f>IF(Tasks[[#This Row],[Task Name]]="","",IF(Tasks[[#This Row],[Progress]]&gt;=1,"Complete",IF(OR(N(Tasks[[#This Row],[Actual Start]])&gt;0,Tasks[[#This Row],[Progress]]&gt;0),IF(Tasks[[#This Row],[Finish Var]]&gt;0,"Behind","In Progress"),IF(Tasks[[#This Row],[Planned Start]]&lt;StatusDate,"Late Start","Not Started"))))</f>
        <v/>
      </c>
      <c r="AP75" s="21">
        <f>IF(Tasks[[#This Row],[Task Name]]="","",IF(IF(Tasks[[#This Row],[_IsSummary]],COUNTIF(INDEX(Tasks[_LeafCritical],Tasks[[#This Row],[_Row]]+1):INDEX(Tasks[_LeafCritical],Tasks[[#This Row],[_Row]]+Tasks[[#This Row],[_Descendants]]),TRUE())&gt;0,Tasks[[#This Row],[_LeafCritical]]),"Yes",""))</f>
        <v/>
      </c>
      <c r="AQ75" s="61">
        <f>IF(Tasks[[#This Row],[Task Name]]="","",IF(N(Tasks[[#This Row],[Baseline Start]])&gt;0,Tasks[[#This Row],[Baseline Start]],Tasks[[#This Row],[_CalcStart]]))</f>
        <v/>
      </c>
      <c r="AR75" s="61">
        <f>IF(Tasks[[#This Row],[Task Name]]="","",IF(N(Tasks[[#This Row],[Baseline Finish]])&gt;0,Tasks[[#This Row],[Baseline Finish]],Tasks[[#This Row],[_CalcFinish]]))</f>
        <v/>
      </c>
      <c r="AS75" s="21">
        <f>IF(Tasks[[#This Row],[Task Name]]="","",IF(Tasks[[#This Row],[Start]]&gt;=Tasks[[#This Row],[Planned Start]],NETWORKDAYS.INTL(Tasks[[#This Row],[Planned Start]],Tasks[[#This Row],[Start]],WorkWeek,Holidays)-1,1-NETWORKDAYS.INTL(Tasks[[#This Row],[Start]],Tasks[[#This Row],[Planned Start]],WorkWeek,Holidays)))</f>
        <v/>
      </c>
      <c r="AT75" s="61">
        <f>IF(Tasks[[#This Row],[Task Name]]="","",IF(Tasks[[#This Row],[_IsSummary]],MIN(INDEX(Tasks[_LeafLateStart],Tasks[[#This Row],[_Row]]+1):INDEX(Tasks[_LeafLateStart],Tasks[[#This Row],[_Row]]+Tasks[[#This Row],[_Descendants]])),Tasks[[#This Row],[_LeafLateStart]]))</f>
        <v/>
      </c>
      <c r="AU75" s="61">
        <f>IF(Tasks[[#This Row],[Task Name]]="","",IF(Tasks[[#This Row],[_IsSummary]],MAX(INDEX(Tasks[_LeafLateFinish],Tasks[[#This Row],[_Row]]+1):INDEX(Tasks[_LeafLateFinish],Tasks[[#This Row],[_Row]]+Tasks[[#This Row],[_Descendants]])),Tasks[[#This Row],[_LeafLateFinish]]))</f>
        <v/>
      </c>
      <c r="AV75" s="21">
        <f>IF(Tasks[[#This Row],[Task Name]]="","",IF(Tasks[[#This Row],[_IsSummary]],MIN(INDEX(Tasks[_LeafTotalSlack],Tasks[[#This Row],[_Row]]+1):INDEX(Tasks[_LeafTotalSlack],Tasks[[#This Row],[_Row]]+Tasks[[#This Row],[_Descendants]])),Tasks[[#This Row],[_LeafTotalSlack]]))</f>
        <v/>
      </c>
      <c r="AW7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3" t="n"/>
      <c r="BA7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f>IF(Tasks[[#This Row],[Task Name]]="","",IF(Tasks[[#This Row],[_Level]]&lt;=OutlineShowLevel,"Yes","No"))</f>
        <v/>
      </c>
      <c r="BE75" s="84">
        <f>IF(Tasks[[#This Row],[Task Name]]="","",IF(Tasks[[#This Row],[_IsSummary]],SUM(INDEX(Tasks[_LeafTotalWork],Tasks[[#This Row],[_Row]]+1):INDEX(Tasks[_LeafTotalWork],Tasks[[#This Row],[_Row]]+Tasks[[#This Row],[_Descendants]])),Tasks[[#This Row],[_LeafTotalWork]]))</f>
        <v/>
      </c>
      <c r="BF75" s="23" t="n"/>
      <c r="BG7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f>""</f>
        <v/>
      </c>
      <c r="BI75" s="85" t="n"/>
      <c r="BJ75" s="22" t="n"/>
      <c r="BK75" s="21">
        <f>IF(OR(Tasks[[#This Row],[Task Name]]="",Tasks[[#This Row],[Baseline Duration]]=""),"",Tasks[[#This Row],[_SpanDays]]-N(Tasks[[#This Row],[Baseline Duration]]))</f>
        <v/>
      </c>
      <c r="BL75" s="84">
        <f>IF(OR(Tasks[[#This Row],[Task Name]]="",Tasks[[#This Row],[Baseline Work]]=""),"",Tasks[[#This Row],[Work]]-N(Tasks[[#This Row],[Baseline Work]]))</f>
        <v/>
      </c>
      <c r="BM75" s="61">
        <f>IF(Tasks[[#This Row],[Task Name]]="","",IF(OR(TakeBaseline="Yes",N(Tasks[[#This Row],[Baseline Start]])=0),Tasks[[#This Row],[Start]],Tasks[[#This Row],[Baseline Start]]))</f>
        <v/>
      </c>
      <c r="BN75" s="61">
        <f>IF(Tasks[[#This Row],[Task Name]]="","",IF(OR(TakeBaseline="Yes",N(Tasks[[#This Row],[Baseline Finish]])=0),Tasks[[#This Row],[Finish]],Tasks[[#This Row],[Baseline Finish]]))</f>
        <v/>
      </c>
      <c r="BO75" s="21">
        <f>IF(Tasks[[#This Row],[Task Name]]="","",IF(OR(TakeBaseline="Yes",N(Tasks[[#This Row],[Baseline Duration]])=0),Tasks[[#This Row],[_SpanDays]],Tasks[[#This Row],[Baseline Duration]]))</f>
        <v/>
      </c>
      <c r="BP75" s="84">
        <f>IF(Tasks[[#This Row],[Task Name]]="","",IF(OR(TakeBaseline="Yes",N(Tasks[[#This Row],[Baseline Work]])=0),Tasks[[#This Row],[Work]],Tasks[[#This Row],[Baseline Work]]))</f>
        <v/>
      </c>
      <c r="BQ75" s="7" t="n"/>
      <c r="BR75" s="7" t="n"/>
      <c r="BS75" s="22" t="n"/>
      <c r="BT75" s="86" t="n"/>
      <c r="BU75" s="23" t="n"/>
      <c r="BV75" s="23" t="n"/>
      <c r="BW75" s="23" t="n"/>
      <c r="BX75" s="87">
        <f>IF(AND(Tasks[[#This Row],[_IsLeaf]]=1,ISNUMBER(Tasks[[#This Row],[Optimistic]]),ISNUMBER(Tasks[[#This Row],[Pessimistic]])),ROUND((Tasks[[#This Row],[Optimistic]]+4*N(Tasks[[#This Row],[_Days]])+Tasks[[#This Row],[Pessimistic]])/6,1),"")</f>
        <v/>
      </c>
      <c r="BY75" s="85" t="n"/>
      <c r="BZ75" s="85" t="n"/>
      <c r="CA75" s="22" t="n"/>
      <c r="CB75" s="42">
        <f>IF(Tasks[[#This Row],[Task Name]]="","",MAX(1,N(Tasks[[#This Row],[Level]])))</f>
        <v/>
      </c>
      <c r="CC75" s="42">
        <f>ROW()-ROW(Tasks[[#Headers],[ID]])</f>
        <v/>
      </c>
      <c r="CD75" s="42">
        <f>IF(OR(Tasks[[#This Row],[Task Name]]="",Tasks[[#This Row],[_Level]]&lt;=1),0,IFERROR(LOOKUP(2,1/(Tasks[[#Headers],[_Level]]:Tasks[[#This Row],[_Level]]=Tasks[[#This Row],[_Level]]-1),ROW(Tasks[[#Headers],[_Level]]:Tasks[[#This Row],[_Level]])),0))</f>
        <v/>
      </c>
      <c r="CE75" s="42">
        <f>IFERROR(N(INDEX(Tasks[_Level],Tasks[[#This Row],[_Row]]+1)),0)</f>
        <v/>
      </c>
      <c r="CF75" s="42">
        <f>AND(Tasks[[#This Row],[Task Name]]&lt;&gt;"",Tasks[[#This Row],[_NextLevel]]&gt;Tasks[[#This Row],[_Level]])</f>
        <v/>
      </c>
      <c r="CG75" s="42">
        <f>IF(Tasks[[#This Row],[_IsSummary]],COUNTIF(Tasks[WBS],Tasks[[#This Row],[WBS]]&amp;".*"),0)</f>
        <v/>
      </c>
      <c r="CH75" s="42">
        <f>IF(AND(Tasks[[#This Row],[Task Name]]&lt;&gt;"",NOT(Tasks[[#This Row],[_IsSummary]])),1,0)</f>
        <v/>
      </c>
      <c r="CI75" s="42">
        <f>IF(N(Tasks[[#This Row],[_Pred1UID]])=0,0,IFERROR(MATCH(Tasks[[#This Row],[_Pred1UID]],Tasks[UID],0),-1))</f>
        <v/>
      </c>
      <c r="CJ75" s="42">
        <f>IF(N(Tasks[[#This Row],[_Pred2UID]])=0,0,IFERROR(MATCH(Tasks[[#This Row],[_Pred2UID]],Tasks[UID],0),-1))</f>
        <v/>
      </c>
      <c r="CK75" s="42">
        <f>IF(N(Tasks[[#This Row],[_Pred3UID]])=0,0,IFERROR(MATCH(Tasks[[#This Row],[_Pred3UID]],Tasks[UID],0),-1))</f>
        <v/>
      </c>
      <c r="CL75" s="42">
        <f>IF(N(Tasks[[#This Row],[_Pred4UID]])=0,0,IFERROR(MATCH(Tasks[[#This Row],[_Pred4UID]],Tasks[UID],0),-1))</f>
        <v/>
      </c>
      <c r="CM7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5" s="88">
        <f>IF(N(Tasks[[#This Row],[Constraint Date]])=0,0,IF(AND(OR(Tasks[[#This Row],[_ConstraintCode]]=3,Tasks[[#This Row],[_ConstraintCode]]=6,Tasks[[#This Row],[_ConstraintCode]]=7),N(Tasks[[#This Row],[_Days]])&gt;1),WORKDAY.INTL(N(Tasks[[#This Row],[Constraint Date]]),-(N(Tasks[[#This Row],[_Days]])-1),WorkWeek,Holidays),N(Tasks[[#This Row],[Constraint Date]])))</f>
        <v/>
      </c>
      <c r="CO75" s="88">
        <f>IF(OR(Tasks[[#This Row],[_ConstraintCode]]=2,Tasks[[#This Row],[_ConstraintCode]]=3,Tasks[[#This Row],[_ConstraintCode]]=4,Tasks[[#This Row],[_ConstraintCode]]=6),Tasks[[#This Row],[_ConstraintStart]],0)</f>
        <v/>
      </c>
      <c r="CP75" s="88">
        <f>IF(OR(Tasks[[#This Row],[_ConstraintCode]]=2,Tasks[[#This Row],[_ConstraintCode]]=3,Tasks[[#This Row],[_ConstraintCode]]=5,Tasks[[#This Row],[_ConstraintCode]]=7),Tasks[[#This Row],[_ConstraintStart]],2958465)</f>
        <v/>
      </c>
      <c r="CQ7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5" s="88">
        <f>IF(NOT(Tasks[[#This Row],[_IsLeaf]]=1),"",IF(N(Tasks[[#This Row],[_Days]])&lt;=0,Tasks[[#This Row],[_LeafCalcStart]],WORKDAY.INTL(Tasks[[#This Row],[_LeafCalcStart]],Tasks[[#This Row],[_Days]]-1,WorkWeek,Holidays)))</f>
        <v/>
      </c>
      <c r="CS7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5" s="42">
        <f>IF(Tasks[[#This Row],[_Predecessors]]="","",TRIM(MID(SUBSTITUTE(SUBSTITUTE(SUBSTITUTE(UPPER(Tasks[[#This Row],[_Predecessors]]),";",",")," ",""),",",REPT(" ",99)),1,99)))</f>
        <v/>
      </c>
      <c r="CV75" s="42">
        <f>IF(Tasks[[#This Row],[_Pred1Text]]="","",IFERROR(VALUE(LEFT(Tasks[[#This Row],[_Pred1Text]],MIN(FIND("F",Tasks[[#This Row],[_Pred1Text]]&amp;"F"),FIND("S",Tasks[[#This Row],[_Pred1Text]]&amp;"S"),FIND("+",Tasks[[#This Row],[_Pred1Text]]&amp;"+"),FIND("-",Tasks[[#This Row],[_Pred1Text]]&amp;"-"))-1)),""))</f>
        <v/>
      </c>
      <c r="CW7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5" s="42">
        <f>IF(Tasks[[#This Row],[_Pred1Text]]="","",TRIM(MID(SUBSTITUTE(SUBSTITUTE(SUBSTITUTE(UPPER(Tasks[[#This Row],[_Predecessors]]),";",",")," ",""),",",REPT(" ",99)),100,99)))</f>
        <v/>
      </c>
      <c r="CZ75" s="42">
        <f>IF(Tasks[[#This Row],[_Pred2Text]]="","",IFERROR(VALUE(LEFT(Tasks[[#This Row],[_Pred2Text]],MIN(FIND("F",Tasks[[#This Row],[_Pred2Text]]&amp;"F"),FIND("S",Tasks[[#This Row],[_Pred2Text]]&amp;"S"),FIND("+",Tasks[[#This Row],[_Pred2Text]]&amp;"+"),FIND("-",Tasks[[#This Row],[_Pred2Text]]&amp;"-"))-1)),""))</f>
        <v/>
      </c>
      <c r="DA7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5" s="42">
        <f>IF(Tasks[[#This Row],[_Pred2Text]]="","",TRIM(MID(SUBSTITUTE(SUBSTITUTE(SUBSTITUTE(UPPER(Tasks[[#This Row],[_Predecessors]]),";",",")," ",""),",",REPT(" ",99)),199,99)))</f>
        <v/>
      </c>
      <c r="DD75" s="42">
        <f>IF(Tasks[[#This Row],[_Pred3Text]]="","",IFERROR(VALUE(LEFT(Tasks[[#This Row],[_Pred3Text]],MIN(FIND("F",Tasks[[#This Row],[_Pred3Text]]&amp;"F"),FIND("S",Tasks[[#This Row],[_Pred3Text]]&amp;"S"),FIND("+",Tasks[[#This Row],[_Pred3Text]]&amp;"+"),FIND("-",Tasks[[#This Row],[_Pred3Text]]&amp;"-"))-1)),""))</f>
        <v/>
      </c>
      <c r="DE7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5" s="42">
        <f>IF(Tasks[[#This Row],[_Pred3Text]]="","",TRIM(MID(SUBSTITUTE(SUBSTITUTE(SUBSTITUTE(UPPER(Tasks[[#This Row],[_Predecessors]]),";",",")," ",""),",",REPT(" ",99)),298,99)))</f>
        <v/>
      </c>
      <c r="DH75" s="42">
        <f>IF(Tasks[[#This Row],[_Pred4Text]]="","",IFERROR(VALUE(LEFT(Tasks[[#This Row],[_Pred4Text]],MIN(FIND("F",Tasks[[#This Row],[_Pred4Text]]&amp;"F"),FIND("S",Tasks[[#This Row],[_Pred4Text]]&amp;"S"),FIND("+",Tasks[[#This Row],[_Pred4Text]]&amp;"+"),FIND("-",Tasks[[#This Row],[_Pred4Text]]&amp;"-"))-1)),""))</f>
        <v/>
      </c>
      <c r="DI7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5" s="42">
        <f>IF(OR(Tasks[[#This Row],[Task Name]]="",Tasks[[#This Row],[_Resources]]=""),"",TRIM(MID(SUBSTITUTE(Tasks[[#This Row],[_Resources]],",",REPT(" ",99)),1,99)))</f>
        <v/>
      </c>
      <c r="DL75" s="42">
        <f>IF(Tasks[[#This Row],[_Res1Text]]="","",TRIM(MID(SUBSTITUTE(Tasks[[#This Row],[_Resources]],",",REPT(" ",99)),100,99)))</f>
        <v/>
      </c>
      <c r="DM75" s="42">
        <f>IF(Tasks[[#This Row],[_Res2Text]]="","",TRIM(MID(SUBSTITUTE(Tasks[[#This Row],[_Resources]],",",REPT(" ",99)),199,99)))</f>
        <v/>
      </c>
      <c r="DN75" s="42">
        <f>IF(Tasks[[#This Row],[_Res3Text]]="","",TRIM(MID(SUBSTITUTE(Tasks[[#This Row],[_Resources]],",",REPT(" ",99)),298,99)))</f>
        <v/>
      </c>
      <c r="DO75" s="42">
        <f>IF(Tasks[[#This Row],[_Res1Text]]="",0,IFERROR(MATCH(TRIM(LEFT(Tasks[[#This Row],[_Res1Text]],FIND("[",Tasks[[#This Row],[_Res1Text]]&amp;"[")-1)),res_Name,0),IFERROR(MATCH(TRIM(LEFT(Tasks[[#This Row],[_Res1Text]],FIND("[",Tasks[[#This Row],[_Res1Text]]&amp;"[")-1)),res_Initials,0),0)))</f>
        <v/>
      </c>
      <c r="DP75" s="42">
        <f>IF(Tasks[[#This Row],[_Res2Text]]="",0,IFERROR(MATCH(TRIM(LEFT(Tasks[[#This Row],[_Res2Text]],FIND("[",Tasks[[#This Row],[_Res2Text]]&amp;"[")-1)),res_Name,0),IFERROR(MATCH(TRIM(LEFT(Tasks[[#This Row],[_Res2Text]],FIND("[",Tasks[[#This Row],[_Res2Text]]&amp;"[")-1)),res_Initials,0),0)))</f>
        <v/>
      </c>
      <c r="DQ75" s="42">
        <f>IF(Tasks[[#This Row],[_Res3Text]]="",0,IFERROR(MATCH(TRIM(LEFT(Tasks[[#This Row],[_Res3Text]],FIND("[",Tasks[[#This Row],[_Res3Text]]&amp;"[")-1)),res_Name,0),IFERROR(MATCH(TRIM(LEFT(Tasks[[#This Row],[_Res3Text]],FIND("[",Tasks[[#This Row],[_Res3Text]]&amp;"[")-1)),res_Initials,0),0)))</f>
        <v/>
      </c>
      <c r="DR75" s="42">
        <f>IF(Tasks[[#This Row],[_Res4Text]]="",0,IFERROR(MATCH(TRIM(LEFT(Tasks[[#This Row],[_Res4Text]],FIND("[",Tasks[[#This Row],[_Res4Text]]&amp;"[")-1)),res_Name,0),IFERROR(MATCH(TRIM(LEFT(Tasks[[#This Row],[_Res4Text]],FIND("[",Tasks[[#This Row],[_Res4Text]]&amp;"[")-1)),res_Initials,0),0)))</f>
        <v/>
      </c>
      <c r="DS75" s="42">
        <f>IF(Tasks[[#This Row],[_Res1Text]]="","",IF(Tasks[[#This Row],[_Res1Row]]&gt;0,INDEX(res_Name,Tasks[[#This Row],[_Res1Row]]),TRIM(LEFT(Tasks[[#This Row],[_Res1Text]],FIND("[",Tasks[[#This Row],[_Res1Text]]&amp;"[")-1))))</f>
        <v/>
      </c>
      <c r="DT7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5" s="42">
        <f>IF(NOT(Tasks[[#This Row],[_IsLeaf]]=1),0,(Tasks[[#This Row],[_Resource1]]&lt;&gt;"")+(Tasks[[#This Row],[_Res2]]&lt;&gt;"")+(Tasks[[#This Row],[_Res3]]&lt;&gt;"")+(Tasks[[#This Row],[_Res4]]&lt;&gt;""))</f>
        <v/>
      </c>
      <c r="DV75" s="42">
        <f>IF(Tasks[[#This Row],[_Res2Text]]="","",IF(Tasks[[#This Row],[_Res2Row]]&gt;0,INDEX(res_Name,Tasks[[#This Row],[_Res2Row]]),TRIM(LEFT(Tasks[[#This Row],[_Res2Text]],FIND("[",Tasks[[#This Row],[_Res2Text]]&amp;"[")-1))))</f>
        <v/>
      </c>
      <c r="DW7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5" s="42">
        <f>IF(OR(NOT(Tasks[[#This Row],[_IsLeaf]]=1),Tasks[[#This Row],[_Res2Row]]=0),0,N(Tasks[[#This Row],[_Days]])*HoursPerDay*IF(Tasks[[#This Row],[_Res2Units]]="",DefaultUnits,Tasks[[#This Row],[_Res2Units]]))</f>
        <v/>
      </c>
      <c r="DY75" s="42">
        <f>IF(AND(AND(Tasks[[#This Row],[_IsLeaf]]=1,Tasks[[#This Row],[_LeafTotalWork]]&gt;0),Tasks[[#This Row],[_Res2Work]]&gt;0),Tasks[[#This Row],[_Res2Work]]/(Tasks[[#This Row],[_FinishWorkday]]-Tasks[[#This Row],[_StartWorkday]]+1),0)</f>
        <v/>
      </c>
      <c r="DZ75" s="42">
        <f>Tasks[[#This Row],[_Res2WorkPerWD]]*MAX(0,Tasks[[#This Row],[_StartWorkday]]-1)</f>
        <v/>
      </c>
      <c r="EA75" s="42">
        <f>Tasks[[#This Row],[_Res2Work]]*Tasks[[#This Row],[_LeafProgress]]</f>
        <v/>
      </c>
      <c r="EB75" s="42">
        <f>IF(Tasks[[#This Row],[_Res3Text]]="","",IF(Tasks[[#This Row],[_Res3Row]]&gt;0,INDEX(res_Name,Tasks[[#This Row],[_Res3Row]]),TRIM(LEFT(Tasks[[#This Row],[_Res3Text]],FIND("[",Tasks[[#This Row],[_Res3Text]]&amp;"[")-1))))</f>
        <v/>
      </c>
      <c r="EC7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5" s="42">
        <f>IF(OR(NOT(Tasks[[#This Row],[_IsLeaf]]=1),Tasks[[#This Row],[_Res3Row]]=0),0,N(Tasks[[#This Row],[_Days]])*HoursPerDay*IF(Tasks[[#This Row],[_Res3Units]]="",DefaultUnits,Tasks[[#This Row],[_Res3Units]]))</f>
        <v/>
      </c>
      <c r="EE75" s="42">
        <f>IF(AND(AND(Tasks[[#This Row],[_IsLeaf]]=1,Tasks[[#This Row],[_LeafTotalWork]]&gt;0),Tasks[[#This Row],[_Res3Work]]&gt;0),Tasks[[#This Row],[_Res3Work]]/(Tasks[[#This Row],[_FinishWorkday]]-Tasks[[#This Row],[_StartWorkday]]+1),0)</f>
        <v/>
      </c>
      <c r="EF75" s="42">
        <f>Tasks[[#This Row],[_Res3WorkPerWD]]*MAX(0,Tasks[[#This Row],[_StartWorkday]]-1)</f>
        <v/>
      </c>
      <c r="EG75" s="42">
        <f>Tasks[[#This Row],[_Res3Work]]*Tasks[[#This Row],[_LeafProgress]]</f>
        <v/>
      </c>
      <c r="EH75" s="42">
        <f>IF(Tasks[[#This Row],[_Res4Text]]="","",IF(Tasks[[#This Row],[_Res4Row]]&gt;0,INDEX(res_Name,Tasks[[#This Row],[_Res4Row]]),TRIM(LEFT(Tasks[[#This Row],[_Res4Text]],FIND("[",Tasks[[#This Row],[_Res4Text]]&amp;"[")-1))))</f>
        <v/>
      </c>
      <c r="EI7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5" s="42">
        <f>IF(OR(NOT(Tasks[[#This Row],[_IsLeaf]]=1),Tasks[[#This Row],[_Res4Row]]=0),0,N(Tasks[[#This Row],[_Days]])*HoursPerDay*IF(Tasks[[#This Row],[_Res4Units]]="",DefaultUnits,Tasks[[#This Row],[_Res4Units]]))</f>
        <v/>
      </c>
      <c r="EK75" s="42">
        <f>IF(AND(AND(Tasks[[#This Row],[_IsLeaf]]=1,Tasks[[#This Row],[_LeafTotalWork]]&gt;0),Tasks[[#This Row],[_Res4Work]]&gt;0),Tasks[[#This Row],[_Res4Work]]/(Tasks[[#This Row],[_FinishWorkday]]-Tasks[[#This Row],[_StartWorkday]]+1),0)</f>
        <v/>
      </c>
      <c r="EL75" s="42">
        <f>Tasks[[#This Row],[_Res4WorkPerWD]]*MAX(0,Tasks[[#This Row],[_StartWorkday]]-1)</f>
        <v/>
      </c>
      <c r="EM75" s="42">
        <f>Tasks[[#This Row],[_Res4Work]]*Tasks[[#This Row],[_LeafProgress]]</f>
        <v/>
      </c>
      <c r="EN75" s="42">
        <f>IF(ISNUMBER(Tasks[[#This Row],[% Complete]]),Tasks[[#This Row],[% Complete]],IF(Tasks[[#This Row],[Stage]]="",0,IFERROR(INDEX(stg_Pct,MATCH(Tasks[[#This Row],[Stage]],stg_Name,0)),0)))</f>
        <v/>
      </c>
      <c r="EO75" s="42">
        <f>IF(NOT(Tasks[[#This Row],[_IsLeaf]]=1),0,IF(N(Tasks[[#This Row],[Actual Finish]])&gt;0,1,MIN(1,Tasks[[#This Row],[_Pct]])))</f>
        <v/>
      </c>
      <c r="EP75" s="42">
        <f>IF(OR(NOT(Tasks[[#This Row],[_IsLeaf]]=1),Tasks[[#This Row],[_Res1Row]]=0),0,N(Tasks[[#This Row],[_Days]])*HoursPerDay*IF(Tasks[[#This Row],[_Units1]]="",DefaultUnits,Tasks[[#This Row],[_Units1]]))</f>
        <v/>
      </c>
      <c r="EQ75" s="42">
        <f>Tasks[[#This Row],[_LeafWork]]+Tasks[[#This Row],[_Res2Work]]+Tasks[[#This Row],[_Res3Work]]+Tasks[[#This Row],[_Res4Work]]</f>
        <v/>
      </c>
      <c r="ER7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5" s="42">
        <f>IF(NOT(Tasks[[#This Row],[_IsLeaf]]=1),0,MAX(_xlfn.MAXIFS(Tasks[_Row],Tasks[_Pred1UID],Tasks[[#This Row],[UID]]),_xlfn.MAXIFS(Tasks[_Row],Tasks[_Pred2UID],Tasks[[#This Row],[UID]]),_xlfn.MAXIFS(Tasks[_Row],Tasks[_Pred3UID],Tasks[[#This Row],[UID]]),_xlfn.MAXIFS(Tasks[_Row],Tasks[_Pred4UID],Tasks[[#This Row],[UID]])))</f>
        <v/>
      </c>
      <c r="FA7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5" s="88">
        <f>IF(NOT(Tasks[[#This Row],[_IsLeaf]]=1),"",IF(N(Tasks[[#This Row],[_Days]])&lt;=0,Tasks[[#This Row],[_LeafLateFinish]],WORKDAY.INTL(Tasks[[#This Row],[_LeafLateFinish]],-(Tasks[[#This Row],[_Days]]-1),WorkWeek,Holidays)))</f>
        <v/>
      </c>
      <c r="FD7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5" s="42">
        <f>AND(Tasks[[#This Row],[_IsLeaf]]=1,Tasks[[#This Row],[_LeafProgress]]&lt;1,N(Tasks[[#This Row],[_LeafTotalSlack]])&lt;=CriticalSlackDays)</f>
        <v/>
      </c>
      <c r="FF75" s="42">
        <f>IF(AND(Tasks[[#This Row],[_IsLeaf]]=1,Tasks[[#This Row],[_ConstraintCode]]=1,Tasks[[#This Row],[Mode]]&lt;&gt;"Manual",N(Tasks[[#This Row],[Actual Start]])=0),MAX(0,N(Tasks[[#This Row],[Free Slack]])),0)</f>
        <v/>
      </c>
      <c r="FG75" s="88">
        <f>IF(NOT(Tasks[[#This Row],[_IsLeaf]]=1),"",IF(Tasks[[#This Row],[_AlapShift]]=0,Tasks[[#This Row],[_LeafCalcStart]],WORKDAY.INTL(Tasks[[#This Row],[_LeafCalcStart]],Tasks[[#This Row],[_AlapShift]],WorkWeek,Holidays)))</f>
        <v/>
      </c>
      <c r="FH75" s="88">
        <f>IF(NOT(Tasks[[#This Row],[_IsLeaf]]=1),"",IF(Tasks[[#This Row],[_AlapShift]]=0,Tasks[[#This Row],[_LeafCalcFinish]],WORKDAY.INTL(Tasks[[#This Row],[_LeafCalcFinish]],Tasks[[#This Row],[_AlapShift]],WorkWeek,Holidays)))</f>
        <v/>
      </c>
      <c r="FI75" s="88">
        <f>IF(NOT(Tasks[[#This Row],[_IsLeaf]]=1),"",IF(Tasks[[#This Row],[_AlapShift]]=0,Tasks[[#This Row],[_LeafFcstStart]],WORKDAY.INTL(Tasks[[#This Row],[_LeafFcstStart]],Tasks[[#This Row],[_AlapShift]],WorkWeek,Holidays)))</f>
        <v/>
      </c>
      <c r="FJ75" s="88">
        <f>IF(NOT(Tasks[[#This Row],[_IsLeaf]]=1),"",IF(Tasks[[#This Row],[_AlapShift]]=0,Tasks[[#This Row],[_LeafFcstFinish]],WORKDAY.INTL(Tasks[[#This Row],[_LeafFcstFinish]],Tasks[[#This Row],[_AlapShift]],WorkWeek,Holidays)))</f>
        <v/>
      </c>
      <c r="FK75" s="88">
        <f>IF(Tasks[[#This Row],[Task Name]]="","",IF(Tasks[[#This Row],[_IsSummary]],MIN(INDEX(Tasks[_ShownCalcStart],Tasks[[#This Row],[_Row]]+1):INDEX(Tasks[_ShownCalcStart],Tasks[[#This Row],[_Row]]+Tasks[[#This Row],[_Descendants]])),Tasks[[#This Row],[_ShownCalcStart]]))</f>
        <v/>
      </c>
      <c r="FL75" s="88">
        <f>IF(Tasks[[#This Row],[Task Name]]="","",IF(Tasks[[#This Row],[_IsSummary]],MAX(INDEX(Tasks[_ShownCalcFinish],Tasks[[#This Row],[_Row]]+1):INDEX(Tasks[_ShownCalcFinish],Tasks[[#This Row],[_Row]]+Tasks[[#This Row],[_Descendants]])),Tasks[[#This Row],[_ShownCalcFinish]]))</f>
        <v/>
      </c>
      <c r="FM7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5" s="42">
        <f>IF(AND(Tasks[[#This Row],[_IsLeaf]]=1,Tasks[[#This Row],[_LeafTotalWork]]&gt;0),NETWORKDAYS.INTL(ProjectStart,Tasks[[#This Row],[_ShownFcstStart]],WorkWeek,Holidays),0)</f>
        <v/>
      </c>
      <c r="FZ75" s="42">
        <f>IF(AND(Tasks[[#This Row],[_IsLeaf]]=1,Tasks[[#This Row],[_LeafTotalWork]]&gt;0),MAX(Tasks[[#This Row],[_StartWorkday]],NETWORKDAYS.INTL(ProjectStart,Tasks[[#This Row],[_ShownFcstFinish]],WorkWeek,Holidays)),0)</f>
        <v/>
      </c>
      <c r="GA75" s="42">
        <f>IF(AND(Tasks[[#This Row],[_IsLeaf]]=1,Tasks[[#This Row],[_LeafTotalWork]]&gt;0),Tasks[[#This Row],[_LeafWork]]/(Tasks[[#This Row],[_FinishWorkday]]-Tasks[[#This Row],[_StartWorkday]]+1),0)</f>
        <v/>
      </c>
      <c r="GB75" s="42">
        <f>Tasks[[#This Row],[_WorkPerWorkday]]*(Tasks[[#This Row],[_StartWorkday]]-1)</f>
        <v/>
      </c>
      <c r="GC75" s="42">
        <f>IF(Tasks[[#This Row],[_IsLeaf]]=1,MAX(N(Tasks[[#This Row],[_Days]]),0.1),0)</f>
        <v/>
      </c>
      <c r="GD75" s="42">
        <f>Tasks[[#This Row],[_WeightDur]]*Tasks[[#This Row],[_LeafProgress]]</f>
        <v/>
      </c>
      <c r="GE75" s="42">
        <f>Tasks[[#This Row],[_WeightDur]]*Tasks[[#This Row],[_PlannedPct]]</f>
        <v/>
      </c>
      <c r="GF7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5" s="42">
        <f>IF(AND(Tasks[[#This Row],[_IsLeaf]]=1,N(Tasks[[#This Row],[_Days]])=0,Tasks[[#This Row],[_LeafProgress]]&lt;1),Tasks[[#This Row],[_ShownFcstFinish]]+Tasks[[#This Row],[_Row]]/100000,"")</f>
        <v/>
      </c>
      <c r="GH7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5" s="42">
        <f>IF(Tasks[[#This Row],[Task Name]]="","",LEFT(Tasks[[#This Row],[WBS]],FIND(".",Tasks[[#This Row],[WBS]]&amp;".")-1))</f>
        <v/>
      </c>
      <c r="GJ75" s="42">
        <f>IF(AND(Tasks[[#This Row],[Task Name]]&lt;&gt;"",Tasks[[#This Row],[_Level]]=1),Tasks[[#This Row],[_Row]],"")</f>
        <v/>
      </c>
      <c r="GK75" s="42">
        <f>IF(AND(Tasks[[#This Row],[_IsLeaf]]=1,N(Tasks[[#This Row],[_Days]])=0),Tasks[[#This Row],[Planned Finish]]+Tasks[[#This Row],[_Row]]/100000,"")</f>
        <v/>
      </c>
      <c r="GL75" s="42">
        <f>IF(AND(Tasks[[#This Row],[_IsLeaf]]=1,Tasks[[#This Row],[_LeafProgress]]&lt;1,OR(N(Tasks[[#This Row],[Finish Var]])&gt;0,Tasks[[#This Row],[Status]]="Late Start")),MAX(0,Tasks[[#This Row],[Finish Var]])+1-Tasks[[#This Row],[_Row]]/1000000,"")</f>
        <v/>
      </c>
      <c r="GM75" s="42">
        <f>IF(AND(Tasks[[#This Row],[_IsLeaf]]=1,N(Tasks[[#This Row],[Actual Start]])=0,Tasks[[#This Row],[_ShownFcstStart]]&gt;=StatusDate,Tasks[[#This Row],[_ShownFcstStart]]&lt;=LookaheadEnd),Tasks[[#This Row],[_ShownFcstStart]]+Tasks[[#This Row],[_Row]]/100000,"")</f>
        <v/>
      </c>
      <c r="GN75" s="42">
        <f>IF(AND(Tasks[[#This Row],[_IsLeaf]]=1,Tasks[[#This Row],[_LeafProgress]]&lt;1,Tasks[[#This Row],[_ShownFcstFinish]]&gt;=StatusDate,Tasks[[#This Row],[_ShownFcstFinish]]&lt;=LookaheadEnd),Tasks[[#This Row],[_ShownFcstFinish]]+Tasks[[#This Row],[_Row]]/100000,"")</f>
        <v/>
      </c>
      <c r="GO75" s="42">
        <f>IF(Tasks[[#This Row],[_LeafCritical]],Tasks[[#This Row],[_ShownFcstStart]]+Tasks[[#This Row],[_Row]]/100000,"")</f>
        <v/>
      </c>
      <c r="GP75" s="42">
        <f>Tasks[[#This Row],[_LeafWork]]*Tasks[[#This Row],[_LeafProgress]]</f>
        <v/>
      </c>
      <c r="GQ75" s="88">
        <f>IF(AND(Tasks[[#This Row],[_IsLeaf]]=1,Tasks[[#This Row],[_LeafProgress]]&gt;=1),IF(N(Tasks[[#This Row],[Actual Finish]])&gt;0,Tasks[[#This Row],[Actual Finish]],Tasks[[#This Row],[_ShownFcstFinish]]),"")</f>
        <v/>
      </c>
      <c r="GR75" s="42">
        <f>IF(Tasks[[#This Row],[_IsLeaf]]=1,N(Tasks[[#This Row],[Story Points]]),0)</f>
        <v/>
      </c>
      <c r="GS75" s="42">
        <f>""</f>
        <v/>
      </c>
      <c r="GT75" s="42">
        <f>IF(Tasks[[#This Row],[Task Name]]="",FALSE(),AND(Tasks[[#This Row],[_IsLeaf]]=1,N(Tasks[[#This Row],[_Days]])=0))</f>
        <v/>
      </c>
      <c r="GU75" s="88">
        <f>IF(Tasks[[#This Row],[Task Name]]="",0,IF(AND(Tasks[[#This Row],[_IsLeaf]]=1,NOT(Tasks[[#This Row],[_IsMilestone]]),N(Tasks[[#This Row],[Progress]])&gt;0),Tasks[[#This Row],[Start]],0))</f>
        <v/>
      </c>
      <c r="GV75" s="88">
        <f>IF(Tasks[[#This Row],[_DoneFrom]]=0,0,IF(Tasks[[#This Row],[Progress]]&gt;=1,Tasks[[#This Row],[Finish]],MAX(Tasks[[#This Row],[_DoneFrom]],Tasks[[#This Row],[Start]]+ROUND((Tasks[[#This Row],[Finish]]-Tasks[[#This Row],[Start]]+1)*Tasks[[#This Row],[Progress]],0)-1)))</f>
        <v/>
      </c>
      <c r="GW75" s="88">
        <f>IF(Tasks[[#This Row],[Task Name]]="",0,IF(OR(NOT(Tasks[[#This Row],[_IsLeaf]]=1),Tasks[[#This Row],[_IsMilestone]],N(Tasks[[#This Row],[Progress]])&gt;=1),0,IF(Tasks[[#This Row],[_DoneTo]]&gt;0,Tasks[[#This Row],[_DoneTo]]+1,Tasks[[#This Row],[Start]])))</f>
        <v/>
      </c>
      <c r="GX75" s="88">
        <f>IF(Tasks[[#This Row],[_RemFrom]]=0,0,Tasks[[#This Row],[Finish]])</f>
        <v/>
      </c>
      <c r="GY75" s="42">
        <f>IF(Tasks[[#This Row],[Task Name]]="",FALSE(),OR(NOT(BaselineSet),N(Tasks[[#This Row],[Baseline Start]])&gt;0))</f>
        <v/>
      </c>
      <c r="GZ75" s="42">
        <f>IF(AND(Sandbox="Yes",L_PARSE_DURATION(Tasks[[#This Row],[Sandbox Duration]])&lt;&gt;""),L_PARSE_DURATION(Tasks[[#This Row],[Sandbox Duration]]),L_PARSE_DURATION(Tasks[[#This Row],[Duration]]))</f>
        <v/>
      </c>
      <c r="HA7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5" s="42">
        <f>IF(Tasks[[#This Row],[_IsLeaf]]=1,Tasks[[#This Row],[_Row]],"")</f>
        <v/>
      </c>
      <c r="HD75" s="42">
        <f>IFERROR(INDEX(Tasks[UID],SMALL(Tasks[_PickKey],Tasks[[#This Row],[_Row]]))&amp;" "&amp;INDEX(Tasks[Task Name],SMALL(Tasks[_PickKey],Tasks[[#This Row],[_Row]])),"")</f>
        <v/>
      </c>
      <c r="HE75" s="42">
        <f>IF(Tasks[[#This Row],[Task Name]]="","",IF(Tasks[[#This Row],[_IsSummary]],NETWORKDAYS.INTL(Tasks[[#This Row],[Start]],Tasks[[#This Row],[Finish]],WorkWeek,Holidays),N(Tasks[[#This Row],[_Days]])))</f>
        <v/>
      </c>
      <c r="HF75" s="42">
        <f>IF(Tasks[[#This Row],[Expected]]="",0,((Tasks[[#This Row],[Pessimistic]]-Tasks[[#This Row],[Optimistic]])/6)^2)</f>
        <v/>
      </c>
      <c r="HG75" s="42">
        <f>IF(Tasks[[#This Row],[Expected]]="",0,Tasks[[#This Row],[Expected]]-N(Tasks[[#This Row],[_Days]]))</f>
        <v/>
      </c>
    </row>
    <row r="76">
      <c r="A76" s="21">
        <f>IF(Tasks[[#This Row],[Task Name]]="","",COUNTA(Tasks[[#Headers],[Task Name]]:Tasks[[#This Row],[Task Name]])-1)</f>
        <v/>
      </c>
      <c r="B76" s="22" t="n">
        <v>84</v>
      </c>
      <c r="C76" s="22" t="n"/>
      <c r="D76" s="23" t="n"/>
      <c r="E76" s="22" t="n"/>
      <c r="F76" s="23" t="n"/>
      <c r="G76" s="22" t="n"/>
      <c r="H76" s="22" t="n"/>
      <c r="I76" s="23" t="n"/>
      <c r="J76" s="22" t="n"/>
      <c r="K76" s="22" t="n"/>
      <c r="L76" s="23" t="n"/>
      <c r="M76" s="22" t="n"/>
      <c r="N76" s="22" t="n"/>
      <c r="O76" s="23" t="n"/>
      <c r="P76" s="22" t="n"/>
      <c r="Q76" s="22" t="n"/>
      <c r="R76" s="23" t="n"/>
      <c r="S76" s="23" t="n"/>
      <c r="T76" s="82" t="n"/>
      <c r="U76" s="23" t="n"/>
      <c r="V76" s="82" t="n"/>
      <c r="W76" s="23" t="n"/>
      <c r="X76" s="82" t="n"/>
      <c r="Y76" s="23" t="n"/>
      <c r="Z76" s="82" t="n"/>
      <c r="AA76" s="23" t="n"/>
      <c r="AB76" s="23" t="n"/>
      <c r="AC76" s="7" t="n"/>
      <c r="AD76" s="7" t="n"/>
      <c r="AE76" s="61">
        <f>IF(Tasks[[#This Row],[Task Name]]="","",IF(Tasks[[#This Row],[_IsSummary]],MIN(INDEX(Tasks[_ShownFcstStart],Tasks[[#This Row],[_Row]]+1):INDEX(Tasks[_ShownFcstStart],Tasks[[#This Row],[_Row]]+Tasks[[#This Row],[_Descendants]])),Tasks[[#This Row],[_ShownFcstStart]]))</f>
        <v/>
      </c>
      <c r="AF76" s="61">
        <f>IF(Tasks[[#This Row],[Task Name]]="","",IF(Tasks[[#This Row],[_IsSummary]],MAX(INDEX(Tasks[_ShownFcstFinish],Tasks[[#This Row],[_Row]]+1):INDEX(Tasks[_ShownFcstFinish],Tasks[[#This Row],[_Row]]+Tasks[[#This Row],[_Descendants]])),Tasks[[#This Row],[_ShownFcstFinish]]))</f>
        <v/>
      </c>
      <c r="AG76" s="21">
        <f>""</f>
        <v/>
      </c>
      <c r="AH76" s="23" t="n"/>
      <c r="AI7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6" s="7" t="n"/>
      <c r="AK76" s="22" t="n"/>
      <c r="AL76" s="23" t="n"/>
      <c r="AM76" s="7" t="n"/>
      <c r="AN76" s="21">
        <f>IF(Tasks[[#This Row],[Task Name]]="","",IF(Tasks[[#This Row],[Finish]]&gt;=Tasks[[#This Row],[Planned Finish]],NETWORKDAYS.INTL(Tasks[[#This Row],[Planned Finish]],Tasks[[#This Row],[Finish]],WorkWeek,Holidays)-1,1-NETWORKDAYS.INTL(Tasks[[#This Row],[Finish]],Tasks[[#This Row],[Planned Finish]],WorkWeek,Holidays)))</f>
        <v/>
      </c>
      <c r="AO76" s="21">
        <f>IF(Tasks[[#This Row],[Task Name]]="","",IF(Tasks[[#This Row],[Progress]]&gt;=1,"Complete",IF(OR(N(Tasks[[#This Row],[Actual Start]])&gt;0,Tasks[[#This Row],[Progress]]&gt;0),IF(Tasks[[#This Row],[Finish Var]]&gt;0,"Behind","In Progress"),IF(Tasks[[#This Row],[Planned Start]]&lt;StatusDate,"Late Start","Not Started"))))</f>
        <v/>
      </c>
      <c r="AP76" s="21">
        <f>IF(Tasks[[#This Row],[Task Name]]="","",IF(IF(Tasks[[#This Row],[_IsSummary]],COUNTIF(INDEX(Tasks[_LeafCritical],Tasks[[#This Row],[_Row]]+1):INDEX(Tasks[_LeafCritical],Tasks[[#This Row],[_Row]]+Tasks[[#This Row],[_Descendants]]),TRUE())&gt;0,Tasks[[#This Row],[_LeafCritical]]),"Yes",""))</f>
        <v/>
      </c>
      <c r="AQ76" s="61">
        <f>IF(Tasks[[#This Row],[Task Name]]="","",IF(N(Tasks[[#This Row],[Baseline Start]])&gt;0,Tasks[[#This Row],[Baseline Start]],Tasks[[#This Row],[_CalcStart]]))</f>
        <v/>
      </c>
      <c r="AR76" s="61">
        <f>IF(Tasks[[#This Row],[Task Name]]="","",IF(N(Tasks[[#This Row],[Baseline Finish]])&gt;0,Tasks[[#This Row],[Baseline Finish]],Tasks[[#This Row],[_CalcFinish]]))</f>
        <v/>
      </c>
      <c r="AS76" s="21">
        <f>IF(Tasks[[#This Row],[Task Name]]="","",IF(Tasks[[#This Row],[Start]]&gt;=Tasks[[#This Row],[Planned Start]],NETWORKDAYS.INTL(Tasks[[#This Row],[Planned Start]],Tasks[[#This Row],[Start]],WorkWeek,Holidays)-1,1-NETWORKDAYS.INTL(Tasks[[#This Row],[Start]],Tasks[[#This Row],[Planned Start]],WorkWeek,Holidays)))</f>
        <v/>
      </c>
      <c r="AT76" s="61">
        <f>IF(Tasks[[#This Row],[Task Name]]="","",IF(Tasks[[#This Row],[_IsSummary]],MIN(INDEX(Tasks[_LeafLateStart],Tasks[[#This Row],[_Row]]+1):INDEX(Tasks[_LeafLateStart],Tasks[[#This Row],[_Row]]+Tasks[[#This Row],[_Descendants]])),Tasks[[#This Row],[_LeafLateStart]]))</f>
        <v/>
      </c>
      <c r="AU76" s="61">
        <f>IF(Tasks[[#This Row],[Task Name]]="","",IF(Tasks[[#This Row],[_IsSummary]],MAX(INDEX(Tasks[_LeafLateFinish],Tasks[[#This Row],[_Row]]+1):INDEX(Tasks[_LeafLateFinish],Tasks[[#This Row],[_Row]]+Tasks[[#This Row],[_Descendants]])),Tasks[[#This Row],[_LeafLateFinish]]))</f>
        <v/>
      </c>
      <c r="AV76" s="21">
        <f>IF(Tasks[[#This Row],[Task Name]]="","",IF(Tasks[[#This Row],[_IsSummary]],MIN(INDEX(Tasks[_LeafTotalSlack],Tasks[[#This Row],[_Row]]+1):INDEX(Tasks[_LeafTotalSlack],Tasks[[#This Row],[_Row]]+Tasks[[#This Row],[_Descendants]])),Tasks[[#This Row],[_LeafTotalSlack]]))</f>
        <v/>
      </c>
      <c r="AW7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3" t="n"/>
      <c r="BA7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f>IF(Tasks[[#This Row],[Task Name]]="","",IF(Tasks[[#This Row],[_Level]]&lt;=OutlineShowLevel,"Yes","No"))</f>
        <v/>
      </c>
      <c r="BE76" s="84">
        <f>IF(Tasks[[#This Row],[Task Name]]="","",IF(Tasks[[#This Row],[_IsSummary]],SUM(INDEX(Tasks[_LeafTotalWork],Tasks[[#This Row],[_Row]]+1):INDEX(Tasks[_LeafTotalWork],Tasks[[#This Row],[_Row]]+Tasks[[#This Row],[_Descendants]])),Tasks[[#This Row],[_LeafTotalWork]]))</f>
        <v/>
      </c>
      <c r="BF76" s="23" t="n"/>
      <c r="BG7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f>""</f>
        <v/>
      </c>
      <c r="BI76" s="85" t="n"/>
      <c r="BJ76" s="22" t="n"/>
      <c r="BK76" s="21">
        <f>IF(OR(Tasks[[#This Row],[Task Name]]="",Tasks[[#This Row],[Baseline Duration]]=""),"",Tasks[[#This Row],[_SpanDays]]-N(Tasks[[#This Row],[Baseline Duration]]))</f>
        <v/>
      </c>
      <c r="BL76" s="84">
        <f>IF(OR(Tasks[[#This Row],[Task Name]]="",Tasks[[#This Row],[Baseline Work]]=""),"",Tasks[[#This Row],[Work]]-N(Tasks[[#This Row],[Baseline Work]]))</f>
        <v/>
      </c>
      <c r="BM76" s="61">
        <f>IF(Tasks[[#This Row],[Task Name]]="","",IF(OR(TakeBaseline="Yes",N(Tasks[[#This Row],[Baseline Start]])=0),Tasks[[#This Row],[Start]],Tasks[[#This Row],[Baseline Start]]))</f>
        <v/>
      </c>
      <c r="BN76" s="61">
        <f>IF(Tasks[[#This Row],[Task Name]]="","",IF(OR(TakeBaseline="Yes",N(Tasks[[#This Row],[Baseline Finish]])=0),Tasks[[#This Row],[Finish]],Tasks[[#This Row],[Baseline Finish]]))</f>
        <v/>
      </c>
      <c r="BO76" s="21">
        <f>IF(Tasks[[#This Row],[Task Name]]="","",IF(OR(TakeBaseline="Yes",N(Tasks[[#This Row],[Baseline Duration]])=0),Tasks[[#This Row],[_SpanDays]],Tasks[[#This Row],[Baseline Duration]]))</f>
        <v/>
      </c>
      <c r="BP76" s="84">
        <f>IF(Tasks[[#This Row],[Task Name]]="","",IF(OR(TakeBaseline="Yes",N(Tasks[[#This Row],[Baseline Work]])=0),Tasks[[#This Row],[Work]],Tasks[[#This Row],[Baseline Work]]))</f>
        <v/>
      </c>
      <c r="BQ76" s="7" t="n"/>
      <c r="BR76" s="7" t="n"/>
      <c r="BS76" s="22" t="n"/>
      <c r="BT76" s="86" t="n"/>
      <c r="BU76" s="23" t="n"/>
      <c r="BV76" s="23" t="n"/>
      <c r="BW76" s="23" t="n"/>
      <c r="BX76" s="87">
        <f>IF(AND(Tasks[[#This Row],[_IsLeaf]]=1,ISNUMBER(Tasks[[#This Row],[Optimistic]]),ISNUMBER(Tasks[[#This Row],[Pessimistic]])),ROUND((Tasks[[#This Row],[Optimistic]]+4*N(Tasks[[#This Row],[_Days]])+Tasks[[#This Row],[Pessimistic]])/6,1),"")</f>
        <v/>
      </c>
      <c r="BY76" s="85" t="n"/>
      <c r="BZ76" s="85" t="n"/>
      <c r="CA76" s="22" t="n"/>
      <c r="CB76" s="42">
        <f>IF(Tasks[[#This Row],[Task Name]]="","",MAX(1,N(Tasks[[#This Row],[Level]])))</f>
        <v/>
      </c>
      <c r="CC76" s="42">
        <f>ROW()-ROW(Tasks[[#Headers],[ID]])</f>
        <v/>
      </c>
      <c r="CD76" s="42">
        <f>IF(OR(Tasks[[#This Row],[Task Name]]="",Tasks[[#This Row],[_Level]]&lt;=1),0,IFERROR(LOOKUP(2,1/(Tasks[[#Headers],[_Level]]:Tasks[[#This Row],[_Level]]=Tasks[[#This Row],[_Level]]-1),ROW(Tasks[[#Headers],[_Level]]:Tasks[[#This Row],[_Level]])),0))</f>
        <v/>
      </c>
      <c r="CE76" s="42">
        <f>IFERROR(N(INDEX(Tasks[_Level],Tasks[[#This Row],[_Row]]+1)),0)</f>
        <v/>
      </c>
      <c r="CF76" s="42">
        <f>AND(Tasks[[#This Row],[Task Name]]&lt;&gt;"",Tasks[[#This Row],[_NextLevel]]&gt;Tasks[[#This Row],[_Level]])</f>
        <v/>
      </c>
      <c r="CG76" s="42">
        <f>IF(Tasks[[#This Row],[_IsSummary]],COUNTIF(Tasks[WBS],Tasks[[#This Row],[WBS]]&amp;".*"),0)</f>
        <v/>
      </c>
      <c r="CH76" s="42">
        <f>IF(AND(Tasks[[#This Row],[Task Name]]&lt;&gt;"",NOT(Tasks[[#This Row],[_IsSummary]])),1,0)</f>
        <v/>
      </c>
      <c r="CI76" s="42">
        <f>IF(N(Tasks[[#This Row],[_Pred1UID]])=0,0,IFERROR(MATCH(Tasks[[#This Row],[_Pred1UID]],Tasks[UID],0),-1))</f>
        <v/>
      </c>
      <c r="CJ76" s="42">
        <f>IF(N(Tasks[[#This Row],[_Pred2UID]])=0,0,IFERROR(MATCH(Tasks[[#This Row],[_Pred2UID]],Tasks[UID],0),-1))</f>
        <v/>
      </c>
      <c r="CK76" s="42">
        <f>IF(N(Tasks[[#This Row],[_Pred3UID]])=0,0,IFERROR(MATCH(Tasks[[#This Row],[_Pred3UID]],Tasks[UID],0),-1))</f>
        <v/>
      </c>
      <c r="CL76" s="42">
        <f>IF(N(Tasks[[#This Row],[_Pred4UID]])=0,0,IFERROR(MATCH(Tasks[[#This Row],[_Pred4UID]],Tasks[UID],0),-1))</f>
        <v/>
      </c>
      <c r="CM7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6" s="88">
        <f>IF(N(Tasks[[#This Row],[Constraint Date]])=0,0,IF(AND(OR(Tasks[[#This Row],[_ConstraintCode]]=3,Tasks[[#This Row],[_ConstraintCode]]=6,Tasks[[#This Row],[_ConstraintCode]]=7),N(Tasks[[#This Row],[_Days]])&gt;1),WORKDAY.INTL(N(Tasks[[#This Row],[Constraint Date]]),-(N(Tasks[[#This Row],[_Days]])-1),WorkWeek,Holidays),N(Tasks[[#This Row],[Constraint Date]])))</f>
        <v/>
      </c>
      <c r="CO76" s="88">
        <f>IF(OR(Tasks[[#This Row],[_ConstraintCode]]=2,Tasks[[#This Row],[_ConstraintCode]]=3,Tasks[[#This Row],[_ConstraintCode]]=4,Tasks[[#This Row],[_ConstraintCode]]=6),Tasks[[#This Row],[_ConstraintStart]],0)</f>
        <v/>
      </c>
      <c r="CP76" s="88">
        <f>IF(OR(Tasks[[#This Row],[_ConstraintCode]]=2,Tasks[[#This Row],[_ConstraintCode]]=3,Tasks[[#This Row],[_ConstraintCode]]=5,Tasks[[#This Row],[_ConstraintCode]]=7),Tasks[[#This Row],[_ConstraintStart]],2958465)</f>
        <v/>
      </c>
      <c r="CQ7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6" s="88">
        <f>IF(NOT(Tasks[[#This Row],[_IsLeaf]]=1),"",IF(N(Tasks[[#This Row],[_Days]])&lt;=0,Tasks[[#This Row],[_LeafCalcStart]],WORKDAY.INTL(Tasks[[#This Row],[_LeafCalcStart]],Tasks[[#This Row],[_Days]]-1,WorkWeek,Holidays)))</f>
        <v/>
      </c>
      <c r="CS7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6" s="42">
        <f>IF(Tasks[[#This Row],[_Predecessors]]="","",TRIM(MID(SUBSTITUTE(SUBSTITUTE(SUBSTITUTE(UPPER(Tasks[[#This Row],[_Predecessors]]),";",",")," ",""),",",REPT(" ",99)),1,99)))</f>
        <v/>
      </c>
      <c r="CV76" s="42">
        <f>IF(Tasks[[#This Row],[_Pred1Text]]="","",IFERROR(VALUE(LEFT(Tasks[[#This Row],[_Pred1Text]],MIN(FIND("F",Tasks[[#This Row],[_Pred1Text]]&amp;"F"),FIND("S",Tasks[[#This Row],[_Pred1Text]]&amp;"S"),FIND("+",Tasks[[#This Row],[_Pred1Text]]&amp;"+"),FIND("-",Tasks[[#This Row],[_Pred1Text]]&amp;"-"))-1)),""))</f>
        <v/>
      </c>
      <c r="CW7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6" s="42">
        <f>IF(Tasks[[#This Row],[_Pred1Text]]="","",TRIM(MID(SUBSTITUTE(SUBSTITUTE(SUBSTITUTE(UPPER(Tasks[[#This Row],[_Predecessors]]),";",",")," ",""),",",REPT(" ",99)),100,99)))</f>
        <v/>
      </c>
      <c r="CZ76" s="42">
        <f>IF(Tasks[[#This Row],[_Pred2Text]]="","",IFERROR(VALUE(LEFT(Tasks[[#This Row],[_Pred2Text]],MIN(FIND("F",Tasks[[#This Row],[_Pred2Text]]&amp;"F"),FIND("S",Tasks[[#This Row],[_Pred2Text]]&amp;"S"),FIND("+",Tasks[[#This Row],[_Pred2Text]]&amp;"+"),FIND("-",Tasks[[#This Row],[_Pred2Text]]&amp;"-"))-1)),""))</f>
        <v/>
      </c>
      <c r="DA7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6" s="42">
        <f>IF(Tasks[[#This Row],[_Pred2Text]]="","",TRIM(MID(SUBSTITUTE(SUBSTITUTE(SUBSTITUTE(UPPER(Tasks[[#This Row],[_Predecessors]]),";",",")," ",""),",",REPT(" ",99)),199,99)))</f>
        <v/>
      </c>
      <c r="DD76" s="42">
        <f>IF(Tasks[[#This Row],[_Pred3Text]]="","",IFERROR(VALUE(LEFT(Tasks[[#This Row],[_Pred3Text]],MIN(FIND("F",Tasks[[#This Row],[_Pred3Text]]&amp;"F"),FIND("S",Tasks[[#This Row],[_Pred3Text]]&amp;"S"),FIND("+",Tasks[[#This Row],[_Pred3Text]]&amp;"+"),FIND("-",Tasks[[#This Row],[_Pred3Text]]&amp;"-"))-1)),""))</f>
        <v/>
      </c>
      <c r="DE7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6" s="42">
        <f>IF(Tasks[[#This Row],[_Pred3Text]]="","",TRIM(MID(SUBSTITUTE(SUBSTITUTE(SUBSTITUTE(UPPER(Tasks[[#This Row],[_Predecessors]]),";",",")," ",""),",",REPT(" ",99)),298,99)))</f>
        <v/>
      </c>
      <c r="DH76" s="42">
        <f>IF(Tasks[[#This Row],[_Pred4Text]]="","",IFERROR(VALUE(LEFT(Tasks[[#This Row],[_Pred4Text]],MIN(FIND("F",Tasks[[#This Row],[_Pred4Text]]&amp;"F"),FIND("S",Tasks[[#This Row],[_Pred4Text]]&amp;"S"),FIND("+",Tasks[[#This Row],[_Pred4Text]]&amp;"+"),FIND("-",Tasks[[#This Row],[_Pred4Text]]&amp;"-"))-1)),""))</f>
        <v/>
      </c>
      <c r="DI7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6" s="42">
        <f>IF(OR(Tasks[[#This Row],[Task Name]]="",Tasks[[#This Row],[_Resources]]=""),"",TRIM(MID(SUBSTITUTE(Tasks[[#This Row],[_Resources]],",",REPT(" ",99)),1,99)))</f>
        <v/>
      </c>
      <c r="DL76" s="42">
        <f>IF(Tasks[[#This Row],[_Res1Text]]="","",TRIM(MID(SUBSTITUTE(Tasks[[#This Row],[_Resources]],",",REPT(" ",99)),100,99)))</f>
        <v/>
      </c>
      <c r="DM76" s="42">
        <f>IF(Tasks[[#This Row],[_Res2Text]]="","",TRIM(MID(SUBSTITUTE(Tasks[[#This Row],[_Resources]],",",REPT(" ",99)),199,99)))</f>
        <v/>
      </c>
      <c r="DN76" s="42">
        <f>IF(Tasks[[#This Row],[_Res3Text]]="","",TRIM(MID(SUBSTITUTE(Tasks[[#This Row],[_Resources]],",",REPT(" ",99)),298,99)))</f>
        <v/>
      </c>
      <c r="DO76" s="42">
        <f>IF(Tasks[[#This Row],[_Res1Text]]="",0,IFERROR(MATCH(TRIM(LEFT(Tasks[[#This Row],[_Res1Text]],FIND("[",Tasks[[#This Row],[_Res1Text]]&amp;"[")-1)),res_Name,0),IFERROR(MATCH(TRIM(LEFT(Tasks[[#This Row],[_Res1Text]],FIND("[",Tasks[[#This Row],[_Res1Text]]&amp;"[")-1)),res_Initials,0),0)))</f>
        <v/>
      </c>
      <c r="DP76" s="42">
        <f>IF(Tasks[[#This Row],[_Res2Text]]="",0,IFERROR(MATCH(TRIM(LEFT(Tasks[[#This Row],[_Res2Text]],FIND("[",Tasks[[#This Row],[_Res2Text]]&amp;"[")-1)),res_Name,0),IFERROR(MATCH(TRIM(LEFT(Tasks[[#This Row],[_Res2Text]],FIND("[",Tasks[[#This Row],[_Res2Text]]&amp;"[")-1)),res_Initials,0),0)))</f>
        <v/>
      </c>
      <c r="DQ76" s="42">
        <f>IF(Tasks[[#This Row],[_Res3Text]]="",0,IFERROR(MATCH(TRIM(LEFT(Tasks[[#This Row],[_Res3Text]],FIND("[",Tasks[[#This Row],[_Res3Text]]&amp;"[")-1)),res_Name,0),IFERROR(MATCH(TRIM(LEFT(Tasks[[#This Row],[_Res3Text]],FIND("[",Tasks[[#This Row],[_Res3Text]]&amp;"[")-1)),res_Initials,0),0)))</f>
        <v/>
      </c>
      <c r="DR76" s="42">
        <f>IF(Tasks[[#This Row],[_Res4Text]]="",0,IFERROR(MATCH(TRIM(LEFT(Tasks[[#This Row],[_Res4Text]],FIND("[",Tasks[[#This Row],[_Res4Text]]&amp;"[")-1)),res_Name,0),IFERROR(MATCH(TRIM(LEFT(Tasks[[#This Row],[_Res4Text]],FIND("[",Tasks[[#This Row],[_Res4Text]]&amp;"[")-1)),res_Initials,0),0)))</f>
        <v/>
      </c>
      <c r="DS76" s="42">
        <f>IF(Tasks[[#This Row],[_Res1Text]]="","",IF(Tasks[[#This Row],[_Res1Row]]&gt;0,INDEX(res_Name,Tasks[[#This Row],[_Res1Row]]),TRIM(LEFT(Tasks[[#This Row],[_Res1Text]],FIND("[",Tasks[[#This Row],[_Res1Text]]&amp;"[")-1))))</f>
        <v/>
      </c>
      <c r="DT7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6" s="42">
        <f>IF(NOT(Tasks[[#This Row],[_IsLeaf]]=1),0,(Tasks[[#This Row],[_Resource1]]&lt;&gt;"")+(Tasks[[#This Row],[_Res2]]&lt;&gt;"")+(Tasks[[#This Row],[_Res3]]&lt;&gt;"")+(Tasks[[#This Row],[_Res4]]&lt;&gt;""))</f>
        <v/>
      </c>
      <c r="DV76" s="42">
        <f>IF(Tasks[[#This Row],[_Res2Text]]="","",IF(Tasks[[#This Row],[_Res2Row]]&gt;0,INDEX(res_Name,Tasks[[#This Row],[_Res2Row]]),TRIM(LEFT(Tasks[[#This Row],[_Res2Text]],FIND("[",Tasks[[#This Row],[_Res2Text]]&amp;"[")-1))))</f>
        <v/>
      </c>
      <c r="DW7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6" s="42">
        <f>IF(OR(NOT(Tasks[[#This Row],[_IsLeaf]]=1),Tasks[[#This Row],[_Res2Row]]=0),0,N(Tasks[[#This Row],[_Days]])*HoursPerDay*IF(Tasks[[#This Row],[_Res2Units]]="",DefaultUnits,Tasks[[#This Row],[_Res2Units]]))</f>
        <v/>
      </c>
      <c r="DY76" s="42">
        <f>IF(AND(AND(Tasks[[#This Row],[_IsLeaf]]=1,Tasks[[#This Row],[_LeafTotalWork]]&gt;0),Tasks[[#This Row],[_Res2Work]]&gt;0),Tasks[[#This Row],[_Res2Work]]/(Tasks[[#This Row],[_FinishWorkday]]-Tasks[[#This Row],[_StartWorkday]]+1),0)</f>
        <v/>
      </c>
      <c r="DZ76" s="42">
        <f>Tasks[[#This Row],[_Res2WorkPerWD]]*MAX(0,Tasks[[#This Row],[_StartWorkday]]-1)</f>
        <v/>
      </c>
      <c r="EA76" s="42">
        <f>Tasks[[#This Row],[_Res2Work]]*Tasks[[#This Row],[_LeafProgress]]</f>
        <v/>
      </c>
      <c r="EB76" s="42">
        <f>IF(Tasks[[#This Row],[_Res3Text]]="","",IF(Tasks[[#This Row],[_Res3Row]]&gt;0,INDEX(res_Name,Tasks[[#This Row],[_Res3Row]]),TRIM(LEFT(Tasks[[#This Row],[_Res3Text]],FIND("[",Tasks[[#This Row],[_Res3Text]]&amp;"[")-1))))</f>
        <v/>
      </c>
      <c r="EC7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6" s="42">
        <f>IF(OR(NOT(Tasks[[#This Row],[_IsLeaf]]=1),Tasks[[#This Row],[_Res3Row]]=0),0,N(Tasks[[#This Row],[_Days]])*HoursPerDay*IF(Tasks[[#This Row],[_Res3Units]]="",DefaultUnits,Tasks[[#This Row],[_Res3Units]]))</f>
        <v/>
      </c>
      <c r="EE76" s="42">
        <f>IF(AND(AND(Tasks[[#This Row],[_IsLeaf]]=1,Tasks[[#This Row],[_LeafTotalWork]]&gt;0),Tasks[[#This Row],[_Res3Work]]&gt;0),Tasks[[#This Row],[_Res3Work]]/(Tasks[[#This Row],[_FinishWorkday]]-Tasks[[#This Row],[_StartWorkday]]+1),0)</f>
        <v/>
      </c>
      <c r="EF76" s="42">
        <f>Tasks[[#This Row],[_Res3WorkPerWD]]*MAX(0,Tasks[[#This Row],[_StartWorkday]]-1)</f>
        <v/>
      </c>
      <c r="EG76" s="42">
        <f>Tasks[[#This Row],[_Res3Work]]*Tasks[[#This Row],[_LeafProgress]]</f>
        <v/>
      </c>
      <c r="EH76" s="42">
        <f>IF(Tasks[[#This Row],[_Res4Text]]="","",IF(Tasks[[#This Row],[_Res4Row]]&gt;0,INDEX(res_Name,Tasks[[#This Row],[_Res4Row]]),TRIM(LEFT(Tasks[[#This Row],[_Res4Text]],FIND("[",Tasks[[#This Row],[_Res4Text]]&amp;"[")-1))))</f>
        <v/>
      </c>
      <c r="EI7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6" s="42">
        <f>IF(OR(NOT(Tasks[[#This Row],[_IsLeaf]]=1),Tasks[[#This Row],[_Res4Row]]=0),0,N(Tasks[[#This Row],[_Days]])*HoursPerDay*IF(Tasks[[#This Row],[_Res4Units]]="",DefaultUnits,Tasks[[#This Row],[_Res4Units]]))</f>
        <v/>
      </c>
      <c r="EK76" s="42">
        <f>IF(AND(AND(Tasks[[#This Row],[_IsLeaf]]=1,Tasks[[#This Row],[_LeafTotalWork]]&gt;0),Tasks[[#This Row],[_Res4Work]]&gt;0),Tasks[[#This Row],[_Res4Work]]/(Tasks[[#This Row],[_FinishWorkday]]-Tasks[[#This Row],[_StartWorkday]]+1),0)</f>
        <v/>
      </c>
      <c r="EL76" s="42">
        <f>Tasks[[#This Row],[_Res4WorkPerWD]]*MAX(0,Tasks[[#This Row],[_StartWorkday]]-1)</f>
        <v/>
      </c>
      <c r="EM76" s="42">
        <f>Tasks[[#This Row],[_Res4Work]]*Tasks[[#This Row],[_LeafProgress]]</f>
        <v/>
      </c>
      <c r="EN76" s="42">
        <f>IF(ISNUMBER(Tasks[[#This Row],[% Complete]]),Tasks[[#This Row],[% Complete]],IF(Tasks[[#This Row],[Stage]]="",0,IFERROR(INDEX(stg_Pct,MATCH(Tasks[[#This Row],[Stage]],stg_Name,0)),0)))</f>
        <v/>
      </c>
      <c r="EO76" s="42">
        <f>IF(NOT(Tasks[[#This Row],[_IsLeaf]]=1),0,IF(N(Tasks[[#This Row],[Actual Finish]])&gt;0,1,MIN(1,Tasks[[#This Row],[_Pct]])))</f>
        <v/>
      </c>
      <c r="EP76" s="42">
        <f>IF(OR(NOT(Tasks[[#This Row],[_IsLeaf]]=1),Tasks[[#This Row],[_Res1Row]]=0),0,N(Tasks[[#This Row],[_Days]])*HoursPerDay*IF(Tasks[[#This Row],[_Units1]]="",DefaultUnits,Tasks[[#This Row],[_Units1]]))</f>
        <v/>
      </c>
      <c r="EQ76" s="42">
        <f>Tasks[[#This Row],[_LeafWork]]+Tasks[[#This Row],[_Res2Work]]+Tasks[[#This Row],[_Res3Work]]+Tasks[[#This Row],[_Res4Work]]</f>
        <v/>
      </c>
      <c r="ER7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6" s="42">
        <f>IF(NOT(Tasks[[#This Row],[_IsLeaf]]=1),0,MAX(_xlfn.MAXIFS(Tasks[_Row],Tasks[_Pred1UID],Tasks[[#This Row],[UID]]),_xlfn.MAXIFS(Tasks[_Row],Tasks[_Pred2UID],Tasks[[#This Row],[UID]]),_xlfn.MAXIFS(Tasks[_Row],Tasks[_Pred3UID],Tasks[[#This Row],[UID]]),_xlfn.MAXIFS(Tasks[_Row],Tasks[_Pred4UID],Tasks[[#This Row],[UID]])))</f>
        <v/>
      </c>
      <c r="FA7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6" s="88">
        <f>IF(NOT(Tasks[[#This Row],[_IsLeaf]]=1),"",IF(N(Tasks[[#This Row],[_Days]])&lt;=0,Tasks[[#This Row],[_LeafLateFinish]],WORKDAY.INTL(Tasks[[#This Row],[_LeafLateFinish]],-(Tasks[[#This Row],[_Days]]-1),WorkWeek,Holidays)))</f>
        <v/>
      </c>
      <c r="FD7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6" s="42">
        <f>AND(Tasks[[#This Row],[_IsLeaf]]=1,Tasks[[#This Row],[_LeafProgress]]&lt;1,N(Tasks[[#This Row],[_LeafTotalSlack]])&lt;=CriticalSlackDays)</f>
        <v/>
      </c>
      <c r="FF76" s="42">
        <f>IF(AND(Tasks[[#This Row],[_IsLeaf]]=1,Tasks[[#This Row],[_ConstraintCode]]=1,Tasks[[#This Row],[Mode]]&lt;&gt;"Manual",N(Tasks[[#This Row],[Actual Start]])=0),MAX(0,N(Tasks[[#This Row],[Free Slack]])),0)</f>
        <v/>
      </c>
      <c r="FG76" s="88">
        <f>IF(NOT(Tasks[[#This Row],[_IsLeaf]]=1),"",IF(Tasks[[#This Row],[_AlapShift]]=0,Tasks[[#This Row],[_LeafCalcStart]],WORKDAY.INTL(Tasks[[#This Row],[_LeafCalcStart]],Tasks[[#This Row],[_AlapShift]],WorkWeek,Holidays)))</f>
        <v/>
      </c>
      <c r="FH76" s="88">
        <f>IF(NOT(Tasks[[#This Row],[_IsLeaf]]=1),"",IF(Tasks[[#This Row],[_AlapShift]]=0,Tasks[[#This Row],[_LeafCalcFinish]],WORKDAY.INTL(Tasks[[#This Row],[_LeafCalcFinish]],Tasks[[#This Row],[_AlapShift]],WorkWeek,Holidays)))</f>
        <v/>
      </c>
      <c r="FI76" s="88">
        <f>IF(NOT(Tasks[[#This Row],[_IsLeaf]]=1),"",IF(Tasks[[#This Row],[_AlapShift]]=0,Tasks[[#This Row],[_LeafFcstStart]],WORKDAY.INTL(Tasks[[#This Row],[_LeafFcstStart]],Tasks[[#This Row],[_AlapShift]],WorkWeek,Holidays)))</f>
        <v/>
      </c>
      <c r="FJ76" s="88">
        <f>IF(NOT(Tasks[[#This Row],[_IsLeaf]]=1),"",IF(Tasks[[#This Row],[_AlapShift]]=0,Tasks[[#This Row],[_LeafFcstFinish]],WORKDAY.INTL(Tasks[[#This Row],[_LeafFcstFinish]],Tasks[[#This Row],[_AlapShift]],WorkWeek,Holidays)))</f>
        <v/>
      </c>
      <c r="FK76" s="88">
        <f>IF(Tasks[[#This Row],[Task Name]]="","",IF(Tasks[[#This Row],[_IsSummary]],MIN(INDEX(Tasks[_ShownCalcStart],Tasks[[#This Row],[_Row]]+1):INDEX(Tasks[_ShownCalcStart],Tasks[[#This Row],[_Row]]+Tasks[[#This Row],[_Descendants]])),Tasks[[#This Row],[_ShownCalcStart]]))</f>
        <v/>
      </c>
      <c r="FL76" s="88">
        <f>IF(Tasks[[#This Row],[Task Name]]="","",IF(Tasks[[#This Row],[_IsSummary]],MAX(INDEX(Tasks[_ShownCalcFinish],Tasks[[#This Row],[_Row]]+1):INDEX(Tasks[_ShownCalcFinish],Tasks[[#This Row],[_Row]]+Tasks[[#This Row],[_Descendants]])),Tasks[[#This Row],[_ShownCalcFinish]]))</f>
        <v/>
      </c>
      <c r="FM7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6" s="42">
        <f>IF(AND(Tasks[[#This Row],[_IsLeaf]]=1,Tasks[[#This Row],[_LeafTotalWork]]&gt;0),NETWORKDAYS.INTL(ProjectStart,Tasks[[#This Row],[_ShownFcstStart]],WorkWeek,Holidays),0)</f>
        <v/>
      </c>
      <c r="FZ76" s="42">
        <f>IF(AND(Tasks[[#This Row],[_IsLeaf]]=1,Tasks[[#This Row],[_LeafTotalWork]]&gt;0),MAX(Tasks[[#This Row],[_StartWorkday]],NETWORKDAYS.INTL(ProjectStart,Tasks[[#This Row],[_ShownFcstFinish]],WorkWeek,Holidays)),0)</f>
        <v/>
      </c>
      <c r="GA76" s="42">
        <f>IF(AND(Tasks[[#This Row],[_IsLeaf]]=1,Tasks[[#This Row],[_LeafTotalWork]]&gt;0),Tasks[[#This Row],[_LeafWork]]/(Tasks[[#This Row],[_FinishWorkday]]-Tasks[[#This Row],[_StartWorkday]]+1),0)</f>
        <v/>
      </c>
      <c r="GB76" s="42">
        <f>Tasks[[#This Row],[_WorkPerWorkday]]*(Tasks[[#This Row],[_StartWorkday]]-1)</f>
        <v/>
      </c>
      <c r="GC76" s="42">
        <f>IF(Tasks[[#This Row],[_IsLeaf]]=1,MAX(N(Tasks[[#This Row],[_Days]]),0.1),0)</f>
        <v/>
      </c>
      <c r="GD76" s="42">
        <f>Tasks[[#This Row],[_WeightDur]]*Tasks[[#This Row],[_LeafProgress]]</f>
        <v/>
      </c>
      <c r="GE76" s="42">
        <f>Tasks[[#This Row],[_WeightDur]]*Tasks[[#This Row],[_PlannedPct]]</f>
        <v/>
      </c>
      <c r="GF7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6" s="42">
        <f>IF(AND(Tasks[[#This Row],[_IsLeaf]]=1,N(Tasks[[#This Row],[_Days]])=0,Tasks[[#This Row],[_LeafProgress]]&lt;1),Tasks[[#This Row],[_ShownFcstFinish]]+Tasks[[#This Row],[_Row]]/100000,"")</f>
        <v/>
      </c>
      <c r="GH7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6" s="42">
        <f>IF(Tasks[[#This Row],[Task Name]]="","",LEFT(Tasks[[#This Row],[WBS]],FIND(".",Tasks[[#This Row],[WBS]]&amp;".")-1))</f>
        <v/>
      </c>
      <c r="GJ76" s="42">
        <f>IF(AND(Tasks[[#This Row],[Task Name]]&lt;&gt;"",Tasks[[#This Row],[_Level]]=1),Tasks[[#This Row],[_Row]],"")</f>
        <v/>
      </c>
      <c r="GK76" s="42">
        <f>IF(AND(Tasks[[#This Row],[_IsLeaf]]=1,N(Tasks[[#This Row],[_Days]])=0),Tasks[[#This Row],[Planned Finish]]+Tasks[[#This Row],[_Row]]/100000,"")</f>
        <v/>
      </c>
      <c r="GL76" s="42">
        <f>IF(AND(Tasks[[#This Row],[_IsLeaf]]=1,Tasks[[#This Row],[_LeafProgress]]&lt;1,OR(N(Tasks[[#This Row],[Finish Var]])&gt;0,Tasks[[#This Row],[Status]]="Late Start")),MAX(0,Tasks[[#This Row],[Finish Var]])+1-Tasks[[#This Row],[_Row]]/1000000,"")</f>
        <v/>
      </c>
      <c r="GM76" s="42">
        <f>IF(AND(Tasks[[#This Row],[_IsLeaf]]=1,N(Tasks[[#This Row],[Actual Start]])=0,Tasks[[#This Row],[_ShownFcstStart]]&gt;=StatusDate,Tasks[[#This Row],[_ShownFcstStart]]&lt;=LookaheadEnd),Tasks[[#This Row],[_ShownFcstStart]]+Tasks[[#This Row],[_Row]]/100000,"")</f>
        <v/>
      </c>
      <c r="GN76" s="42">
        <f>IF(AND(Tasks[[#This Row],[_IsLeaf]]=1,Tasks[[#This Row],[_LeafProgress]]&lt;1,Tasks[[#This Row],[_ShownFcstFinish]]&gt;=StatusDate,Tasks[[#This Row],[_ShownFcstFinish]]&lt;=LookaheadEnd),Tasks[[#This Row],[_ShownFcstFinish]]+Tasks[[#This Row],[_Row]]/100000,"")</f>
        <v/>
      </c>
      <c r="GO76" s="42">
        <f>IF(Tasks[[#This Row],[_LeafCritical]],Tasks[[#This Row],[_ShownFcstStart]]+Tasks[[#This Row],[_Row]]/100000,"")</f>
        <v/>
      </c>
      <c r="GP76" s="42">
        <f>Tasks[[#This Row],[_LeafWork]]*Tasks[[#This Row],[_LeafProgress]]</f>
        <v/>
      </c>
      <c r="GQ76" s="88">
        <f>IF(AND(Tasks[[#This Row],[_IsLeaf]]=1,Tasks[[#This Row],[_LeafProgress]]&gt;=1),IF(N(Tasks[[#This Row],[Actual Finish]])&gt;0,Tasks[[#This Row],[Actual Finish]],Tasks[[#This Row],[_ShownFcstFinish]]),"")</f>
        <v/>
      </c>
      <c r="GR76" s="42">
        <f>IF(Tasks[[#This Row],[_IsLeaf]]=1,N(Tasks[[#This Row],[Story Points]]),0)</f>
        <v/>
      </c>
      <c r="GS76" s="42">
        <f>""</f>
        <v/>
      </c>
      <c r="GT76" s="42">
        <f>IF(Tasks[[#This Row],[Task Name]]="",FALSE(),AND(Tasks[[#This Row],[_IsLeaf]]=1,N(Tasks[[#This Row],[_Days]])=0))</f>
        <v/>
      </c>
      <c r="GU76" s="88">
        <f>IF(Tasks[[#This Row],[Task Name]]="",0,IF(AND(Tasks[[#This Row],[_IsLeaf]]=1,NOT(Tasks[[#This Row],[_IsMilestone]]),N(Tasks[[#This Row],[Progress]])&gt;0),Tasks[[#This Row],[Start]],0))</f>
        <v/>
      </c>
      <c r="GV76" s="88">
        <f>IF(Tasks[[#This Row],[_DoneFrom]]=0,0,IF(Tasks[[#This Row],[Progress]]&gt;=1,Tasks[[#This Row],[Finish]],MAX(Tasks[[#This Row],[_DoneFrom]],Tasks[[#This Row],[Start]]+ROUND((Tasks[[#This Row],[Finish]]-Tasks[[#This Row],[Start]]+1)*Tasks[[#This Row],[Progress]],0)-1)))</f>
        <v/>
      </c>
      <c r="GW76" s="88">
        <f>IF(Tasks[[#This Row],[Task Name]]="",0,IF(OR(NOT(Tasks[[#This Row],[_IsLeaf]]=1),Tasks[[#This Row],[_IsMilestone]],N(Tasks[[#This Row],[Progress]])&gt;=1),0,IF(Tasks[[#This Row],[_DoneTo]]&gt;0,Tasks[[#This Row],[_DoneTo]]+1,Tasks[[#This Row],[Start]])))</f>
        <v/>
      </c>
      <c r="GX76" s="88">
        <f>IF(Tasks[[#This Row],[_RemFrom]]=0,0,Tasks[[#This Row],[Finish]])</f>
        <v/>
      </c>
      <c r="GY76" s="42">
        <f>IF(Tasks[[#This Row],[Task Name]]="",FALSE(),OR(NOT(BaselineSet),N(Tasks[[#This Row],[Baseline Start]])&gt;0))</f>
        <v/>
      </c>
      <c r="GZ76" s="42">
        <f>IF(AND(Sandbox="Yes",L_PARSE_DURATION(Tasks[[#This Row],[Sandbox Duration]])&lt;&gt;""),L_PARSE_DURATION(Tasks[[#This Row],[Sandbox Duration]]),L_PARSE_DURATION(Tasks[[#This Row],[Duration]]))</f>
        <v/>
      </c>
      <c r="HA7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6" s="42">
        <f>IF(Tasks[[#This Row],[_IsLeaf]]=1,Tasks[[#This Row],[_Row]],"")</f>
        <v/>
      </c>
      <c r="HD76" s="42">
        <f>IFERROR(INDEX(Tasks[UID],SMALL(Tasks[_PickKey],Tasks[[#This Row],[_Row]]))&amp;" "&amp;INDEX(Tasks[Task Name],SMALL(Tasks[_PickKey],Tasks[[#This Row],[_Row]])),"")</f>
        <v/>
      </c>
      <c r="HE76" s="42">
        <f>IF(Tasks[[#This Row],[Task Name]]="","",IF(Tasks[[#This Row],[_IsSummary]],NETWORKDAYS.INTL(Tasks[[#This Row],[Start]],Tasks[[#This Row],[Finish]],WorkWeek,Holidays),N(Tasks[[#This Row],[_Days]])))</f>
        <v/>
      </c>
      <c r="HF76" s="42">
        <f>IF(Tasks[[#This Row],[Expected]]="",0,((Tasks[[#This Row],[Pessimistic]]-Tasks[[#This Row],[Optimistic]])/6)^2)</f>
        <v/>
      </c>
      <c r="HG76" s="42">
        <f>IF(Tasks[[#This Row],[Expected]]="",0,Tasks[[#This Row],[Expected]]-N(Tasks[[#This Row],[_Days]]))</f>
        <v/>
      </c>
    </row>
    <row r="77">
      <c r="A77" s="21">
        <f>IF(Tasks[[#This Row],[Task Name]]="","",COUNTA(Tasks[[#Headers],[Task Name]]:Tasks[[#This Row],[Task Name]])-1)</f>
        <v/>
      </c>
      <c r="B77" s="22" t="n">
        <v>85</v>
      </c>
      <c r="C77" s="22" t="n"/>
      <c r="D77" s="23" t="n"/>
      <c r="E77" s="22" t="n"/>
      <c r="F77" s="23" t="n"/>
      <c r="G77" s="22" t="n"/>
      <c r="H77" s="22" t="n"/>
      <c r="I77" s="23" t="n"/>
      <c r="J77" s="22" t="n"/>
      <c r="K77" s="22" t="n"/>
      <c r="L77" s="23" t="n"/>
      <c r="M77" s="22" t="n"/>
      <c r="N77" s="22" t="n"/>
      <c r="O77" s="23" t="n"/>
      <c r="P77" s="22" t="n"/>
      <c r="Q77" s="22" t="n"/>
      <c r="R77" s="23" t="n"/>
      <c r="S77" s="23" t="n"/>
      <c r="T77" s="82" t="n"/>
      <c r="U77" s="23" t="n"/>
      <c r="V77" s="82" t="n"/>
      <c r="W77" s="23" t="n"/>
      <c r="X77" s="82" t="n"/>
      <c r="Y77" s="23" t="n"/>
      <c r="Z77" s="82" t="n"/>
      <c r="AA77" s="23" t="n"/>
      <c r="AB77" s="23" t="n"/>
      <c r="AC77" s="7" t="n"/>
      <c r="AD77" s="7" t="n"/>
      <c r="AE77" s="61">
        <f>IF(Tasks[[#This Row],[Task Name]]="","",IF(Tasks[[#This Row],[_IsSummary]],MIN(INDEX(Tasks[_ShownFcstStart],Tasks[[#This Row],[_Row]]+1):INDEX(Tasks[_ShownFcstStart],Tasks[[#This Row],[_Row]]+Tasks[[#This Row],[_Descendants]])),Tasks[[#This Row],[_ShownFcstStart]]))</f>
        <v/>
      </c>
      <c r="AF77" s="61">
        <f>IF(Tasks[[#This Row],[Task Name]]="","",IF(Tasks[[#This Row],[_IsSummary]],MAX(INDEX(Tasks[_ShownFcstFinish],Tasks[[#This Row],[_Row]]+1):INDEX(Tasks[_ShownFcstFinish],Tasks[[#This Row],[_Row]]+Tasks[[#This Row],[_Descendants]])),Tasks[[#This Row],[_ShownFcstFinish]]))</f>
        <v/>
      </c>
      <c r="AG77" s="21">
        <f>""</f>
        <v/>
      </c>
      <c r="AH77" s="23" t="n"/>
      <c r="AI7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7" s="7" t="n"/>
      <c r="AK77" s="22" t="n"/>
      <c r="AL77" s="23" t="n"/>
      <c r="AM77" s="7" t="n"/>
      <c r="AN77" s="21">
        <f>IF(Tasks[[#This Row],[Task Name]]="","",IF(Tasks[[#This Row],[Finish]]&gt;=Tasks[[#This Row],[Planned Finish]],NETWORKDAYS.INTL(Tasks[[#This Row],[Planned Finish]],Tasks[[#This Row],[Finish]],WorkWeek,Holidays)-1,1-NETWORKDAYS.INTL(Tasks[[#This Row],[Finish]],Tasks[[#This Row],[Planned Finish]],WorkWeek,Holidays)))</f>
        <v/>
      </c>
      <c r="AO77" s="21">
        <f>IF(Tasks[[#This Row],[Task Name]]="","",IF(Tasks[[#This Row],[Progress]]&gt;=1,"Complete",IF(OR(N(Tasks[[#This Row],[Actual Start]])&gt;0,Tasks[[#This Row],[Progress]]&gt;0),IF(Tasks[[#This Row],[Finish Var]]&gt;0,"Behind","In Progress"),IF(Tasks[[#This Row],[Planned Start]]&lt;StatusDate,"Late Start","Not Started"))))</f>
        <v/>
      </c>
      <c r="AP77" s="21">
        <f>IF(Tasks[[#This Row],[Task Name]]="","",IF(IF(Tasks[[#This Row],[_IsSummary]],COUNTIF(INDEX(Tasks[_LeafCritical],Tasks[[#This Row],[_Row]]+1):INDEX(Tasks[_LeafCritical],Tasks[[#This Row],[_Row]]+Tasks[[#This Row],[_Descendants]]),TRUE())&gt;0,Tasks[[#This Row],[_LeafCritical]]),"Yes",""))</f>
        <v/>
      </c>
      <c r="AQ77" s="61">
        <f>IF(Tasks[[#This Row],[Task Name]]="","",IF(N(Tasks[[#This Row],[Baseline Start]])&gt;0,Tasks[[#This Row],[Baseline Start]],Tasks[[#This Row],[_CalcStart]]))</f>
        <v/>
      </c>
      <c r="AR77" s="61">
        <f>IF(Tasks[[#This Row],[Task Name]]="","",IF(N(Tasks[[#This Row],[Baseline Finish]])&gt;0,Tasks[[#This Row],[Baseline Finish]],Tasks[[#This Row],[_CalcFinish]]))</f>
        <v/>
      </c>
      <c r="AS77" s="21">
        <f>IF(Tasks[[#This Row],[Task Name]]="","",IF(Tasks[[#This Row],[Start]]&gt;=Tasks[[#This Row],[Planned Start]],NETWORKDAYS.INTL(Tasks[[#This Row],[Planned Start]],Tasks[[#This Row],[Start]],WorkWeek,Holidays)-1,1-NETWORKDAYS.INTL(Tasks[[#This Row],[Start]],Tasks[[#This Row],[Planned Start]],WorkWeek,Holidays)))</f>
        <v/>
      </c>
      <c r="AT77" s="61">
        <f>IF(Tasks[[#This Row],[Task Name]]="","",IF(Tasks[[#This Row],[_IsSummary]],MIN(INDEX(Tasks[_LeafLateStart],Tasks[[#This Row],[_Row]]+1):INDEX(Tasks[_LeafLateStart],Tasks[[#This Row],[_Row]]+Tasks[[#This Row],[_Descendants]])),Tasks[[#This Row],[_LeafLateStart]]))</f>
        <v/>
      </c>
      <c r="AU77" s="61">
        <f>IF(Tasks[[#This Row],[Task Name]]="","",IF(Tasks[[#This Row],[_IsSummary]],MAX(INDEX(Tasks[_LeafLateFinish],Tasks[[#This Row],[_Row]]+1):INDEX(Tasks[_LeafLateFinish],Tasks[[#This Row],[_Row]]+Tasks[[#This Row],[_Descendants]])),Tasks[[#This Row],[_LeafLateFinish]]))</f>
        <v/>
      </c>
      <c r="AV77" s="21">
        <f>IF(Tasks[[#This Row],[Task Name]]="","",IF(Tasks[[#This Row],[_IsSummary]],MIN(INDEX(Tasks[_LeafTotalSlack],Tasks[[#This Row],[_Row]]+1):INDEX(Tasks[_LeafTotalSlack],Tasks[[#This Row],[_Row]]+Tasks[[#This Row],[_Descendants]])),Tasks[[#This Row],[_LeafTotalSlack]]))</f>
        <v/>
      </c>
      <c r="AW7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3" t="n"/>
      <c r="BA7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f>IF(Tasks[[#This Row],[Task Name]]="","",IF(Tasks[[#This Row],[_Level]]&lt;=OutlineShowLevel,"Yes","No"))</f>
        <v/>
      </c>
      <c r="BE77" s="84">
        <f>IF(Tasks[[#This Row],[Task Name]]="","",IF(Tasks[[#This Row],[_IsSummary]],SUM(INDEX(Tasks[_LeafTotalWork],Tasks[[#This Row],[_Row]]+1):INDEX(Tasks[_LeafTotalWork],Tasks[[#This Row],[_Row]]+Tasks[[#This Row],[_Descendants]])),Tasks[[#This Row],[_LeafTotalWork]]))</f>
        <v/>
      </c>
      <c r="BF77" s="23" t="n"/>
      <c r="BG7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f>""</f>
        <v/>
      </c>
      <c r="BI77" s="85" t="n"/>
      <c r="BJ77" s="22" t="n"/>
      <c r="BK77" s="21">
        <f>IF(OR(Tasks[[#This Row],[Task Name]]="",Tasks[[#This Row],[Baseline Duration]]=""),"",Tasks[[#This Row],[_SpanDays]]-N(Tasks[[#This Row],[Baseline Duration]]))</f>
        <v/>
      </c>
      <c r="BL77" s="84">
        <f>IF(OR(Tasks[[#This Row],[Task Name]]="",Tasks[[#This Row],[Baseline Work]]=""),"",Tasks[[#This Row],[Work]]-N(Tasks[[#This Row],[Baseline Work]]))</f>
        <v/>
      </c>
      <c r="BM77" s="61">
        <f>IF(Tasks[[#This Row],[Task Name]]="","",IF(OR(TakeBaseline="Yes",N(Tasks[[#This Row],[Baseline Start]])=0),Tasks[[#This Row],[Start]],Tasks[[#This Row],[Baseline Start]]))</f>
        <v/>
      </c>
      <c r="BN77" s="61">
        <f>IF(Tasks[[#This Row],[Task Name]]="","",IF(OR(TakeBaseline="Yes",N(Tasks[[#This Row],[Baseline Finish]])=0),Tasks[[#This Row],[Finish]],Tasks[[#This Row],[Baseline Finish]]))</f>
        <v/>
      </c>
      <c r="BO77" s="21">
        <f>IF(Tasks[[#This Row],[Task Name]]="","",IF(OR(TakeBaseline="Yes",N(Tasks[[#This Row],[Baseline Duration]])=0),Tasks[[#This Row],[_SpanDays]],Tasks[[#This Row],[Baseline Duration]]))</f>
        <v/>
      </c>
      <c r="BP77" s="84">
        <f>IF(Tasks[[#This Row],[Task Name]]="","",IF(OR(TakeBaseline="Yes",N(Tasks[[#This Row],[Baseline Work]])=0),Tasks[[#This Row],[Work]],Tasks[[#This Row],[Baseline Work]]))</f>
        <v/>
      </c>
      <c r="BQ77" s="7" t="n"/>
      <c r="BR77" s="7" t="n"/>
      <c r="BS77" s="22" t="n"/>
      <c r="BT77" s="86" t="n"/>
      <c r="BU77" s="23" t="n"/>
      <c r="BV77" s="23" t="n"/>
      <c r="BW77" s="23" t="n"/>
      <c r="BX77" s="87">
        <f>IF(AND(Tasks[[#This Row],[_IsLeaf]]=1,ISNUMBER(Tasks[[#This Row],[Optimistic]]),ISNUMBER(Tasks[[#This Row],[Pessimistic]])),ROUND((Tasks[[#This Row],[Optimistic]]+4*N(Tasks[[#This Row],[_Days]])+Tasks[[#This Row],[Pessimistic]])/6,1),"")</f>
        <v/>
      </c>
      <c r="BY77" s="85" t="n"/>
      <c r="BZ77" s="85" t="n"/>
      <c r="CA77" s="22" t="n"/>
      <c r="CB77" s="42">
        <f>IF(Tasks[[#This Row],[Task Name]]="","",MAX(1,N(Tasks[[#This Row],[Level]])))</f>
        <v/>
      </c>
      <c r="CC77" s="42">
        <f>ROW()-ROW(Tasks[[#Headers],[ID]])</f>
        <v/>
      </c>
      <c r="CD77" s="42">
        <f>IF(OR(Tasks[[#This Row],[Task Name]]="",Tasks[[#This Row],[_Level]]&lt;=1),0,IFERROR(LOOKUP(2,1/(Tasks[[#Headers],[_Level]]:Tasks[[#This Row],[_Level]]=Tasks[[#This Row],[_Level]]-1),ROW(Tasks[[#Headers],[_Level]]:Tasks[[#This Row],[_Level]])),0))</f>
        <v/>
      </c>
      <c r="CE77" s="42">
        <f>IFERROR(N(INDEX(Tasks[_Level],Tasks[[#This Row],[_Row]]+1)),0)</f>
        <v/>
      </c>
      <c r="CF77" s="42">
        <f>AND(Tasks[[#This Row],[Task Name]]&lt;&gt;"",Tasks[[#This Row],[_NextLevel]]&gt;Tasks[[#This Row],[_Level]])</f>
        <v/>
      </c>
      <c r="CG77" s="42">
        <f>IF(Tasks[[#This Row],[_IsSummary]],COUNTIF(Tasks[WBS],Tasks[[#This Row],[WBS]]&amp;".*"),0)</f>
        <v/>
      </c>
      <c r="CH77" s="42">
        <f>IF(AND(Tasks[[#This Row],[Task Name]]&lt;&gt;"",NOT(Tasks[[#This Row],[_IsSummary]])),1,0)</f>
        <v/>
      </c>
      <c r="CI77" s="42">
        <f>IF(N(Tasks[[#This Row],[_Pred1UID]])=0,0,IFERROR(MATCH(Tasks[[#This Row],[_Pred1UID]],Tasks[UID],0),-1))</f>
        <v/>
      </c>
      <c r="CJ77" s="42">
        <f>IF(N(Tasks[[#This Row],[_Pred2UID]])=0,0,IFERROR(MATCH(Tasks[[#This Row],[_Pred2UID]],Tasks[UID],0),-1))</f>
        <v/>
      </c>
      <c r="CK77" s="42">
        <f>IF(N(Tasks[[#This Row],[_Pred3UID]])=0,0,IFERROR(MATCH(Tasks[[#This Row],[_Pred3UID]],Tasks[UID],0),-1))</f>
        <v/>
      </c>
      <c r="CL77" s="42">
        <f>IF(N(Tasks[[#This Row],[_Pred4UID]])=0,0,IFERROR(MATCH(Tasks[[#This Row],[_Pred4UID]],Tasks[UID],0),-1))</f>
        <v/>
      </c>
      <c r="CM7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7" s="88">
        <f>IF(N(Tasks[[#This Row],[Constraint Date]])=0,0,IF(AND(OR(Tasks[[#This Row],[_ConstraintCode]]=3,Tasks[[#This Row],[_ConstraintCode]]=6,Tasks[[#This Row],[_ConstraintCode]]=7),N(Tasks[[#This Row],[_Days]])&gt;1),WORKDAY.INTL(N(Tasks[[#This Row],[Constraint Date]]),-(N(Tasks[[#This Row],[_Days]])-1),WorkWeek,Holidays),N(Tasks[[#This Row],[Constraint Date]])))</f>
        <v/>
      </c>
      <c r="CO77" s="88">
        <f>IF(OR(Tasks[[#This Row],[_ConstraintCode]]=2,Tasks[[#This Row],[_ConstraintCode]]=3,Tasks[[#This Row],[_ConstraintCode]]=4,Tasks[[#This Row],[_ConstraintCode]]=6),Tasks[[#This Row],[_ConstraintStart]],0)</f>
        <v/>
      </c>
      <c r="CP77" s="88">
        <f>IF(OR(Tasks[[#This Row],[_ConstraintCode]]=2,Tasks[[#This Row],[_ConstraintCode]]=3,Tasks[[#This Row],[_ConstraintCode]]=5,Tasks[[#This Row],[_ConstraintCode]]=7),Tasks[[#This Row],[_ConstraintStart]],2958465)</f>
        <v/>
      </c>
      <c r="CQ7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7" s="88">
        <f>IF(NOT(Tasks[[#This Row],[_IsLeaf]]=1),"",IF(N(Tasks[[#This Row],[_Days]])&lt;=0,Tasks[[#This Row],[_LeafCalcStart]],WORKDAY.INTL(Tasks[[#This Row],[_LeafCalcStart]],Tasks[[#This Row],[_Days]]-1,WorkWeek,Holidays)))</f>
        <v/>
      </c>
      <c r="CS7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7" s="42">
        <f>IF(Tasks[[#This Row],[_Predecessors]]="","",TRIM(MID(SUBSTITUTE(SUBSTITUTE(SUBSTITUTE(UPPER(Tasks[[#This Row],[_Predecessors]]),";",",")," ",""),",",REPT(" ",99)),1,99)))</f>
        <v/>
      </c>
      <c r="CV77" s="42">
        <f>IF(Tasks[[#This Row],[_Pred1Text]]="","",IFERROR(VALUE(LEFT(Tasks[[#This Row],[_Pred1Text]],MIN(FIND("F",Tasks[[#This Row],[_Pred1Text]]&amp;"F"),FIND("S",Tasks[[#This Row],[_Pred1Text]]&amp;"S"),FIND("+",Tasks[[#This Row],[_Pred1Text]]&amp;"+"),FIND("-",Tasks[[#This Row],[_Pred1Text]]&amp;"-"))-1)),""))</f>
        <v/>
      </c>
      <c r="CW7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7" s="42">
        <f>IF(Tasks[[#This Row],[_Pred1Text]]="","",TRIM(MID(SUBSTITUTE(SUBSTITUTE(SUBSTITUTE(UPPER(Tasks[[#This Row],[_Predecessors]]),";",",")," ",""),",",REPT(" ",99)),100,99)))</f>
        <v/>
      </c>
      <c r="CZ77" s="42">
        <f>IF(Tasks[[#This Row],[_Pred2Text]]="","",IFERROR(VALUE(LEFT(Tasks[[#This Row],[_Pred2Text]],MIN(FIND("F",Tasks[[#This Row],[_Pred2Text]]&amp;"F"),FIND("S",Tasks[[#This Row],[_Pred2Text]]&amp;"S"),FIND("+",Tasks[[#This Row],[_Pred2Text]]&amp;"+"),FIND("-",Tasks[[#This Row],[_Pred2Text]]&amp;"-"))-1)),""))</f>
        <v/>
      </c>
      <c r="DA7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7" s="42">
        <f>IF(Tasks[[#This Row],[_Pred2Text]]="","",TRIM(MID(SUBSTITUTE(SUBSTITUTE(SUBSTITUTE(UPPER(Tasks[[#This Row],[_Predecessors]]),";",",")," ",""),",",REPT(" ",99)),199,99)))</f>
        <v/>
      </c>
      <c r="DD77" s="42">
        <f>IF(Tasks[[#This Row],[_Pred3Text]]="","",IFERROR(VALUE(LEFT(Tasks[[#This Row],[_Pred3Text]],MIN(FIND("F",Tasks[[#This Row],[_Pred3Text]]&amp;"F"),FIND("S",Tasks[[#This Row],[_Pred3Text]]&amp;"S"),FIND("+",Tasks[[#This Row],[_Pred3Text]]&amp;"+"),FIND("-",Tasks[[#This Row],[_Pred3Text]]&amp;"-"))-1)),""))</f>
        <v/>
      </c>
      <c r="DE7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7" s="42">
        <f>IF(Tasks[[#This Row],[_Pred3Text]]="","",TRIM(MID(SUBSTITUTE(SUBSTITUTE(SUBSTITUTE(UPPER(Tasks[[#This Row],[_Predecessors]]),";",",")," ",""),",",REPT(" ",99)),298,99)))</f>
        <v/>
      </c>
      <c r="DH77" s="42">
        <f>IF(Tasks[[#This Row],[_Pred4Text]]="","",IFERROR(VALUE(LEFT(Tasks[[#This Row],[_Pred4Text]],MIN(FIND("F",Tasks[[#This Row],[_Pred4Text]]&amp;"F"),FIND("S",Tasks[[#This Row],[_Pred4Text]]&amp;"S"),FIND("+",Tasks[[#This Row],[_Pred4Text]]&amp;"+"),FIND("-",Tasks[[#This Row],[_Pred4Text]]&amp;"-"))-1)),""))</f>
        <v/>
      </c>
      <c r="DI7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7" s="42">
        <f>IF(OR(Tasks[[#This Row],[Task Name]]="",Tasks[[#This Row],[_Resources]]=""),"",TRIM(MID(SUBSTITUTE(Tasks[[#This Row],[_Resources]],",",REPT(" ",99)),1,99)))</f>
        <v/>
      </c>
      <c r="DL77" s="42">
        <f>IF(Tasks[[#This Row],[_Res1Text]]="","",TRIM(MID(SUBSTITUTE(Tasks[[#This Row],[_Resources]],",",REPT(" ",99)),100,99)))</f>
        <v/>
      </c>
      <c r="DM77" s="42">
        <f>IF(Tasks[[#This Row],[_Res2Text]]="","",TRIM(MID(SUBSTITUTE(Tasks[[#This Row],[_Resources]],",",REPT(" ",99)),199,99)))</f>
        <v/>
      </c>
      <c r="DN77" s="42">
        <f>IF(Tasks[[#This Row],[_Res3Text]]="","",TRIM(MID(SUBSTITUTE(Tasks[[#This Row],[_Resources]],",",REPT(" ",99)),298,99)))</f>
        <v/>
      </c>
      <c r="DO77" s="42">
        <f>IF(Tasks[[#This Row],[_Res1Text]]="",0,IFERROR(MATCH(TRIM(LEFT(Tasks[[#This Row],[_Res1Text]],FIND("[",Tasks[[#This Row],[_Res1Text]]&amp;"[")-1)),res_Name,0),IFERROR(MATCH(TRIM(LEFT(Tasks[[#This Row],[_Res1Text]],FIND("[",Tasks[[#This Row],[_Res1Text]]&amp;"[")-1)),res_Initials,0),0)))</f>
        <v/>
      </c>
      <c r="DP77" s="42">
        <f>IF(Tasks[[#This Row],[_Res2Text]]="",0,IFERROR(MATCH(TRIM(LEFT(Tasks[[#This Row],[_Res2Text]],FIND("[",Tasks[[#This Row],[_Res2Text]]&amp;"[")-1)),res_Name,0),IFERROR(MATCH(TRIM(LEFT(Tasks[[#This Row],[_Res2Text]],FIND("[",Tasks[[#This Row],[_Res2Text]]&amp;"[")-1)),res_Initials,0),0)))</f>
        <v/>
      </c>
      <c r="DQ77" s="42">
        <f>IF(Tasks[[#This Row],[_Res3Text]]="",0,IFERROR(MATCH(TRIM(LEFT(Tasks[[#This Row],[_Res3Text]],FIND("[",Tasks[[#This Row],[_Res3Text]]&amp;"[")-1)),res_Name,0),IFERROR(MATCH(TRIM(LEFT(Tasks[[#This Row],[_Res3Text]],FIND("[",Tasks[[#This Row],[_Res3Text]]&amp;"[")-1)),res_Initials,0),0)))</f>
        <v/>
      </c>
      <c r="DR77" s="42">
        <f>IF(Tasks[[#This Row],[_Res4Text]]="",0,IFERROR(MATCH(TRIM(LEFT(Tasks[[#This Row],[_Res4Text]],FIND("[",Tasks[[#This Row],[_Res4Text]]&amp;"[")-1)),res_Name,0),IFERROR(MATCH(TRIM(LEFT(Tasks[[#This Row],[_Res4Text]],FIND("[",Tasks[[#This Row],[_Res4Text]]&amp;"[")-1)),res_Initials,0),0)))</f>
        <v/>
      </c>
      <c r="DS77" s="42">
        <f>IF(Tasks[[#This Row],[_Res1Text]]="","",IF(Tasks[[#This Row],[_Res1Row]]&gt;0,INDEX(res_Name,Tasks[[#This Row],[_Res1Row]]),TRIM(LEFT(Tasks[[#This Row],[_Res1Text]],FIND("[",Tasks[[#This Row],[_Res1Text]]&amp;"[")-1))))</f>
        <v/>
      </c>
      <c r="DT7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7" s="42">
        <f>IF(NOT(Tasks[[#This Row],[_IsLeaf]]=1),0,(Tasks[[#This Row],[_Resource1]]&lt;&gt;"")+(Tasks[[#This Row],[_Res2]]&lt;&gt;"")+(Tasks[[#This Row],[_Res3]]&lt;&gt;"")+(Tasks[[#This Row],[_Res4]]&lt;&gt;""))</f>
        <v/>
      </c>
      <c r="DV77" s="42">
        <f>IF(Tasks[[#This Row],[_Res2Text]]="","",IF(Tasks[[#This Row],[_Res2Row]]&gt;0,INDEX(res_Name,Tasks[[#This Row],[_Res2Row]]),TRIM(LEFT(Tasks[[#This Row],[_Res2Text]],FIND("[",Tasks[[#This Row],[_Res2Text]]&amp;"[")-1))))</f>
        <v/>
      </c>
      <c r="DW7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7" s="42">
        <f>IF(OR(NOT(Tasks[[#This Row],[_IsLeaf]]=1),Tasks[[#This Row],[_Res2Row]]=0),0,N(Tasks[[#This Row],[_Days]])*HoursPerDay*IF(Tasks[[#This Row],[_Res2Units]]="",DefaultUnits,Tasks[[#This Row],[_Res2Units]]))</f>
        <v/>
      </c>
      <c r="DY77" s="42">
        <f>IF(AND(AND(Tasks[[#This Row],[_IsLeaf]]=1,Tasks[[#This Row],[_LeafTotalWork]]&gt;0),Tasks[[#This Row],[_Res2Work]]&gt;0),Tasks[[#This Row],[_Res2Work]]/(Tasks[[#This Row],[_FinishWorkday]]-Tasks[[#This Row],[_StartWorkday]]+1),0)</f>
        <v/>
      </c>
      <c r="DZ77" s="42">
        <f>Tasks[[#This Row],[_Res2WorkPerWD]]*MAX(0,Tasks[[#This Row],[_StartWorkday]]-1)</f>
        <v/>
      </c>
      <c r="EA77" s="42">
        <f>Tasks[[#This Row],[_Res2Work]]*Tasks[[#This Row],[_LeafProgress]]</f>
        <v/>
      </c>
      <c r="EB77" s="42">
        <f>IF(Tasks[[#This Row],[_Res3Text]]="","",IF(Tasks[[#This Row],[_Res3Row]]&gt;0,INDEX(res_Name,Tasks[[#This Row],[_Res3Row]]),TRIM(LEFT(Tasks[[#This Row],[_Res3Text]],FIND("[",Tasks[[#This Row],[_Res3Text]]&amp;"[")-1))))</f>
        <v/>
      </c>
      <c r="EC7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7" s="42">
        <f>IF(OR(NOT(Tasks[[#This Row],[_IsLeaf]]=1),Tasks[[#This Row],[_Res3Row]]=0),0,N(Tasks[[#This Row],[_Days]])*HoursPerDay*IF(Tasks[[#This Row],[_Res3Units]]="",DefaultUnits,Tasks[[#This Row],[_Res3Units]]))</f>
        <v/>
      </c>
      <c r="EE77" s="42">
        <f>IF(AND(AND(Tasks[[#This Row],[_IsLeaf]]=1,Tasks[[#This Row],[_LeafTotalWork]]&gt;0),Tasks[[#This Row],[_Res3Work]]&gt;0),Tasks[[#This Row],[_Res3Work]]/(Tasks[[#This Row],[_FinishWorkday]]-Tasks[[#This Row],[_StartWorkday]]+1),0)</f>
        <v/>
      </c>
      <c r="EF77" s="42">
        <f>Tasks[[#This Row],[_Res3WorkPerWD]]*MAX(0,Tasks[[#This Row],[_StartWorkday]]-1)</f>
        <v/>
      </c>
      <c r="EG77" s="42">
        <f>Tasks[[#This Row],[_Res3Work]]*Tasks[[#This Row],[_LeafProgress]]</f>
        <v/>
      </c>
      <c r="EH77" s="42">
        <f>IF(Tasks[[#This Row],[_Res4Text]]="","",IF(Tasks[[#This Row],[_Res4Row]]&gt;0,INDEX(res_Name,Tasks[[#This Row],[_Res4Row]]),TRIM(LEFT(Tasks[[#This Row],[_Res4Text]],FIND("[",Tasks[[#This Row],[_Res4Text]]&amp;"[")-1))))</f>
        <v/>
      </c>
      <c r="EI7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7" s="42">
        <f>IF(OR(NOT(Tasks[[#This Row],[_IsLeaf]]=1),Tasks[[#This Row],[_Res4Row]]=0),0,N(Tasks[[#This Row],[_Days]])*HoursPerDay*IF(Tasks[[#This Row],[_Res4Units]]="",DefaultUnits,Tasks[[#This Row],[_Res4Units]]))</f>
        <v/>
      </c>
      <c r="EK77" s="42">
        <f>IF(AND(AND(Tasks[[#This Row],[_IsLeaf]]=1,Tasks[[#This Row],[_LeafTotalWork]]&gt;0),Tasks[[#This Row],[_Res4Work]]&gt;0),Tasks[[#This Row],[_Res4Work]]/(Tasks[[#This Row],[_FinishWorkday]]-Tasks[[#This Row],[_StartWorkday]]+1),0)</f>
        <v/>
      </c>
      <c r="EL77" s="42">
        <f>Tasks[[#This Row],[_Res4WorkPerWD]]*MAX(0,Tasks[[#This Row],[_StartWorkday]]-1)</f>
        <v/>
      </c>
      <c r="EM77" s="42">
        <f>Tasks[[#This Row],[_Res4Work]]*Tasks[[#This Row],[_LeafProgress]]</f>
        <v/>
      </c>
      <c r="EN77" s="42">
        <f>IF(ISNUMBER(Tasks[[#This Row],[% Complete]]),Tasks[[#This Row],[% Complete]],IF(Tasks[[#This Row],[Stage]]="",0,IFERROR(INDEX(stg_Pct,MATCH(Tasks[[#This Row],[Stage]],stg_Name,0)),0)))</f>
        <v/>
      </c>
      <c r="EO77" s="42">
        <f>IF(NOT(Tasks[[#This Row],[_IsLeaf]]=1),0,IF(N(Tasks[[#This Row],[Actual Finish]])&gt;0,1,MIN(1,Tasks[[#This Row],[_Pct]])))</f>
        <v/>
      </c>
      <c r="EP77" s="42">
        <f>IF(OR(NOT(Tasks[[#This Row],[_IsLeaf]]=1),Tasks[[#This Row],[_Res1Row]]=0),0,N(Tasks[[#This Row],[_Days]])*HoursPerDay*IF(Tasks[[#This Row],[_Units1]]="",DefaultUnits,Tasks[[#This Row],[_Units1]]))</f>
        <v/>
      </c>
      <c r="EQ77" s="42">
        <f>Tasks[[#This Row],[_LeafWork]]+Tasks[[#This Row],[_Res2Work]]+Tasks[[#This Row],[_Res3Work]]+Tasks[[#This Row],[_Res4Work]]</f>
        <v/>
      </c>
      <c r="ER7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7" s="42">
        <f>IF(NOT(Tasks[[#This Row],[_IsLeaf]]=1),0,MAX(_xlfn.MAXIFS(Tasks[_Row],Tasks[_Pred1UID],Tasks[[#This Row],[UID]]),_xlfn.MAXIFS(Tasks[_Row],Tasks[_Pred2UID],Tasks[[#This Row],[UID]]),_xlfn.MAXIFS(Tasks[_Row],Tasks[_Pred3UID],Tasks[[#This Row],[UID]]),_xlfn.MAXIFS(Tasks[_Row],Tasks[_Pred4UID],Tasks[[#This Row],[UID]])))</f>
        <v/>
      </c>
      <c r="FA7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7" s="88">
        <f>IF(NOT(Tasks[[#This Row],[_IsLeaf]]=1),"",IF(N(Tasks[[#This Row],[_Days]])&lt;=0,Tasks[[#This Row],[_LeafLateFinish]],WORKDAY.INTL(Tasks[[#This Row],[_LeafLateFinish]],-(Tasks[[#This Row],[_Days]]-1),WorkWeek,Holidays)))</f>
        <v/>
      </c>
      <c r="FD7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7" s="42">
        <f>AND(Tasks[[#This Row],[_IsLeaf]]=1,Tasks[[#This Row],[_LeafProgress]]&lt;1,N(Tasks[[#This Row],[_LeafTotalSlack]])&lt;=CriticalSlackDays)</f>
        <v/>
      </c>
      <c r="FF77" s="42">
        <f>IF(AND(Tasks[[#This Row],[_IsLeaf]]=1,Tasks[[#This Row],[_ConstraintCode]]=1,Tasks[[#This Row],[Mode]]&lt;&gt;"Manual",N(Tasks[[#This Row],[Actual Start]])=0),MAX(0,N(Tasks[[#This Row],[Free Slack]])),0)</f>
        <v/>
      </c>
      <c r="FG77" s="88">
        <f>IF(NOT(Tasks[[#This Row],[_IsLeaf]]=1),"",IF(Tasks[[#This Row],[_AlapShift]]=0,Tasks[[#This Row],[_LeafCalcStart]],WORKDAY.INTL(Tasks[[#This Row],[_LeafCalcStart]],Tasks[[#This Row],[_AlapShift]],WorkWeek,Holidays)))</f>
        <v/>
      </c>
      <c r="FH77" s="88">
        <f>IF(NOT(Tasks[[#This Row],[_IsLeaf]]=1),"",IF(Tasks[[#This Row],[_AlapShift]]=0,Tasks[[#This Row],[_LeafCalcFinish]],WORKDAY.INTL(Tasks[[#This Row],[_LeafCalcFinish]],Tasks[[#This Row],[_AlapShift]],WorkWeek,Holidays)))</f>
        <v/>
      </c>
      <c r="FI77" s="88">
        <f>IF(NOT(Tasks[[#This Row],[_IsLeaf]]=1),"",IF(Tasks[[#This Row],[_AlapShift]]=0,Tasks[[#This Row],[_LeafFcstStart]],WORKDAY.INTL(Tasks[[#This Row],[_LeafFcstStart]],Tasks[[#This Row],[_AlapShift]],WorkWeek,Holidays)))</f>
        <v/>
      </c>
      <c r="FJ77" s="88">
        <f>IF(NOT(Tasks[[#This Row],[_IsLeaf]]=1),"",IF(Tasks[[#This Row],[_AlapShift]]=0,Tasks[[#This Row],[_LeafFcstFinish]],WORKDAY.INTL(Tasks[[#This Row],[_LeafFcstFinish]],Tasks[[#This Row],[_AlapShift]],WorkWeek,Holidays)))</f>
        <v/>
      </c>
      <c r="FK77" s="88">
        <f>IF(Tasks[[#This Row],[Task Name]]="","",IF(Tasks[[#This Row],[_IsSummary]],MIN(INDEX(Tasks[_ShownCalcStart],Tasks[[#This Row],[_Row]]+1):INDEX(Tasks[_ShownCalcStart],Tasks[[#This Row],[_Row]]+Tasks[[#This Row],[_Descendants]])),Tasks[[#This Row],[_ShownCalcStart]]))</f>
        <v/>
      </c>
      <c r="FL77" s="88">
        <f>IF(Tasks[[#This Row],[Task Name]]="","",IF(Tasks[[#This Row],[_IsSummary]],MAX(INDEX(Tasks[_ShownCalcFinish],Tasks[[#This Row],[_Row]]+1):INDEX(Tasks[_ShownCalcFinish],Tasks[[#This Row],[_Row]]+Tasks[[#This Row],[_Descendants]])),Tasks[[#This Row],[_ShownCalcFinish]]))</f>
        <v/>
      </c>
      <c r="FM7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7" s="42">
        <f>IF(AND(Tasks[[#This Row],[_IsLeaf]]=1,Tasks[[#This Row],[_LeafTotalWork]]&gt;0),NETWORKDAYS.INTL(ProjectStart,Tasks[[#This Row],[_ShownFcstStart]],WorkWeek,Holidays),0)</f>
        <v/>
      </c>
      <c r="FZ77" s="42">
        <f>IF(AND(Tasks[[#This Row],[_IsLeaf]]=1,Tasks[[#This Row],[_LeafTotalWork]]&gt;0),MAX(Tasks[[#This Row],[_StartWorkday]],NETWORKDAYS.INTL(ProjectStart,Tasks[[#This Row],[_ShownFcstFinish]],WorkWeek,Holidays)),0)</f>
        <v/>
      </c>
      <c r="GA77" s="42">
        <f>IF(AND(Tasks[[#This Row],[_IsLeaf]]=1,Tasks[[#This Row],[_LeafTotalWork]]&gt;0),Tasks[[#This Row],[_LeafWork]]/(Tasks[[#This Row],[_FinishWorkday]]-Tasks[[#This Row],[_StartWorkday]]+1),0)</f>
        <v/>
      </c>
      <c r="GB77" s="42">
        <f>Tasks[[#This Row],[_WorkPerWorkday]]*(Tasks[[#This Row],[_StartWorkday]]-1)</f>
        <v/>
      </c>
      <c r="GC77" s="42">
        <f>IF(Tasks[[#This Row],[_IsLeaf]]=1,MAX(N(Tasks[[#This Row],[_Days]]),0.1),0)</f>
        <v/>
      </c>
      <c r="GD77" s="42">
        <f>Tasks[[#This Row],[_WeightDur]]*Tasks[[#This Row],[_LeafProgress]]</f>
        <v/>
      </c>
      <c r="GE77" s="42">
        <f>Tasks[[#This Row],[_WeightDur]]*Tasks[[#This Row],[_PlannedPct]]</f>
        <v/>
      </c>
      <c r="GF7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7" s="42">
        <f>IF(AND(Tasks[[#This Row],[_IsLeaf]]=1,N(Tasks[[#This Row],[_Days]])=0,Tasks[[#This Row],[_LeafProgress]]&lt;1),Tasks[[#This Row],[_ShownFcstFinish]]+Tasks[[#This Row],[_Row]]/100000,"")</f>
        <v/>
      </c>
      <c r="GH7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7" s="42">
        <f>IF(Tasks[[#This Row],[Task Name]]="","",LEFT(Tasks[[#This Row],[WBS]],FIND(".",Tasks[[#This Row],[WBS]]&amp;".")-1))</f>
        <v/>
      </c>
      <c r="GJ77" s="42">
        <f>IF(AND(Tasks[[#This Row],[Task Name]]&lt;&gt;"",Tasks[[#This Row],[_Level]]=1),Tasks[[#This Row],[_Row]],"")</f>
        <v/>
      </c>
      <c r="GK77" s="42">
        <f>IF(AND(Tasks[[#This Row],[_IsLeaf]]=1,N(Tasks[[#This Row],[_Days]])=0),Tasks[[#This Row],[Planned Finish]]+Tasks[[#This Row],[_Row]]/100000,"")</f>
        <v/>
      </c>
      <c r="GL77" s="42">
        <f>IF(AND(Tasks[[#This Row],[_IsLeaf]]=1,Tasks[[#This Row],[_LeafProgress]]&lt;1,OR(N(Tasks[[#This Row],[Finish Var]])&gt;0,Tasks[[#This Row],[Status]]="Late Start")),MAX(0,Tasks[[#This Row],[Finish Var]])+1-Tasks[[#This Row],[_Row]]/1000000,"")</f>
        <v/>
      </c>
      <c r="GM77" s="42">
        <f>IF(AND(Tasks[[#This Row],[_IsLeaf]]=1,N(Tasks[[#This Row],[Actual Start]])=0,Tasks[[#This Row],[_ShownFcstStart]]&gt;=StatusDate,Tasks[[#This Row],[_ShownFcstStart]]&lt;=LookaheadEnd),Tasks[[#This Row],[_ShownFcstStart]]+Tasks[[#This Row],[_Row]]/100000,"")</f>
        <v/>
      </c>
      <c r="GN77" s="42">
        <f>IF(AND(Tasks[[#This Row],[_IsLeaf]]=1,Tasks[[#This Row],[_LeafProgress]]&lt;1,Tasks[[#This Row],[_ShownFcstFinish]]&gt;=StatusDate,Tasks[[#This Row],[_ShownFcstFinish]]&lt;=LookaheadEnd),Tasks[[#This Row],[_ShownFcstFinish]]+Tasks[[#This Row],[_Row]]/100000,"")</f>
        <v/>
      </c>
      <c r="GO77" s="42">
        <f>IF(Tasks[[#This Row],[_LeafCritical]],Tasks[[#This Row],[_ShownFcstStart]]+Tasks[[#This Row],[_Row]]/100000,"")</f>
        <v/>
      </c>
      <c r="GP77" s="42">
        <f>Tasks[[#This Row],[_LeafWork]]*Tasks[[#This Row],[_LeafProgress]]</f>
        <v/>
      </c>
      <c r="GQ77" s="88">
        <f>IF(AND(Tasks[[#This Row],[_IsLeaf]]=1,Tasks[[#This Row],[_LeafProgress]]&gt;=1),IF(N(Tasks[[#This Row],[Actual Finish]])&gt;0,Tasks[[#This Row],[Actual Finish]],Tasks[[#This Row],[_ShownFcstFinish]]),"")</f>
        <v/>
      </c>
      <c r="GR77" s="42">
        <f>IF(Tasks[[#This Row],[_IsLeaf]]=1,N(Tasks[[#This Row],[Story Points]]),0)</f>
        <v/>
      </c>
      <c r="GS77" s="42">
        <f>""</f>
        <v/>
      </c>
      <c r="GT77" s="42">
        <f>IF(Tasks[[#This Row],[Task Name]]="",FALSE(),AND(Tasks[[#This Row],[_IsLeaf]]=1,N(Tasks[[#This Row],[_Days]])=0))</f>
        <v/>
      </c>
      <c r="GU77" s="88">
        <f>IF(Tasks[[#This Row],[Task Name]]="",0,IF(AND(Tasks[[#This Row],[_IsLeaf]]=1,NOT(Tasks[[#This Row],[_IsMilestone]]),N(Tasks[[#This Row],[Progress]])&gt;0),Tasks[[#This Row],[Start]],0))</f>
        <v/>
      </c>
      <c r="GV77" s="88">
        <f>IF(Tasks[[#This Row],[_DoneFrom]]=0,0,IF(Tasks[[#This Row],[Progress]]&gt;=1,Tasks[[#This Row],[Finish]],MAX(Tasks[[#This Row],[_DoneFrom]],Tasks[[#This Row],[Start]]+ROUND((Tasks[[#This Row],[Finish]]-Tasks[[#This Row],[Start]]+1)*Tasks[[#This Row],[Progress]],0)-1)))</f>
        <v/>
      </c>
      <c r="GW77" s="88">
        <f>IF(Tasks[[#This Row],[Task Name]]="",0,IF(OR(NOT(Tasks[[#This Row],[_IsLeaf]]=1),Tasks[[#This Row],[_IsMilestone]],N(Tasks[[#This Row],[Progress]])&gt;=1),0,IF(Tasks[[#This Row],[_DoneTo]]&gt;0,Tasks[[#This Row],[_DoneTo]]+1,Tasks[[#This Row],[Start]])))</f>
        <v/>
      </c>
      <c r="GX77" s="88">
        <f>IF(Tasks[[#This Row],[_RemFrom]]=0,0,Tasks[[#This Row],[Finish]])</f>
        <v/>
      </c>
      <c r="GY77" s="42">
        <f>IF(Tasks[[#This Row],[Task Name]]="",FALSE(),OR(NOT(BaselineSet),N(Tasks[[#This Row],[Baseline Start]])&gt;0))</f>
        <v/>
      </c>
      <c r="GZ77" s="42">
        <f>IF(AND(Sandbox="Yes",L_PARSE_DURATION(Tasks[[#This Row],[Sandbox Duration]])&lt;&gt;""),L_PARSE_DURATION(Tasks[[#This Row],[Sandbox Duration]]),L_PARSE_DURATION(Tasks[[#This Row],[Duration]]))</f>
        <v/>
      </c>
      <c r="HA7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7" s="42">
        <f>IF(Tasks[[#This Row],[_IsLeaf]]=1,Tasks[[#This Row],[_Row]],"")</f>
        <v/>
      </c>
      <c r="HD77" s="42">
        <f>IFERROR(INDEX(Tasks[UID],SMALL(Tasks[_PickKey],Tasks[[#This Row],[_Row]]))&amp;" "&amp;INDEX(Tasks[Task Name],SMALL(Tasks[_PickKey],Tasks[[#This Row],[_Row]])),"")</f>
        <v/>
      </c>
      <c r="HE77" s="42">
        <f>IF(Tasks[[#This Row],[Task Name]]="","",IF(Tasks[[#This Row],[_IsSummary]],NETWORKDAYS.INTL(Tasks[[#This Row],[Start]],Tasks[[#This Row],[Finish]],WorkWeek,Holidays),N(Tasks[[#This Row],[_Days]])))</f>
        <v/>
      </c>
      <c r="HF77" s="42">
        <f>IF(Tasks[[#This Row],[Expected]]="",0,((Tasks[[#This Row],[Pessimistic]]-Tasks[[#This Row],[Optimistic]])/6)^2)</f>
        <v/>
      </c>
      <c r="HG77" s="42">
        <f>IF(Tasks[[#This Row],[Expected]]="",0,Tasks[[#This Row],[Expected]]-N(Tasks[[#This Row],[_Days]]))</f>
        <v/>
      </c>
    </row>
    <row r="78">
      <c r="A78" s="21">
        <f>IF(Tasks[[#This Row],[Task Name]]="","",COUNTA(Tasks[[#Headers],[Task Name]]:Tasks[[#This Row],[Task Name]])-1)</f>
        <v/>
      </c>
      <c r="B78" s="22" t="n">
        <v>86</v>
      </c>
      <c r="C78" s="22" t="n"/>
      <c r="D78" s="23" t="n"/>
      <c r="E78" s="22" t="n"/>
      <c r="F78" s="23" t="n"/>
      <c r="G78" s="22" t="n"/>
      <c r="H78" s="22" t="n"/>
      <c r="I78" s="23" t="n"/>
      <c r="J78" s="22" t="n"/>
      <c r="K78" s="22" t="n"/>
      <c r="L78" s="23" t="n"/>
      <c r="M78" s="22" t="n"/>
      <c r="N78" s="22" t="n"/>
      <c r="O78" s="23" t="n"/>
      <c r="P78" s="22" t="n"/>
      <c r="Q78" s="22" t="n"/>
      <c r="R78" s="23" t="n"/>
      <c r="S78" s="23" t="n"/>
      <c r="T78" s="82" t="n"/>
      <c r="U78" s="23" t="n"/>
      <c r="V78" s="82" t="n"/>
      <c r="W78" s="23" t="n"/>
      <c r="X78" s="82" t="n"/>
      <c r="Y78" s="23" t="n"/>
      <c r="Z78" s="82" t="n"/>
      <c r="AA78" s="23" t="n"/>
      <c r="AB78" s="23" t="n"/>
      <c r="AC78" s="7" t="n"/>
      <c r="AD78" s="7" t="n"/>
      <c r="AE78" s="61">
        <f>IF(Tasks[[#This Row],[Task Name]]="","",IF(Tasks[[#This Row],[_IsSummary]],MIN(INDEX(Tasks[_ShownFcstStart],Tasks[[#This Row],[_Row]]+1):INDEX(Tasks[_ShownFcstStart],Tasks[[#This Row],[_Row]]+Tasks[[#This Row],[_Descendants]])),Tasks[[#This Row],[_ShownFcstStart]]))</f>
        <v/>
      </c>
      <c r="AF78" s="61">
        <f>IF(Tasks[[#This Row],[Task Name]]="","",IF(Tasks[[#This Row],[_IsSummary]],MAX(INDEX(Tasks[_ShownFcstFinish],Tasks[[#This Row],[_Row]]+1):INDEX(Tasks[_ShownFcstFinish],Tasks[[#This Row],[_Row]]+Tasks[[#This Row],[_Descendants]])),Tasks[[#This Row],[_ShownFcstFinish]]))</f>
        <v/>
      </c>
      <c r="AG78" s="21">
        <f>""</f>
        <v/>
      </c>
      <c r="AH78" s="23" t="n"/>
      <c r="AI7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8" s="7" t="n"/>
      <c r="AK78" s="22" t="n"/>
      <c r="AL78" s="23" t="n"/>
      <c r="AM78" s="7" t="n"/>
      <c r="AN78" s="21">
        <f>IF(Tasks[[#This Row],[Task Name]]="","",IF(Tasks[[#This Row],[Finish]]&gt;=Tasks[[#This Row],[Planned Finish]],NETWORKDAYS.INTL(Tasks[[#This Row],[Planned Finish]],Tasks[[#This Row],[Finish]],WorkWeek,Holidays)-1,1-NETWORKDAYS.INTL(Tasks[[#This Row],[Finish]],Tasks[[#This Row],[Planned Finish]],WorkWeek,Holidays)))</f>
        <v/>
      </c>
      <c r="AO78" s="21">
        <f>IF(Tasks[[#This Row],[Task Name]]="","",IF(Tasks[[#This Row],[Progress]]&gt;=1,"Complete",IF(OR(N(Tasks[[#This Row],[Actual Start]])&gt;0,Tasks[[#This Row],[Progress]]&gt;0),IF(Tasks[[#This Row],[Finish Var]]&gt;0,"Behind","In Progress"),IF(Tasks[[#This Row],[Planned Start]]&lt;StatusDate,"Late Start","Not Started"))))</f>
        <v/>
      </c>
      <c r="AP78" s="21">
        <f>IF(Tasks[[#This Row],[Task Name]]="","",IF(IF(Tasks[[#This Row],[_IsSummary]],COUNTIF(INDEX(Tasks[_LeafCritical],Tasks[[#This Row],[_Row]]+1):INDEX(Tasks[_LeafCritical],Tasks[[#This Row],[_Row]]+Tasks[[#This Row],[_Descendants]]),TRUE())&gt;0,Tasks[[#This Row],[_LeafCritical]]),"Yes",""))</f>
        <v/>
      </c>
      <c r="AQ78" s="61">
        <f>IF(Tasks[[#This Row],[Task Name]]="","",IF(N(Tasks[[#This Row],[Baseline Start]])&gt;0,Tasks[[#This Row],[Baseline Start]],Tasks[[#This Row],[_CalcStart]]))</f>
        <v/>
      </c>
      <c r="AR78" s="61">
        <f>IF(Tasks[[#This Row],[Task Name]]="","",IF(N(Tasks[[#This Row],[Baseline Finish]])&gt;0,Tasks[[#This Row],[Baseline Finish]],Tasks[[#This Row],[_CalcFinish]]))</f>
        <v/>
      </c>
      <c r="AS78" s="21">
        <f>IF(Tasks[[#This Row],[Task Name]]="","",IF(Tasks[[#This Row],[Start]]&gt;=Tasks[[#This Row],[Planned Start]],NETWORKDAYS.INTL(Tasks[[#This Row],[Planned Start]],Tasks[[#This Row],[Start]],WorkWeek,Holidays)-1,1-NETWORKDAYS.INTL(Tasks[[#This Row],[Start]],Tasks[[#This Row],[Planned Start]],WorkWeek,Holidays)))</f>
        <v/>
      </c>
      <c r="AT78" s="61">
        <f>IF(Tasks[[#This Row],[Task Name]]="","",IF(Tasks[[#This Row],[_IsSummary]],MIN(INDEX(Tasks[_LeafLateStart],Tasks[[#This Row],[_Row]]+1):INDEX(Tasks[_LeafLateStart],Tasks[[#This Row],[_Row]]+Tasks[[#This Row],[_Descendants]])),Tasks[[#This Row],[_LeafLateStart]]))</f>
        <v/>
      </c>
      <c r="AU78" s="61">
        <f>IF(Tasks[[#This Row],[Task Name]]="","",IF(Tasks[[#This Row],[_IsSummary]],MAX(INDEX(Tasks[_LeafLateFinish],Tasks[[#This Row],[_Row]]+1):INDEX(Tasks[_LeafLateFinish],Tasks[[#This Row],[_Row]]+Tasks[[#This Row],[_Descendants]])),Tasks[[#This Row],[_LeafLateFinish]]))</f>
        <v/>
      </c>
      <c r="AV78" s="21">
        <f>IF(Tasks[[#This Row],[Task Name]]="","",IF(Tasks[[#This Row],[_IsSummary]],MIN(INDEX(Tasks[_LeafTotalSlack],Tasks[[#This Row],[_Row]]+1):INDEX(Tasks[_LeafTotalSlack],Tasks[[#This Row],[_Row]]+Tasks[[#This Row],[_Descendants]])),Tasks[[#This Row],[_LeafTotalSlack]]))</f>
        <v/>
      </c>
      <c r="AW7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3" t="n"/>
      <c r="BA7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f>IF(Tasks[[#This Row],[Task Name]]="","",IF(Tasks[[#This Row],[_Level]]&lt;=OutlineShowLevel,"Yes","No"))</f>
        <v/>
      </c>
      <c r="BE78" s="84">
        <f>IF(Tasks[[#This Row],[Task Name]]="","",IF(Tasks[[#This Row],[_IsSummary]],SUM(INDEX(Tasks[_LeafTotalWork],Tasks[[#This Row],[_Row]]+1):INDEX(Tasks[_LeafTotalWork],Tasks[[#This Row],[_Row]]+Tasks[[#This Row],[_Descendants]])),Tasks[[#This Row],[_LeafTotalWork]]))</f>
        <v/>
      </c>
      <c r="BF78" s="23" t="n"/>
      <c r="BG7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f>""</f>
        <v/>
      </c>
      <c r="BI78" s="85" t="n"/>
      <c r="BJ78" s="22" t="n"/>
      <c r="BK78" s="21">
        <f>IF(OR(Tasks[[#This Row],[Task Name]]="",Tasks[[#This Row],[Baseline Duration]]=""),"",Tasks[[#This Row],[_SpanDays]]-N(Tasks[[#This Row],[Baseline Duration]]))</f>
        <v/>
      </c>
      <c r="BL78" s="84">
        <f>IF(OR(Tasks[[#This Row],[Task Name]]="",Tasks[[#This Row],[Baseline Work]]=""),"",Tasks[[#This Row],[Work]]-N(Tasks[[#This Row],[Baseline Work]]))</f>
        <v/>
      </c>
      <c r="BM78" s="61">
        <f>IF(Tasks[[#This Row],[Task Name]]="","",IF(OR(TakeBaseline="Yes",N(Tasks[[#This Row],[Baseline Start]])=0),Tasks[[#This Row],[Start]],Tasks[[#This Row],[Baseline Start]]))</f>
        <v/>
      </c>
      <c r="BN78" s="61">
        <f>IF(Tasks[[#This Row],[Task Name]]="","",IF(OR(TakeBaseline="Yes",N(Tasks[[#This Row],[Baseline Finish]])=0),Tasks[[#This Row],[Finish]],Tasks[[#This Row],[Baseline Finish]]))</f>
        <v/>
      </c>
      <c r="BO78" s="21">
        <f>IF(Tasks[[#This Row],[Task Name]]="","",IF(OR(TakeBaseline="Yes",N(Tasks[[#This Row],[Baseline Duration]])=0),Tasks[[#This Row],[_SpanDays]],Tasks[[#This Row],[Baseline Duration]]))</f>
        <v/>
      </c>
      <c r="BP78" s="84">
        <f>IF(Tasks[[#This Row],[Task Name]]="","",IF(OR(TakeBaseline="Yes",N(Tasks[[#This Row],[Baseline Work]])=0),Tasks[[#This Row],[Work]],Tasks[[#This Row],[Baseline Work]]))</f>
        <v/>
      </c>
      <c r="BQ78" s="7" t="n"/>
      <c r="BR78" s="7" t="n"/>
      <c r="BS78" s="22" t="n"/>
      <c r="BT78" s="86" t="n"/>
      <c r="BU78" s="23" t="n"/>
      <c r="BV78" s="23" t="n"/>
      <c r="BW78" s="23" t="n"/>
      <c r="BX78" s="87">
        <f>IF(AND(Tasks[[#This Row],[_IsLeaf]]=1,ISNUMBER(Tasks[[#This Row],[Optimistic]]),ISNUMBER(Tasks[[#This Row],[Pessimistic]])),ROUND((Tasks[[#This Row],[Optimistic]]+4*N(Tasks[[#This Row],[_Days]])+Tasks[[#This Row],[Pessimistic]])/6,1),"")</f>
        <v/>
      </c>
      <c r="BY78" s="85" t="n"/>
      <c r="BZ78" s="85" t="n"/>
      <c r="CA78" s="22" t="n"/>
      <c r="CB78" s="42">
        <f>IF(Tasks[[#This Row],[Task Name]]="","",MAX(1,N(Tasks[[#This Row],[Level]])))</f>
        <v/>
      </c>
      <c r="CC78" s="42">
        <f>ROW()-ROW(Tasks[[#Headers],[ID]])</f>
        <v/>
      </c>
      <c r="CD78" s="42">
        <f>IF(OR(Tasks[[#This Row],[Task Name]]="",Tasks[[#This Row],[_Level]]&lt;=1),0,IFERROR(LOOKUP(2,1/(Tasks[[#Headers],[_Level]]:Tasks[[#This Row],[_Level]]=Tasks[[#This Row],[_Level]]-1),ROW(Tasks[[#Headers],[_Level]]:Tasks[[#This Row],[_Level]])),0))</f>
        <v/>
      </c>
      <c r="CE78" s="42">
        <f>IFERROR(N(INDEX(Tasks[_Level],Tasks[[#This Row],[_Row]]+1)),0)</f>
        <v/>
      </c>
      <c r="CF78" s="42">
        <f>AND(Tasks[[#This Row],[Task Name]]&lt;&gt;"",Tasks[[#This Row],[_NextLevel]]&gt;Tasks[[#This Row],[_Level]])</f>
        <v/>
      </c>
      <c r="CG78" s="42">
        <f>IF(Tasks[[#This Row],[_IsSummary]],COUNTIF(Tasks[WBS],Tasks[[#This Row],[WBS]]&amp;".*"),0)</f>
        <v/>
      </c>
      <c r="CH78" s="42">
        <f>IF(AND(Tasks[[#This Row],[Task Name]]&lt;&gt;"",NOT(Tasks[[#This Row],[_IsSummary]])),1,0)</f>
        <v/>
      </c>
      <c r="CI78" s="42">
        <f>IF(N(Tasks[[#This Row],[_Pred1UID]])=0,0,IFERROR(MATCH(Tasks[[#This Row],[_Pred1UID]],Tasks[UID],0),-1))</f>
        <v/>
      </c>
      <c r="CJ78" s="42">
        <f>IF(N(Tasks[[#This Row],[_Pred2UID]])=0,0,IFERROR(MATCH(Tasks[[#This Row],[_Pred2UID]],Tasks[UID],0),-1))</f>
        <v/>
      </c>
      <c r="CK78" s="42">
        <f>IF(N(Tasks[[#This Row],[_Pred3UID]])=0,0,IFERROR(MATCH(Tasks[[#This Row],[_Pred3UID]],Tasks[UID],0),-1))</f>
        <v/>
      </c>
      <c r="CL78" s="42">
        <f>IF(N(Tasks[[#This Row],[_Pred4UID]])=0,0,IFERROR(MATCH(Tasks[[#This Row],[_Pred4UID]],Tasks[UID],0),-1))</f>
        <v/>
      </c>
      <c r="CM7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8" s="88">
        <f>IF(N(Tasks[[#This Row],[Constraint Date]])=0,0,IF(AND(OR(Tasks[[#This Row],[_ConstraintCode]]=3,Tasks[[#This Row],[_ConstraintCode]]=6,Tasks[[#This Row],[_ConstraintCode]]=7),N(Tasks[[#This Row],[_Days]])&gt;1),WORKDAY.INTL(N(Tasks[[#This Row],[Constraint Date]]),-(N(Tasks[[#This Row],[_Days]])-1),WorkWeek,Holidays),N(Tasks[[#This Row],[Constraint Date]])))</f>
        <v/>
      </c>
      <c r="CO78" s="88">
        <f>IF(OR(Tasks[[#This Row],[_ConstraintCode]]=2,Tasks[[#This Row],[_ConstraintCode]]=3,Tasks[[#This Row],[_ConstraintCode]]=4,Tasks[[#This Row],[_ConstraintCode]]=6),Tasks[[#This Row],[_ConstraintStart]],0)</f>
        <v/>
      </c>
      <c r="CP78" s="88">
        <f>IF(OR(Tasks[[#This Row],[_ConstraintCode]]=2,Tasks[[#This Row],[_ConstraintCode]]=3,Tasks[[#This Row],[_ConstraintCode]]=5,Tasks[[#This Row],[_ConstraintCode]]=7),Tasks[[#This Row],[_ConstraintStart]],2958465)</f>
        <v/>
      </c>
      <c r="CQ7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8" s="88">
        <f>IF(NOT(Tasks[[#This Row],[_IsLeaf]]=1),"",IF(N(Tasks[[#This Row],[_Days]])&lt;=0,Tasks[[#This Row],[_LeafCalcStart]],WORKDAY.INTL(Tasks[[#This Row],[_LeafCalcStart]],Tasks[[#This Row],[_Days]]-1,WorkWeek,Holidays)))</f>
        <v/>
      </c>
      <c r="CS7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8" s="42">
        <f>IF(Tasks[[#This Row],[_Predecessors]]="","",TRIM(MID(SUBSTITUTE(SUBSTITUTE(SUBSTITUTE(UPPER(Tasks[[#This Row],[_Predecessors]]),";",",")," ",""),",",REPT(" ",99)),1,99)))</f>
        <v/>
      </c>
      <c r="CV78" s="42">
        <f>IF(Tasks[[#This Row],[_Pred1Text]]="","",IFERROR(VALUE(LEFT(Tasks[[#This Row],[_Pred1Text]],MIN(FIND("F",Tasks[[#This Row],[_Pred1Text]]&amp;"F"),FIND("S",Tasks[[#This Row],[_Pred1Text]]&amp;"S"),FIND("+",Tasks[[#This Row],[_Pred1Text]]&amp;"+"),FIND("-",Tasks[[#This Row],[_Pred1Text]]&amp;"-"))-1)),""))</f>
        <v/>
      </c>
      <c r="CW7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8" s="42">
        <f>IF(Tasks[[#This Row],[_Pred1Text]]="","",TRIM(MID(SUBSTITUTE(SUBSTITUTE(SUBSTITUTE(UPPER(Tasks[[#This Row],[_Predecessors]]),";",",")," ",""),",",REPT(" ",99)),100,99)))</f>
        <v/>
      </c>
      <c r="CZ78" s="42">
        <f>IF(Tasks[[#This Row],[_Pred2Text]]="","",IFERROR(VALUE(LEFT(Tasks[[#This Row],[_Pred2Text]],MIN(FIND("F",Tasks[[#This Row],[_Pred2Text]]&amp;"F"),FIND("S",Tasks[[#This Row],[_Pred2Text]]&amp;"S"),FIND("+",Tasks[[#This Row],[_Pred2Text]]&amp;"+"),FIND("-",Tasks[[#This Row],[_Pred2Text]]&amp;"-"))-1)),""))</f>
        <v/>
      </c>
      <c r="DA7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8" s="42">
        <f>IF(Tasks[[#This Row],[_Pred2Text]]="","",TRIM(MID(SUBSTITUTE(SUBSTITUTE(SUBSTITUTE(UPPER(Tasks[[#This Row],[_Predecessors]]),";",",")," ",""),",",REPT(" ",99)),199,99)))</f>
        <v/>
      </c>
      <c r="DD78" s="42">
        <f>IF(Tasks[[#This Row],[_Pred3Text]]="","",IFERROR(VALUE(LEFT(Tasks[[#This Row],[_Pred3Text]],MIN(FIND("F",Tasks[[#This Row],[_Pred3Text]]&amp;"F"),FIND("S",Tasks[[#This Row],[_Pred3Text]]&amp;"S"),FIND("+",Tasks[[#This Row],[_Pred3Text]]&amp;"+"),FIND("-",Tasks[[#This Row],[_Pred3Text]]&amp;"-"))-1)),""))</f>
        <v/>
      </c>
      <c r="DE7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8" s="42">
        <f>IF(Tasks[[#This Row],[_Pred3Text]]="","",TRIM(MID(SUBSTITUTE(SUBSTITUTE(SUBSTITUTE(UPPER(Tasks[[#This Row],[_Predecessors]]),";",",")," ",""),",",REPT(" ",99)),298,99)))</f>
        <v/>
      </c>
      <c r="DH78" s="42">
        <f>IF(Tasks[[#This Row],[_Pred4Text]]="","",IFERROR(VALUE(LEFT(Tasks[[#This Row],[_Pred4Text]],MIN(FIND("F",Tasks[[#This Row],[_Pred4Text]]&amp;"F"),FIND("S",Tasks[[#This Row],[_Pred4Text]]&amp;"S"),FIND("+",Tasks[[#This Row],[_Pred4Text]]&amp;"+"),FIND("-",Tasks[[#This Row],[_Pred4Text]]&amp;"-"))-1)),""))</f>
        <v/>
      </c>
      <c r="DI7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8" s="42">
        <f>IF(OR(Tasks[[#This Row],[Task Name]]="",Tasks[[#This Row],[_Resources]]=""),"",TRIM(MID(SUBSTITUTE(Tasks[[#This Row],[_Resources]],",",REPT(" ",99)),1,99)))</f>
        <v/>
      </c>
      <c r="DL78" s="42">
        <f>IF(Tasks[[#This Row],[_Res1Text]]="","",TRIM(MID(SUBSTITUTE(Tasks[[#This Row],[_Resources]],",",REPT(" ",99)),100,99)))</f>
        <v/>
      </c>
      <c r="DM78" s="42">
        <f>IF(Tasks[[#This Row],[_Res2Text]]="","",TRIM(MID(SUBSTITUTE(Tasks[[#This Row],[_Resources]],",",REPT(" ",99)),199,99)))</f>
        <v/>
      </c>
      <c r="DN78" s="42">
        <f>IF(Tasks[[#This Row],[_Res3Text]]="","",TRIM(MID(SUBSTITUTE(Tasks[[#This Row],[_Resources]],",",REPT(" ",99)),298,99)))</f>
        <v/>
      </c>
      <c r="DO78" s="42">
        <f>IF(Tasks[[#This Row],[_Res1Text]]="",0,IFERROR(MATCH(TRIM(LEFT(Tasks[[#This Row],[_Res1Text]],FIND("[",Tasks[[#This Row],[_Res1Text]]&amp;"[")-1)),res_Name,0),IFERROR(MATCH(TRIM(LEFT(Tasks[[#This Row],[_Res1Text]],FIND("[",Tasks[[#This Row],[_Res1Text]]&amp;"[")-1)),res_Initials,0),0)))</f>
        <v/>
      </c>
      <c r="DP78" s="42">
        <f>IF(Tasks[[#This Row],[_Res2Text]]="",0,IFERROR(MATCH(TRIM(LEFT(Tasks[[#This Row],[_Res2Text]],FIND("[",Tasks[[#This Row],[_Res2Text]]&amp;"[")-1)),res_Name,0),IFERROR(MATCH(TRIM(LEFT(Tasks[[#This Row],[_Res2Text]],FIND("[",Tasks[[#This Row],[_Res2Text]]&amp;"[")-1)),res_Initials,0),0)))</f>
        <v/>
      </c>
      <c r="DQ78" s="42">
        <f>IF(Tasks[[#This Row],[_Res3Text]]="",0,IFERROR(MATCH(TRIM(LEFT(Tasks[[#This Row],[_Res3Text]],FIND("[",Tasks[[#This Row],[_Res3Text]]&amp;"[")-1)),res_Name,0),IFERROR(MATCH(TRIM(LEFT(Tasks[[#This Row],[_Res3Text]],FIND("[",Tasks[[#This Row],[_Res3Text]]&amp;"[")-1)),res_Initials,0),0)))</f>
        <v/>
      </c>
      <c r="DR78" s="42">
        <f>IF(Tasks[[#This Row],[_Res4Text]]="",0,IFERROR(MATCH(TRIM(LEFT(Tasks[[#This Row],[_Res4Text]],FIND("[",Tasks[[#This Row],[_Res4Text]]&amp;"[")-1)),res_Name,0),IFERROR(MATCH(TRIM(LEFT(Tasks[[#This Row],[_Res4Text]],FIND("[",Tasks[[#This Row],[_Res4Text]]&amp;"[")-1)),res_Initials,0),0)))</f>
        <v/>
      </c>
      <c r="DS78" s="42">
        <f>IF(Tasks[[#This Row],[_Res1Text]]="","",IF(Tasks[[#This Row],[_Res1Row]]&gt;0,INDEX(res_Name,Tasks[[#This Row],[_Res1Row]]),TRIM(LEFT(Tasks[[#This Row],[_Res1Text]],FIND("[",Tasks[[#This Row],[_Res1Text]]&amp;"[")-1))))</f>
        <v/>
      </c>
      <c r="DT7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8" s="42">
        <f>IF(NOT(Tasks[[#This Row],[_IsLeaf]]=1),0,(Tasks[[#This Row],[_Resource1]]&lt;&gt;"")+(Tasks[[#This Row],[_Res2]]&lt;&gt;"")+(Tasks[[#This Row],[_Res3]]&lt;&gt;"")+(Tasks[[#This Row],[_Res4]]&lt;&gt;""))</f>
        <v/>
      </c>
      <c r="DV78" s="42">
        <f>IF(Tasks[[#This Row],[_Res2Text]]="","",IF(Tasks[[#This Row],[_Res2Row]]&gt;0,INDEX(res_Name,Tasks[[#This Row],[_Res2Row]]),TRIM(LEFT(Tasks[[#This Row],[_Res2Text]],FIND("[",Tasks[[#This Row],[_Res2Text]]&amp;"[")-1))))</f>
        <v/>
      </c>
      <c r="DW7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8" s="42">
        <f>IF(OR(NOT(Tasks[[#This Row],[_IsLeaf]]=1),Tasks[[#This Row],[_Res2Row]]=0),0,N(Tasks[[#This Row],[_Days]])*HoursPerDay*IF(Tasks[[#This Row],[_Res2Units]]="",DefaultUnits,Tasks[[#This Row],[_Res2Units]]))</f>
        <v/>
      </c>
      <c r="DY78" s="42">
        <f>IF(AND(AND(Tasks[[#This Row],[_IsLeaf]]=1,Tasks[[#This Row],[_LeafTotalWork]]&gt;0),Tasks[[#This Row],[_Res2Work]]&gt;0),Tasks[[#This Row],[_Res2Work]]/(Tasks[[#This Row],[_FinishWorkday]]-Tasks[[#This Row],[_StartWorkday]]+1),0)</f>
        <v/>
      </c>
      <c r="DZ78" s="42">
        <f>Tasks[[#This Row],[_Res2WorkPerWD]]*MAX(0,Tasks[[#This Row],[_StartWorkday]]-1)</f>
        <v/>
      </c>
      <c r="EA78" s="42">
        <f>Tasks[[#This Row],[_Res2Work]]*Tasks[[#This Row],[_LeafProgress]]</f>
        <v/>
      </c>
      <c r="EB78" s="42">
        <f>IF(Tasks[[#This Row],[_Res3Text]]="","",IF(Tasks[[#This Row],[_Res3Row]]&gt;0,INDEX(res_Name,Tasks[[#This Row],[_Res3Row]]),TRIM(LEFT(Tasks[[#This Row],[_Res3Text]],FIND("[",Tasks[[#This Row],[_Res3Text]]&amp;"[")-1))))</f>
        <v/>
      </c>
      <c r="EC7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8" s="42">
        <f>IF(OR(NOT(Tasks[[#This Row],[_IsLeaf]]=1),Tasks[[#This Row],[_Res3Row]]=0),0,N(Tasks[[#This Row],[_Days]])*HoursPerDay*IF(Tasks[[#This Row],[_Res3Units]]="",DefaultUnits,Tasks[[#This Row],[_Res3Units]]))</f>
        <v/>
      </c>
      <c r="EE78" s="42">
        <f>IF(AND(AND(Tasks[[#This Row],[_IsLeaf]]=1,Tasks[[#This Row],[_LeafTotalWork]]&gt;0),Tasks[[#This Row],[_Res3Work]]&gt;0),Tasks[[#This Row],[_Res3Work]]/(Tasks[[#This Row],[_FinishWorkday]]-Tasks[[#This Row],[_StartWorkday]]+1),0)</f>
        <v/>
      </c>
      <c r="EF78" s="42">
        <f>Tasks[[#This Row],[_Res3WorkPerWD]]*MAX(0,Tasks[[#This Row],[_StartWorkday]]-1)</f>
        <v/>
      </c>
      <c r="EG78" s="42">
        <f>Tasks[[#This Row],[_Res3Work]]*Tasks[[#This Row],[_LeafProgress]]</f>
        <v/>
      </c>
      <c r="EH78" s="42">
        <f>IF(Tasks[[#This Row],[_Res4Text]]="","",IF(Tasks[[#This Row],[_Res4Row]]&gt;0,INDEX(res_Name,Tasks[[#This Row],[_Res4Row]]),TRIM(LEFT(Tasks[[#This Row],[_Res4Text]],FIND("[",Tasks[[#This Row],[_Res4Text]]&amp;"[")-1))))</f>
        <v/>
      </c>
      <c r="EI7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8" s="42">
        <f>IF(OR(NOT(Tasks[[#This Row],[_IsLeaf]]=1),Tasks[[#This Row],[_Res4Row]]=0),0,N(Tasks[[#This Row],[_Days]])*HoursPerDay*IF(Tasks[[#This Row],[_Res4Units]]="",DefaultUnits,Tasks[[#This Row],[_Res4Units]]))</f>
        <v/>
      </c>
      <c r="EK78" s="42">
        <f>IF(AND(AND(Tasks[[#This Row],[_IsLeaf]]=1,Tasks[[#This Row],[_LeafTotalWork]]&gt;0),Tasks[[#This Row],[_Res4Work]]&gt;0),Tasks[[#This Row],[_Res4Work]]/(Tasks[[#This Row],[_FinishWorkday]]-Tasks[[#This Row],[_StartWorkday]]+1),0)</f>
        <v/>
      </c>
      <c r="EL78" s="42">
        <f>Tasks[[#This Row],[_Res4WorkPerWD]]*MAX(0,Tasks[[#This Row],[_StartWorkday]]-1)</f>
        <v/>
      </c>
      <c r="EM78" s="42">
        <f>Tasks[[#This Row],[_Res4Work]]*Tasks[[#This Row],[_LeafProgress]]</f>
        <v/>
      </c>
      <c r="EN78" s="42">
        <f>IF(ISNUMBER(Tasks[[#This Row],[% Complete]]),Tasks[[#This Row],[% Complete]],IF(Tasks[[#This Row],[Stage]]="",0,IFERROR(INDEX(stg_Pct,MATCH(Tasks[[#This Row],[Stage]],stg_Name,0)),0)))</f>
        <v/>
      </c>
      <c r="EO78" s="42">
        <f>IF(NOT(Tasks[[#This Row],[_IsLeaf]]=1),0,IF(N(Tasks[[#This Row],[Actual Finish]])&gt;0,1,MIN(1,Tasks[[#This Row],[_Pct]])))</f>
        <v/>
      </c>
      <c r="EP78" s="42">
        <f>IF(OR(NOT(Tasks[[#This Row],[_IsLeaf]]=1),Tasks[[#This Row],[_Res1Row]]=0),0,N(Tasks[[#This Row],[_Days]])*HoursPerDay*IF(Tasks[[#This Row],[_Units1]]="",DefaultUnits,Tasks[[#This Row],[_Units1]]))</f>
        <v/>
      </c>
      <c r="EQ78" s="42">
        <f>Tasks[[#This Row],[_LeafWork]]+Tasks[[#This Row],[_Res2Work]]+Tasks[[#This Row],[_Res3Work]]+Tasks[[#This Row],[_Res4Work]]</f>
        <v/>
      </c>
      <c r="ER7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8" s="42">
        <f>IF(NOT(Tasks[[#This Row],[_IsLeaf]]=1),0,MAX(_xlfn.MAXIFS(Tasks[_Row],Tasks[_Pred1UID],Tasks[[#This Row],[UID]]),_xlfn.MAXIFS(Tasks[_Row],Tasks[_Pred2UID],Tasks[[#This Row],[UID]]),_xlfn.MAXIFS(Tasks[_Row],Tasks[_Pred3UID],Tasks[[#This Row],[UID]]),_xlfn.MAXIFS(Tasks[_Row],Tasks[_Pred4UID],Tasks[[#This Row],[UID]])))</f>
        <v/>
      </c>
      <c r="FA7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8" s="88">
        <f>IF(NOT(Tasks[[#This Row],[_IsLeaf]]=1),"",IF(N(Tasks[[#This Row],[_Days]])&lt;=0,Tasks[[#This Row],[_LeafLateFinish]],WORKDAY.INTL(Tasks[[#This Row],[_LeafLateFinish]],-(Tasks[[#This Row],[_Days]]-1),WorkWeek,Holidays)))</f>
        <v/>
      </c>
      <c r="FD7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8" s="42">
        <f>AND(Tasks[[#This Row],[_IsLeaf]]=1,Tasks[[#This Row],[_LeafProgress]]&lt;1,N(Tasks[[#This Row],[_LeafTotalSlack]])&lt;=CriticalSlackDays)</f>
        <v/>
      </c>
      <c r="FF78" s="42">
        <f>IF(AND(Tasks[[#This Row],[_IsLeaf]]=1,Tasks[[#This Row],[_ConstraintCode]]=1,Tasks[[#This Row],[Mode]]&lt;&gt;"Manual",N(Tasks[[#This Row],[Actual Start]])=0),MAX(0,N(Tasks[[#This Row],[Free Slack]])),0)</f>
        <v/>
      </c>
      <c r="FG78" s="88">
        <f>IF(NOT(Tasks[[#This Row],[_IsLeaf]]=1),"",IF(Tasks[[#This Row],[_AlapShift]]=0,Tasks[[#This Row],[_LeafCalcStart]],WORKDAY.INTL(Tasks[[#This Row],[_LeafCalcStart]],Tasks[[#This Row],[_AlapShift]],WorkWeek,Holidays)))</f>
        <v/>
      </c>
      <c r="FH78" s="88">
        <f>IF(NOT(Tasks[[#This Row],[_IsLeaf]]=1),"",IF(Tasks[[#This Row],[_AlapShift]]=0,Tasks[[#This Row],[_LeafCalcFinish]],WORKDAY.INTL(Tasks[[#This Row],[_LeafCalcFinish]],Tasks[[#This Row],[_AlapShift]],WorkWeek,Holidays)))</f>
        <v/>
      </c>
      <c r="FI78" s="88">
        <f>IF(NOT(Tasks[[#This Row],[_IsLeaf]]=1),"",IF(Tasks[[#This Row],[_AlapShift]]=0,Tasks[[#This Row],[_LeafFcstStart]],WORKDAY.INTL(Tasks[[#This Row],[_LeafFcstStart]],Tasks[[#This Row],[_AlapShift]],WorkWeek,Holidays)))</f>
        <v/>
      </c>
      <c r="FJ78" s="88">
        <f>IF(NOT(Tasks[[#This Row],[_IsLeaf]]=1),"",IF(Tasks[[#This Row],[_AlapShift]]=0,Tasks[[#This Row],[_LeafFcstFinish]],WORKDAY.INTL(Tasks[[#This Row],[_LeafFcstFinish]],Tasks[[#This Row],[_AlapShift]],WorkWeek,Holidays)))</f>
        <v/>
      </c>
      <c r="FK78" s="88">
        <f>IF(Tasks[[#This Row],[Task Name]]="","",IF(Tasks[[#This Row],[_IsSummary]],MIN(INDEX(Tasks[_ShownCalcStart],Tasks[[#This Row],[_Row]]+1):INDEX(Tasks[_ShownCalcStart],Tasks[[#This Row],[_Row]]+Tasks[[#This Row],[_Descendants]])),Tasks[[#This Row],[_ShownCalcStart]]))</f>
        <v/>
      </c>
      <c r="FL78" s="88">
        <f>IF(Tasks[[#This Row],[Task Name]]="","",IF(Tasks[[#This Row],[_IsSummary]],MAX(INDEX(Tasks[_ShownCalcFinish],Tasks[[#This Row],[_Row]]+1):INDEX(Tasks[_ShownCalcFinish],Tasks[[#This Row],[_Row]]+Tasks[[#This Row],[_Descendants]])),Tasks[[#This Row],[_ShownCalcFinish]]))</f>
        <v/>
      </c>
      <c r="FM7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8" s="42">
        <f>IF(AND(Tasks[[#This Row],[_IsLeaf]]=1,Tasks[[#This Row],[_LeafTotalWork]]&gt;0),NETWORKDAYS.INTL(ProjectStart,Tasks[[#This Row],[_ShownFcstStart]],WorkWeek,Holidays),0)</f>
        <v/>
      </c>
      <c r="FZ78" s="42">
        <f>IF(AND(Tasks[[#This Row],[_IsLeaf]]=1,Tasks[[#This Row],[_LeafTotalWork]]&gt;0),MAX(Tasks[[#This Row],[_StartWorkday]],NETWORKDAYS.INTL(ProjectStart,Tasks[[#This Row],[_ShownFcstFinish]],WorkWeek,Holidays)),0)</f>
        <v/>
      </c>
      <c r="GA78" s="42">
        <f>IF(AND(Tasks[[#This Row],[_IsLeaf]]=1,Tasks[[#This Row],[_LeafTotalWork]]&gt;0),Tasks[[#This Row],[_LeafWork]]/(Tasks[[#This Row],[_FinishWorkday]]-Tasks[[#This Row],[_StartWorkday]]+1),0)</f>
        <v/>
      </c>
      <c r="GB78" s="42">
        <f>Tasks[[#This Row],[_WorkPerWorkday]]*(Tasks[[#This Row],[_StartWorkday]]-1)</f>
        <v/>
      </c>
      <c r="GC78" s="42">
        <f>IF(Tasks[[#This Row],[_IsLeaf]]=1,MAX(N(Tasks[[#This Row],[_Days]]),0.1),0)</f>
        <v/>
      </c>
      <c r="GD78" s="42">
        <f>Tasks[[#This Row],[_WeightDur]]*Tasks[[#This Row],[_LeafProgress]]</f>
        <v/>
      </c>
      <c r="GE78" s="42">
        <f>Tasks[[#This Row],[_WeightDur]]*Tasks[[#This Row],[_PlannedPct]]</f>
        <v/>
      </c>
      <c r="GF7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8" s="42">
        <f>IF(AND(Tasks[[#This Row],[_IsLeaf]]=1,N(Tasks[[#This Row],[_Days]])=0,Tasks[[#This Row],[_LeafProgress]]&lt;1),Tasks[[#This Row],[_ShownFcstFinish]]+Tasks[[#This Row],[_Row]]/100000,"")</f>
        <v/>
      </c>
      <c r="GH7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8" s="42">
        <f>IF(Tasks[[#This Row],[Task Name]]="","",LEFT(Tasks[[#This Row],[WBS]],FIND(".",Tasks[[#This Row],[WBS]]&amp;".")-1))</f>
        <v/>
      </c>
      <c r="GJ78" s="42">
        <f>IF(AND(Tasks[[#This Row],[Task Name]]&lt;&gt;"",Tasks[[#This Row],[_Level]]=1),Tasks[[#This Row],[_Row]],"")</f>
        <v/>
      </c>
      <c r="GK78" s="42">
        <f>IF(AND(Tasks[[#This Row],[_IsLeaf]]=1,N(Tasks[[#This Row],[_Days]])=0),Tasks[[#This Row],[Planned Finish]]+Tasks[[#This Row],[_Row]]/100000,"")</f>
        <v/>
      </c>
      <c r="GL78" s="42">
        <f>IF(AND(Tasks[[#This Row],[_IsLeaf]]=1,Tasks[[#This Row],[_LeafProgress]]&lt;1,OR(N(Tasks[[#This Row],[Finish Var]])&gt;0,Tasks[[#This Row],[Status]]="Late Start")),MAX(0,Tasks[[#This Row],[Finish Var]])+1-Tasks[[#This Row],[_Row]]/1000000,"")</f>
        <v/>
      </c>
      <c r="GM78" s="42">
        <f>IF(AND(Tasks[[#This Row],[_IsLeaf]]=1,N(Tasks[[#This Row],[Actual Start]])=0,Tasks[[#This Row],[_ShownFcstStart]]&gt;=StatusDate,Tasks[[#This Row],[_ShownFcstStart]]&lt;=LookaheadEnd),Tasks[[#This Row],[_ShownFcstStart]]+Tasks[[#This Row],[_Row]]/100000,"")</f>
        <v/>
      </c>
      <c r="GN78" s="42">
        <f>IF(AND(Tasks[[#This Row],[_IsLeaf]]=1,Tasks[[#This Row],[_LeafProgress]]&lt;1,Tasks[[#This Row],[_ShownFcstFinish]]&gt;=StatusDate,Tasks[[#This Row],[_ShownFcstFinish]]&lt;=LookaheadEnd),Tasks[[#This Row],[_ShownFcstFinish]]+Tasks[[#This Row],[_Row]]/100000,"")</f>
        <v/>
      </c>
      <c r="GO78" s="42">
        <f>IF(Tasks[[#This Row],[_LeafCritical]],Tasks[[#This Row],[_ShownFcstStart]]+Tasks[[#This Row],[_Row]]/100000,"")</f>
        <v/>
      </c>
      <c r="GP78" s="42">
        <f>Tasks[[#This Row],[_LeafWork]]*Tasks[[#This Row],[_LeafProgress]]</f>
        <v/>
      </c>
      <c r="GQ78" s="88">
        <f>IF(AND(Tasks[[#This Row],[_IsLeaf]]=1,Tasks[[#This Row],[_LeafProgress]]&gt;=1),IF(N(Tasks[[#This Row],[Actual Finish]])&gt;0,Tasks[[#This Row],[Actual Finish]],Tasks[[#This Row],[_ShownFcstFinish]]),"")</f>
        <v/>
      </c>
      <c r="GR78" s="42">
        <f>IF(Tasks[[#This Row],[_IsLeaf]]=1,N(Tasks[[#This Row],[Story Points]]),0)</f>
        <v/>
      </c>
      <c r="GS78" s="42">
        <f>""</f>
        <v/>
      </c>
      <c r="GT78" s="42">
        <f>IF(Tasks[[#This Row],[Task Name]]="",FALSE(),AND(Tasks[[#This Row],[_IsLeaf]]=1,N(Tasks[[#This Row],[_Days]])=0))</f>
        <v/>
      </c>
      <c r="GU78" s="88">
        <f>IF(Tasks[[#This Row],[Task Name]]="",0,IF(AND(Tasks[[#This Row],[_IsLeaf]]=1,NOT(Tasks[[#This Row],[_IsMilestone]]),N(Tasks[[#This Row],[Progress]])&gt;0),Tasks[[#This Row],[Start]],0))</f>
        <v/>
      </c>
      <c r="GV78" s="88">
        <f>IF(Tasks[[#This Row],[_DoneFrom]]=0,0,IF(Tasks[[#This Row],[Progress]]&gt;=1,Tasks[[#This Row],[Finish]],MAX(Tasks[[#This Row],[_DoneFrom]],Tasks[[#This Row],[Start]]+ROUND((Tasks[[#This Row],[Finish]]-Tasks[[#This Row],[Start]]+1)*Tasks[[#This Row],[Progress]],0)-1)))</f>
        <v/>
      </c>
      <c r="GW78" s="88">
        <f>IF(Tasks[[#This Row],[Task Name]]="",0,IF(OR(NOT(Tasks[[#This Row],[_IsLeaf]]=1),Tasks[[#This Row],[_IsMilestone]],N(Tasks[[#This Row],[Progress]])&gt;=1),0,IF(Tasks[[#This Row],[_DoneTo]]&gt;0,Tasks[[#This Row],[_DoneTo]]+1,Tasks[[#This Row],[Start]])))</f>
        <v/>
      </c>
      <c r="GX78" s="88">
        <f>IF(Tasks[[#This Row],[_RemFrom]]=0,0,Tasks[[#This Row],[Finish]])</f>
        <v/>
      </c>
      <c r="GY78" s="42">
        <f>IF(Tasks[[#This Row],[Task Name]]="",FALSE(),OR(NOT(BaselineSet),N(Tasks[[#This Row],[Baseline Start]])&gt;0))</f>
        <v/>
      </c>
      <c r="GZ78" s="42">
        <f>IF(AND(Sandbox="Yes",L_PARSE_DURATION(Tasks[[#This Row],[Sandbox Duration]])&lt;&gt;""),L_PARSE_DURATION(Tasks[[#This Row],[Sandbox Duration]]),L_PARSE_DURATION(Tasks[[#This Row],[Duration]]))</f>
        <v/>
      </c>
      <c r="HA7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8" s="42">
        <f>IF(Tasks[[#This Row],[_IsLeaf]]=1,Tasks[[#This Row],[_Row]],"")</f>
        <v/>
      </c>
      <c r="HD78" s="42">
        <f>IFERROR(INDEX(Tasks[UID],SMALL(Tasks[_PickKey],Tasks[[#This Row],[_Row]]))&amp;" "&amp;INDEX(Tasks[Task Name],SMALL(Tasks[_PickKey],Tasks[[#This Row],[_Row]])),"")</f>
        <v/>
      </c>
      <c r="HE78" s="42">
        <f>IF(Tasks[[#This Row],[Task Name]]="","",IF(Tasks[[#This Row],[_IsSummary]],NETWORKDAYS.INTL(Tasks[[#This Row],[Start]],Tasks[[#This Row],[Finish]],WorkWeek,Holidays),N(Tasks[[#This Row],[_Days]])))</f>
        <v/>
      </c>
      <c r="HF78" s="42">
        <f>IF(Tasks[[#This Row],[Expected]]="",0,((Tasks[[#This Row],[Pessimistic]]-Tasks[[#This Row],[Optimistic]])/6)^2)</f>
        <v/>
      </c>
      <c r="HG78" s="42">
        <f>IF(Tasks[[#This Row],[Expected]]="",0,Tasks[[#This Row],[Expected]]-N(Tasks[[#This Row],[_Days]]))</f>
        <v/>
      </c>
    </row>
    <row r="79">
      <c r="A79" s="21">
        <f>IF(Tasks[[#This Row],[Task Name]]="","",COUNTA(Tasks[[#Headers],[Task Name]]:Tasks[[#This Row],[Task Name]])-1)</f>
        <v/>
      </c>
      <c r="B79" s="22" t="n">
        <v>87</v>
      </c>
      <c r="C79" s="22" t="n"/>
      <c r="D79" s="23" t="n"/>
      <c r="E79" s="22" t="n"/>
      <c r="F79" s="23" t="n"/>
      <c r="G79" s="22" t="n"/>
      <c r="H79" s="22" t="n"/>
      <c r="I79" s="23" t="n"/>
      <c r="J79" s="22" t="n"/>
      <c r="K79" s="22" t="n"/>
      <c r="L79" s="23" t="n"/>
      <c r="M79" s="22" t="n"/>
      <c r="N79" s="22" t="n"/>
      <c r="O79" s="23" t="n"/>
      <c r="P79" s="22" t="n"/>
      <c r="Q79" s="22" t="n"/>
      <c r="R79" s="23" t="n"/>
      <c r="S79" s="23" t="n"/>
      <c r="T79" s="82" t="n"/>
      <c r="U79" s="23" t="n"/>
      <c r="V79" s="82" t="n"/>
      <c r="W79" s="23" t="n"/>
      <c r="X79" s="82" t="n"/>
      <c r="Y79" s="23" t="n"/>
      <c r="Z79" s="82" t="n"/>
      <c r="AA79" s="23" t="n"/>
      <c r="AB79" s="23" t="n"/>
      <c r="AC79" s="7" t="n"/>
      <c r="AD79" s="7" t="n"/>
      <c r="AE79" s="61">
        <f>IF(Tasks[[#This Row],[Task Name]]="","",IF(Tasks[[#This Row],[_IsSummary]],MIN(INDEX(Tasks[_ShownFcstStart],Tasks[[#This Row],[_Row]]+1):INDEX(Tasks[_ShownFcstStart],Tasks[[#This Row],[_Row]]+Tasks[[#This Row],[_Descendants]])),Tasks[[#This Row],[_ShownFcstStart]]))</f>
        <v/>
      </c>
      <c r="AF79" s="61">
        <f>IF(Tasks[[#This Row],[Task Name]]="","",IF(Tasks[[#This Row],[_IsSummary]],MAX(INDEX(Tasks[_ShownFcstFinish],Tasks[[#This Row],[_Row]]+1):INDEX(Tasks[_ShownFcstFinish],Tasks[[#This Row],[_Row]]+Tasks[[#This Row],[_Descendants]])),Tasks[[#This Row],[_ShownFcstFinish]]))</f>
        <v/>
      </c>
      <c r="AG79" s="21">
        <f>""</f>
        <v/>
      </c>
      <c r="AH79" s="23" t="n"/>
      <c r="AI7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79" s="7" t="n"/>
      <c r="AK79" s="22" t="n"/>
      <c r="AL79" s="23" t="n"/>
      <c r="AM79" s="7" t="n"/>
      <c r="AN79" s="21">
        <f>IF(Tasks[[#This Row],[Task Name]]="","",IF(Tasks[[#This Row],[Finish]]&gt;=Tasks[[#This Row],[Planned Finish]],NETWORKDAYS.INTL(Tasks[[#This Row],[Planned Finish]],Tasks[[#This Row],[Finish]],WorkWeek,Holidays)-1,1-NETWORKDAYS.INTL(Tasks[[#This Row],[Finish]],Tasks[[#This Row],[Planned Finish]],WorkWeek,Holidays)))</f>
        <v/>
      </c>
      <c r="AO79" s="21">
        <f>IF(Tasks[[#This Row],[Task Name]]="","",IF(Tasks[[#This Row],[Progress]]&gt;=1,"Complete",IF(OR(N(Tasks[[#This Row],[Actual Start]])&gt;0,Tasks[[#This Row],[Progress]]&gt;0),IF(Tasks[[#This Row],[Finish Var]]&gt;0,"Behind","In Progress"),IF(Tasks[[#This Row],[Planned Start]]&lt;StatusDate,"Late Start","Not Started"))))</f>
        <v/>
      </c>
      <c r="AP79" s="21">
        <f>IF(Tasks[[#This Row],[Task Name]]="","",IF(IF(Tasks[[#This Row],[_IsSummary]],COUNTIF(INDEX(Tasks[_LeafCritical],Tasks[[#This Row],[_Row]]+1):INDEX(Tasks[_LeafCritical],Tasks[[#This Row],[_Row]]+Tasks[[#This Row],[_Descendants]]),TRUE())&gt;0,Tasks[[#This Row],[_LeafCritical]]),"Yes",""))</f>
        <v/>
      </c>
      <c r="AQ79" s="61">
        <f>IF(Tasks[[#This Row],[Task Name]]="","",IF(N(Tasks[[#This Row],[Baseline Start]])&gt;0,Tasks[[#This Row],[Baseline Start]],Tasks[[#This Row],[_CalcStart]]))</f>
        <v/>
      </c>
      <c r="AR79" s="61">
        <f>IF(Tasks[[#This Row],[Task Name]]="","",IF(N(Tasks[[#This Row],[Baseline Finish]])&gt;0,Tasks[[#This Row],[Baseline Finish]],Tasks[[#This Row],[_CalcFinish]]))</f>
        <v/>
      </c>
      <c r="AS79" s="21">
        <f>IF(Tasks[[#This Row],[Task Name]]="","",IF(Tasks[[#This Row],[Start]]&gt;=Tasks[[#This Row],[Planned Start]],NETWORKDAYS.INTL(Tasks[[#This Row],[Planned Start]],Tasks[[#This Row],[Start]],WorkWeek,Holidays)-1,1-NETWORKDAYS.INTL(Tasks[[#This Row],[Start]],Tasks[[#This Row],[Planned Start]],WorkWeek,Holidays)))</f>
        <v/>
      </c>
      <c r="AT79" s="61">
        <f>IF(Tasks[[#This Row],[Task Name]]="","",IF(Tasks[[#This Row],[_IsSummary]],MIN(INDEX(Tasks[_LeafLateStart],Tasks[[#This Row],[_Row]]+1):INDEX(Tasks[_LeafLateStart],Tasks[[#This Row],[_Row]]+Tasks[[#This Row],[_Descendants]])),Tasks[[#This Row],[_LeafLateStart]]))</f>
        <v/>
      </c>
      <c r="AU79" s="61">
        <f>IF(Tasks[[#This Row],[Task Name]]="","",IF(Tasks[[#This Row],[_IsSummary]],MAX(INDEX(Tasks[_LeafLateFinish],Tasks[[#This Row],[_Row]]+1):INDEX(Tasks[_LeafLateFinish],Tasks[[#This Row],[_Row]]+Tasks[[#This Row],[_Descendants]])),Tasks[[#This Row],[_LeafLateFinish]]))</f>
        <v/>
      </c>
      <c r="AV79" s="21">
        <f>IF(Tasks[[#This Row],[Task Name]]="","",IF(Tasks[[#This Row],[_IsSummary]],MIN(INDEX(Tasks[_LeafTotalSlack],Tasks[[#This Row],[_Row]]+1):INDEX(Tasks[_LeafTotalSlack],Tasks[[#This Row],[_Row]]+Tasks[[#This Row],[_Descendants]])),Tasks[[#This Row],[_LeafTotalSlack]]))</f>
        <v/>
      </c>
      <c r="AW7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3" t="n"/>
      <c r="BA7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f>IF(Tasks[[#This Row],[Task Name]]="","",IF(Tasks[[#This Row],[_Level]]&lt;=OutlineShowLevel,"Yes","No"))</f>
        <v/>
      </c>
      <c r="BE79" s="84">
        <f>IF(Tasks[[#This Row],[Task Name]]="","",IF(Tasks[[#This Row],[_IsSummary]],SUM(INDEX(Tasks[_LeafTotalWork],Tasks[[#This Row],[_Row]]+1):INDEX(Tasks[_LeafTotalWork],Tasks[[#This Row],[_Row]]+Tasks[[#This Row],[_Descendants]])),Tasks[[#This Row],[_LeafTotalWork]]))</f>
        <v/>
      </c>
      <c r="BF79" s="23" t="n"/>
      <c r="BG7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f>""</f>
        <v/>
      </c>
      <c r="BI79" s="85" t="n"/>
      <c r="BJ79" s="22" t="n"/>
      <c r="BK79" s="21">
        <f>IF(OR(Tasks[[#This Row],[Task Name]]="",Tasks[[#This Row],[Baseline Duration]]=""),"",Tasks[[#This Row],[_SpanDays]]-N(Tasks[[#This Row],[Baseline Duration]]))</f>
        <v/>
      </c>
      <c r="BL79" s="84">
        <f>IF(OR(Tasks[[#This Row],[Task Name]]="",Tasks[[#This Row],[Baseline Work]]=""),"",Tasks[[#This Row],[Work]]-N(Tasks[[#This Row],[Baseline Work]]))</f>
        <v/>
      </c>
      <c r="BM79" s="61">
        <f>IF(Tasks[[#This Row],[Task Name]]="","",IF(OR(TakeBaseline="Yes",N(Tasks[[#This Row],[Baseline Start]])=0),Tasks[[#This Row],[Start]],Tasks[[#This Row],[Baseline Start]]))</f>
        <v/>
      </c>
      <c r="BN79" s="61">
        <f>IF(Tasks[[#This Row],[Task Name]]="","",IF(OR(TakeBaseline="Yes",N(Tasks[[#This Row],[Baseline Finish]])=0),Tasks[[#This Row],[Finish]],Tasks[[#This Row],[Baseline Finish]]))</f>
        <v/>
      </c>
      <c r="BO79" s="21">
        <f>IF(Tasks[[#This Row],[Task Name]]="","",IF(OR(TakeBaseline="Yes",N(Tasks[[#This Row],[Baseline Duration]])=0),Tasks[[#This Row],[_SpanDays]],Tasks[[#This Row],[Baseline Duration]]))</f>
        <v/>
      </c>
      <c r="BP79" s="84">
        <f>IF(Tasks[[#This Row],[Task Name]]="","",IF(OR(TakeBaseline="Yes",N(Tasks[[#This Row],[Baseline Work]])=0),Tasks[[#This Row],[Work]],Tasks[[#This Row],[Baseline Work]]))</f>
        <v/>
      </c>
      <c r="BQ79" s="7" t="n"/>
      <c r="BR79" s="7" t="n"/>
      <c r="BS79" s="22" t="n"/>
      <c r="BT79" s="86" t="n"/>
      <c r="BU79" s="23" t="n"/>
      <c r="BV79" s="23" t="n"/>
      <c r="BW79" s="23" t="n"/>
      <c r="BX79" s="87">
        <f>IF(AND(Tasks[[#This Row],[_IsLeaf]]=1,ISNUMBER(Tasks[[#This Row],[Optimistic]]),ISNUMBER(Tasks[[#This Row],[Pessimistic]])),ROUND((Tasks[[#This Row],[Optimistic]]+4*N(Tasks[[#This Row],[_Days]])+Tasks[[#This Row],[Pessimistic]])/6,1),"")</f>
        <v/>
      </c>
      <c r="BY79" s="85" t="n"/>
      <c r="BZ79" s="85" t="n"/>
      <c r="CA79" s="22" t="n"/>
      <c r="CB79" s="42">
        <f>IF(Tasks[[#This Row],[Task Name]]="","",MAX(1,N(Tasks[[#This Row],[Level]])))</f>
        <v/>
      </c>
      <c r="CC79" s="42">
        <f>ROW()-ROW(Tasks[[#Headers],[ID]])</f>
        <v/>
      </c>
      <c r="CD79" s="42">
        <f>IF(OR(Tasks[[#This Row],[Task Name]]="",Tasks[[#This Row],[_Level]]&lt;=1),0,IFERROR(LOOKUP(2,1/(Tasks[[#Headers],[_Level]]:Tasks[[#This Row],[_Level]]=Tasks[[#This Row],[_Level]]-1),ROW(Tasks[[#Headers],[_Level]]:Tasks[[#This Row],[_Level]])),0))</f>
        <v/>
      </c>
      <c r="CE79" s="42">
        <f>IFERROR(N(INDEX(Tasks[_Level],Tasks[[#This Row],[_Row]]+1)),0)</f>
        <v/>
      </c>
      <c r="CF79" s="42">
        <f>AND(Tasks[[#This Row],[Task Name]]&lt;&gt;"",Tasks[[#This Row],[_NextLevel]]&gt;Tasks[[#This Row],[_Level]])</f>
        <v/>
      </c>
      <c r="CG79" s="42">
        <f>IF(Tasks[[#This Row],[_IsSummary]],COUNTIF(Tasks[WBS],Tasks[[#This Row],[WBS]]&amp;".*"),0)</f>
        <v/>
      </c>
      <c r="CH79" s="42">
        <f>IF(AND(Tasks[[#This Row],[Task Name]]&lt;&gt;"",NOT(Tasks[[#This Row],[_IsSummary]])),1,0)</f>
        <v/>
      </c>
      <c r="CI79" s="42">
        <f>IF(N(Tasks[[#This Row],[_Pred1UID]])=0,0,IFERROR(MATCH(Tasks[[#This Row],[_Pred1UID]],Tasks[UID],0),-1))</f>
        <v/>
      </c>
      <c r="CJ79" s="42">
        <f>IF(N(Tasks[[#This Row],[_Pred2UID]])=0,0,IFERROR(MATCH(Tasks[[#This Row],[_Pred2UID]],Tasks[UID],0),-1))</f>
        <v/>
      </c>
      <c r="CK79" s="42">
        <f>IF(N(Tasks[[#This Row],[_Pred3UID]])=0,0,IFERROR(MATCH(Tasks[[#This Row],[_Pred3UID]],Tasks[UID],0),-1))</f>
        <v/>
      </c>
      <c r="CL79" s="42">
        <f>IF(N(Tasks[[#This Row],[_Pred4UID]])=0,0,IFERROR(MATCH(Tasks[[#This Row],[_Pred4UID]],Tasks[UID],0),-1))</f>
        <v/>
      </c>
      <c r="CM7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9" s="88">
        <f>IF(N(Tasks[[#This Row],[Constraint Date]])=0,0,IF(AND(OR(Tasks[[#This Row],[_ConstraintCode]]=3,Tasks[[#This Row],[_ConstraintCode]]=6,Tasks[[#This Row],[_ConstraintCode]]=7),N(Tasks[[#This Row],[_Days]])&gt;1),WORKDAY.INTL(N(Tasks[[#This Row],[Constraint Date]]),-(N(Tasks[[#This Row],[_Days]])-1),WorkWeek,Holidays),N(Tasks[[#This Row],[Constraint Date]])))</f>
        <v/>
      </c>
      <c r="CO79" s="88">
        <f>IF(OR(Tasks[[#This Row],[_ConstraintCode]]=2,Tasks[[#This Row],[_ConstraintCode]]=3,Tasks[[#This Row],[_ConstraintCode]]=4,Tasks[[#This Row],[_ConstraintCode]]=6),Tasks[[#This Row],[_ConstraintStart]],0)</f>
        <v/>
      </c>
      <c r="CP79" s="88">
        <f>IF(OR(Tasks[[#This Row],[_ConstraintCode]]=2,Tasks[[#This Row],[_ConstraintCode]]=3,Tasks[[#This Row],[_ConstraintCode]]=5,Tasks[[#This Row],[_ConstraintCode]]=7),Tasks[[#This Row],[_ConstraintStart]],2958465)</f>
        <v/>
      </c>
      <c r="CQ7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9" s="88">
        <f>IF(NOT(Tasks[[#This Row],[_IsLeaf]]=1),"",IF(N(Tasks[[#This Row],[_Days]])&lt;=0,Tasks[[#This Row],[_LeafCalcStart]],WORKDAY.INTL(Tasks[[#This Row],[_LeafCalcStart]],Tasks[[#This Row],[_Days]]-1,WorkWeek,Holidays)))</f>
        <v/>
      </c>
      <c r="CS7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9" s="42">
        <f>IF(Tasks[[#This Row],[_Predecessors]]="","",TRIM(MID(SUBSTITUTE(SUBSTITUTE(SUBSTITUTE(UPPER(Tasks[[#This Row],[_Predecessors]]),";",",")," ",""),",",REPT(" ",99)),1,99)))</f>
        <v/>
      </c>
      <c r="CV79" s="42">
        <f>IF(Tasks[[#This Row],[_Pred1Text]]="","",IFERROR(VALUE(LEFT(Tasks[[#This Row],[_Pred1Text]],MIN(FIND("F",Tasks[[#This Row],[_Pred1Text]]&amp;"F"),FIND("S",Tasks[[#This Row],[_Pred1Text]]&amp;"S"),FIND("+",Tasks[[#This Row],[_Pred1Text]]&amp;"+"),FIND("-",Tasks[[#This Row],[_Pred1Text]]&amp;"-"))-1)),""))</f>
        <v/>
      </c>
      <c r="CW7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9" s="42">
        <f>IF(Tasks[[#This Row],[_Pred1Text]]="","",TRIM(MID(SUBSTITUTE(SUBSTITUTE(SUBSTITUTE(UPPER(Tasks[[#This Row],[_Predecessors]]),";",",")," ",""),",",REPT(" ",99)),100,99)))</f>
        <v/>
      </c>
      <c r="CZ79" s="42">
        <f>IF(Tasks[[#This Row],[_Pred2Text]]="","",IFERROR(VALUE(LEFT(Tasks[[#This Row],[_Pred2Text]],MIN(FIND("F",Tasks[[#This Row],[_Pred2Text]]&amp;"F"),FIND("S",Tasks[[#This Row],[_Pred2Text]]&amp;"S"),FIND("+",Tasks[[#This Row],[_Pred2Text]]&amp;"+"),FIND("-",Tasks[[#This Row],[_Pred2Text]]&amp;"-"))-1)),""))</f>
        <v/>
      </c>
      <c r="DA7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9" s="42">
        <f>IF(Tasks[[#This Row],[_Pred2Text]]="","",TRIM(MID(SUBSTITUTE(SUBSTITUTE(SUBSTITUTE(UPPER(Tasks[[#This Row],[_Predecessors]]),";",",")," ",""),",",REPT(" ",99)),199,99)))</f>
        <v/>
      </c>
      <c r="DD79" s="42">
        <f>IF(Tasks[[#This Row],[_Pred3Text]]="","",IFERROR(VALUE(LEFT(Tasks[[#This Row],[_Pred3Text]],MIN(FIND("F",Tasks[[#This Row],[_Pred3Text]]&amp;"F"),FIND("S",Tasks[[#This Row],[_Pred3Text]]&amp;"S"),FIND("+",Tasks[[#This Row],[_Pred3Text]]&amp;"+"),FIND("-",Tasks[[#This Row],[_Pred3Text]]&amp;"-"))-1)),""))</f>
        <v/>
      </c>
      <c r="DE7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9" s="42">
        <f>IF(Tasks[[#This Row],[_Pred3Text]]="","",TRIM(MID(SUBSTITUTE(SUBSTITUTE(SUBSTITUTE(UPPER(Tasks[[#This Row],[_Predecessors]]),";",",")," ",""),",",REPT(" ",99)),298,99)))</f>
        <v/>
      </c>
      <c r="DH79" s="42">
        <f>IF(Tasks[[#This Row],[_Pred4Text]]="","",IFERROR(VALUE(LEFT(Tasks[[#This Row],[_Pred4Text]],MIN(FIND("F",Tasks[[#This Row],[_Pred4Text]]&amp;"F"),FIND("S",Tasks[[#This Row],[_Pred4Text]]&amp;"S"),FIND("+",Tasks[[#This Row],[_Pred4Text]]&amp;"+"),FIND("-",Tasks[[#This Row],[_Pred4Text]]&amp;"-"))-1)),""))</f>
        <v/>
      </c>
      <c r="DI7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9" s="42">
        <f>IF(OR(Tasks[[#This Row],[Task Name]]="",Tasks[[#This Row],[_Resources]]=""),"",TRIM(MID(SUBSTITUTE(Tasks[[#This Row],[_Resources]],",",REPT(" ",99)),1,99)))</f>
        <v/>
      </c>
      <c r="DL79" s="42">
        <f>IF(Tasks[[#This Row],[_Res1Text]]="","",TRIM(MID(SUBSTITUTE(Tasks[[#This Row],[_Resources]],",",REPT(" ",99)),100,99)))</f>
        <v/>
      </c>
      <c r="DM79" s="42">
        <f>IF(Tasks[[#This Row],[_Res2Text]]="","",TRIM(MID(SUBSTITUTE(Tasks[[#This Row],[_Resources]],",",REPT(" ",99)),199,99)))</f>
        <v/>
      </c>
      <c r="DN79" s="42">
        <f>IF(Tasks[[#This Row],[_Res3Text]]="","",TRIM(MID(SUBSTITUTE(Tasks[[#This Row],[_Resources]],",",REPT(" ",99)),298,99)))</f>
        <v/>
      </c>
      <c r="DO79" s="42">
        <f>IF(Tasks[[#This Row],[_Res1Text]]="",0,IFERROR(MATCH(TRIM(LEFT(Tasks[[#This Row],[_Res1Text]],FIND("[",Tasks[[#This Row],[_Res1Text]]&amp;"[")-1)),res_Name,0),IFERROR(MATCH(TRIM(LEFT(Tasks[[#This Row],[_Res1Text]],FIND("[",Tasks[[#This Row],[_Res1Text]]&amp;"[")-1)),res_Initials,0),0)))</f>
        <v/>
      </c>
      <c r="DP79" s="42">
        <f>IF(Tasks[[#This Row],[_Res2Text]]="",0,IFERROR(MATCH(TRIM(LEFT(Tasks[[#This Row],[_Res2Text]],FIND("[",Tasks[[#This Row],[_Res2Text]]&amp;"[")-1)),res_Name,0),IFERROR(MATCH(TRIM(LEFT(Tasks[[#This Row],[_Res2Text]],FIND("[",Tasks[[#This Row],[_Res2Text]]&amp;"[")-1)),res_Initials,0),0)))</f>
        <v/>
      </c>
      <c r="DQ79" s="42">
        <f>IF(Tasks[[#This Row],[_Res3Text]]="",0,IFERROR(MATCH(TRIM(LEFT(Tasks[[#This Row],[_Res3Text]],FIND("[",Tasks[[#This Row],[_Res3Text]]&amp;"[")-1)),res_Name,0),IFERROR(MATCH(TRIM(LEFT(Tasks[[#This Row],[_Res3Text]],FIND("[",Tasks[[#This Row],[_Res3Text]]&amp;"[")-1)),res_Initials,0),0)))</f>
        <v/>
      </c>
      <c r="DR79" s="42">
        <f>IF(Tasks[[#This Row],[_Res4Text]]="",0,IFERROR(MATCH(TRIM(LEFT(Tasks[[#This Row],[_Res4Text]],FIND("[",Tasks[[#This Row],[_Res4Text]]&amp;"[")-1)),res_Name,0),IFERROR(MATCH(TRIM(LEFT(Tasks[[#This Row],[_Res4Text]],FIND("[",Tasks[[#This Row],[_Res4Text]]&amp;"[")-1)),res_Initials,0),0)))</f>
        <v/>
      </c>
      <c r="DS79" s="42">
        <f>IF(Tasks[[#This Row],[_Res1Text]]="","",IF(Tasks[[#This Row],[_Res1Row]]&gt;0,INDEX(res_Name,Tasks[[#This Row],[_Res1Row]]),TRIM(LEFT(Tasks[[#This Row],[_Res1Text]],FIND("[",Tasks[[#This Row],[_Res1Text]]&amp;"[")-1))))</f>
        <v/>
      </c>
      <c r="DT7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9" s="42">
        <f>IF(NOT(Tasks[[#This Row],[_IsLeaf]]=1),0,(Tasks[[#This Row],[_Resource1]]&lt;&gt;"")+(Tasks[[#This Row],[_Res2]]&lt;&gt;"")+(Tasks[[#This Row],[_Res3]]&lt;&gt;"")+(Tasks[[#This Row],[_Res4]]&lt;&gt;""))</f>
        <v/>
      </c>
      <c r="DV79" s="42">
        <f>IF(Tasks[[#This Row],[_Res2Text]]="","",IF(Tasks[[#This Row],[_Res2Row]]&gt;0,INDEX(res_Name,Tasks[[#This Row],[_Res2Row]]),TRIM(LEFT(Tasks[[#This Row],[_Res2Text]],FIND("[",Tasks[[#This Row],[_Res2Text]]&amp;"[")-1))))</f>
        <v/>
      </c>
      <c r="DW7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9" s="42">
        <f>IF(OR(NOT(Tasks[[#This Row],[_IsLeaf]]=1),Tasks[[#This Row],[_Res2Row]]=0),0,N(Tasks[[#This Row],[_Days]])*HoursPerDay*IF(Tasks[[#This Row],[_Res2Units]]="",DefaultUnits,Tasks[[#This Row],[_Res2Units]]))</f>
        <v/>
      </c>
      <c r="DY79" s="42">
        <f>IF(AND(AND(Tasks[[#This Row],[_IsLeaf]]=1,Tasks[[#This Row],[_LeafTotalWork]]&gt;0),Tasks[[#This Row],[_Res2Work]]&gt;0),Tasks[[#This Row],[_Res2Work]]/(Tasks[[#This Row],[_FinishWorkday]]-Tasks[[#This Row],[_StartWorkday]]+1),0)</f>
        <v/>
      </c>
      <c r="DZ79" s="42">
        <f>Tasks[[#This Row],[_Res2WorkPerWD]]*MAX(0,Tasks[[#This Row],[_StartWorkday]]-1)</f>
        <v/>
      </c>
      <c r="EA79" s="42">
        <f>Tasks[[#This Row],[_Res2Work]]*Tasks[[#This Row],[_LeafProgress]]</f>
        <v/>
      </c>
      <c r="EB79" s="42">
        <f>IF(Tasks[[#This Row],[_Res3Text]]="","",IF(Tasks[[#This Row],[_Res3Row]]&gt;0,INDEX(res_Name,Tasks[[#This Row],[_Res3Row]]),TRIM(LEFT(Tasks[[#This Row],[_Res3Text]],FIND("[",Tasks[[#This Row],[_Res3Text]]&amp;"[")-1))))</f>
        <v/>
      </c>
      <c r="EC7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9" s="42">
        <f>IF(OR(NOT(Tasks[[#This Row],[_IsLeaf]]=1),Tasks[[#This Row],[_Res3Row]]=0),0,N(Tasks[[#This Row],[_Days]])*HoursPerDay*IF(Tasks[[#This Row],[_Res3Units]]="",DefaultUnits,Tasks[[#This Row],[_Res3Units]]))</f>
        <v/>
      </c>
      <c r="EE79" s="42">
        <f>IF(AND(AND(Tasks[[#This Row],[_IsLeaf]]=1,Tasks[[#This Row],[_LeafTotalWork]]&gt;0),Tasks[[#This Row],[_Res3Work]]&gt;0),Tasks[[#This Row],[_Res3Work]]/(Tasks[[#This Row],[_FinishWorkday]]-Tasks[[#This Row],[_StartWorkday]]+1),0)</f>
        <v/>
      </c>
      <c r="EF79" s="42">
        <f>Tasks[[#This Row],[_Res3WorkPerWD]]*MAX(0,Tasks[[#This Row],[_StartWorkday]]-1)</f>
        <v/>
      </c>
      <c r="EG79" s="42">
        <f>Tasks[[#This Row],[_Res3Work]]*Tasks[[#This Row],[_LeafProgress]]</f>
        <v/>
      </c>
      <c r="EH79" s="42">
        <f>IF(Tasks[[#This Row],[_Res4Text]]="","",IF(Tasks[[#This Row],[_Res4Row]]&gt;0,INDEX(res_Name,Tasks[[#This Row],[_Res4Row]]),TRIM(LEFT(Tasks[[#This Row],[_Res4Text]],FIND("[",Tasks[[#This Row],[_Res4Text]]&amp;"[")-1))))</f>
        <v/>
      </c>
      <c r="EI7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9" s="42">
        <f>IF(OR(NOT(Tasks[[#This Row],[_IsLeaf]]=1),Tasks[[#This Row],[_Res4Row]]=0),0,N(Tasks[[#This Row],[_Days]])*HoursPerDay*IF(Tasks[[#This Row],[_Res4Units]]="",DefaultUnits,Tasks[[#This Row],[_Res4Units]]))</f>
        <v/>
      </c>
      <c r="EK79" s="42">
        <f>IF(AND(AND(Tasks[[#This Row],[_IsLeaf]]=1,Tasks[[#This Row],[_LeafTotalWork]]&gt;0),Tasks[[#This Row],[_Res4Work]]&gt;0),Tasks[[#This Row],[_Res4Work]]/(Tasks[[#This Row],[_FinishWorkday]]-Tasks[[#This Row],[_StartWorkday]]+1),0)</f>
        <v/>
      </c>
      <c r="EL79" s="42">
        <f>Tasks[[#This Row],[_Res4WorkPerWD]]*MAX(0,Tasks[[#This Row],[_StartWorkday]]-1)</f>
        <v/>
      </c>
      <c r="EM79" s="42">
        <f>Tasks[[#This Row],[_Res4Work]]*Tasks[[#This Row],[_LeafProgress]]</f>
        <v/>
      </c>
      <c r="EN79" s="42">
        <f>IF(ISNUMBER(Tasks[[#This Row],[% Complete]]),Tasks[[#This Row],[% Complete]],IF(Tasks[[#This Row],[Stage]]="",0,IFERROR(INDEX(stg_Pct,MATCH(Tasks[[#This Row],[Stage]],stg_Name,0)),0)))</f>
        <v/>
      </c>
      <c r="EO79" s="42">
        <f>IF(NOT(Tasks[[#This Row],[_IsLeaf]]=1),0,IF(N(Tasks[[#This Row],[Actual Finish]])&gt;0,1,MIN(1,Tasks[[#This Row],[_Pct]])))</f>
        <v/>
      </c>
      <c r="EP79" s="42">
        <f>IF(OR(NOT(Tasks[[#This Row],[_IsLeaf]]=1),Tasks[[#This Row],[_Res1Row]]=0),0,N(Tasks[[#This Row],[_Days]])*HoursPerDay*IF(Tasks[[#This Row],[_Units1]]="",DefaultUnits,Tasks[[#This Row],[_Units1]]))</f>
        <v/>
      </c>
      <c r="EQ79" s="42">
        <f>Tasks[[#This Row],[_LeafWork]]+Tasks[[#This Row],[_Res2Work]]+Tasks[[#This Row],[_Res3Work]]+Tasks[[#This Row],[_Res4Work]]</f>
        <v/>
      </c>
      <c r="ER7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9" s="42">
        <f>IF(NOT(Tasks[[#This Row],[_IsLeaf]]=1),0,MAX(_xlfn.MAXIFS(Tasks[_Row],Tasks[_Pred1UID],Tasks[[#This Row],[UID]]),_xlfn.MAXIFS(Tasks[_Row],Tasks[_Pred2UID],Tasks[[#This Row],[UID]]),_xlfn.MAXIFS(Tasks[_Row],Tasks[_Pred3UID],Tasks[[#This Row],[UID]]),_xlfn.MAXIFS(Tasks[_Row],Tasks[_Pred4UID],Tasks[[#This Row],[UID]])))</f>
        <v/>
      </c>
      <c r="FA7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9" s="88">
        <f>IF(NOT(Tasks[[#This Row],[_IsLeaf]]=1),"",IF(N(Tasks[[#This Row],[_Days]])&lt;=0,Tasks[[#This Row],[_LeafLateFinish]],WORKDAY.INTL(Tasks[[#This Row],[_LeafLateFinish]],-(Tasks[[#This Row],[_Days]]-1),WorkWeek,Holidays)))</f>
        <v/>
      </c>
      <c r="FD7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9" s="42">
        <f>AND(Tasks[[#This Row],[_IsLeaf]]=1,Tasks[[#This Row],[_LeafProgress]]&lt;1,N(Tasks[[#This Row],[_LeafTotalSlack]])&lt;=CriticalSlackDays)</f>
        <v/>
      </c>
      <c r="FF79" s="42">
        <f>IF(AND(Tasks[[#This Row],[_IsLeaf]]=1,Tasks[[#This Row],[_ConstraintCode]]=1,Tasks[[#This Row],[Mode]]&lt;&gt;"Manual",N(Tasks[[#This Row],[Actual Start]])=0),MAX(0,N(Tasks[[#This Row],[Free Slack]])),0)</f>
        <v/>
      </c>
      <c r="FG79" s="88">
        <f>IF(NOT(Tasks[[#This Row],[_IsLeaf]]=1),"",IF(Tasks[[#This Row],[_AlapShift]]=0,Tasks[[#This Row],[_LeafCalcStart]],WORKDAY.INTL(Tasks[[#This Row],[_LeafCalcStart]],Tasks[[#This Row],[_AlapShift]],WorkWeek,Holidays)))</f>
        <v/>
      </c>
      <c r="FH79" s="88">
        <f>IF(NOT(Tasks[[#This Row],[_IsLeaf]]=1),"",IF(Tasks[[#This Row],[_AlapShift]]=0,Tasks[[#This Row],[_LeafCalcFinish]],WORKDAY.INTL(Tasks[[#This Row],[_LeafCalcFinish]],Tasks[[#This Row],[_AlapShift]],WorkWeek,Holidays)))</f>
        <v/>
      </c>
      <c r="FI79" s="88">
        <f>IF(NOT(Tasks[[#This Row],[_IsLeaf]]=1),"",IF(Tasks[[#This Row],[_AlapShift]]=0,Tasks[[#This Row],[_LeafFcstStart]],WORKDAY.INTL(Tasks[[#This Row],[_LeafFcstStart]],Tasks[[#This Row],[_AlapShift]],WorkWeek,Holidays)))</f>
        <v/>
      </c>
      <c r="FJ79" s="88">
        <f>IF(NOT(Tasks[[#This Row],[_IsLeaf]]=1),"",IF(Tasks[[#This Row],[_AlapShift]]=0,Tasks[[#This Row],[_LeafFcstFinish]],WORKDAY.INTL(Tasks[[#This Row],[_LeafFcstFinish]],Tasks[[#This Row],[_AlapShift]],WorkWeek,Holidays)))</f>
        <v/>
      </c>
      <c r="FK79" s="88">
        <f>IF(Tasks[[#This Row],[Task Name]]="","",IF(Tasks[[#This Row],[_IsSummary]],MIN(INDEX(Tasks[_ShownCalcStart],Tasks[[#This Row],[_Row]]+1):INDEX(Tasks[_ShownCalcStart],Tasks[[#This Row],[_Row]]+Tasks[[#This Row],[_Descendants]])),Tasks[[#This Row],[_ShownCalcStart]]))</f>
        <v/>
      </c>
      <c r="FL79" s="88">
        <f>IF(Tasks[[#This Row],[Task Name]]="","",IF(Tasks[[#This Row],[_IsSummary]],MAX(INDEX(Tasks[_ShownCalcFinish],Tasks[[#This Row],[_Row]]+1):INDEX(Tasks[_ShownCalcFinish],Tasks[[#This Row],[_Row]]+Tasks[[#This Row],[_Descendants]])),Tasks[[#This Row],[_ShownCalcFinish]]))</f>
        <v/>
      </c>
      <c r="FM7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9" s="42">
        <f>IF(AND(Tasks[[#This Row],[_IsLeaf]]=1,Tasks[[#This Row],[_LeafTotalWork]]&gt;0),NETWORKDAYS.INTL(ProjectStart,Tasks[[#This Row],[_ShownFcstStart]],WorkWeek,Holidays),0)</f>
        <v/>
      </c>
      <c r="FZ79" s="42">
        <f>IF(AND(Tasks[[#This Row],[_IsLeaf]]=1,Tasks[[#This Row],[_LeafTotalWork]]&gt;0),MAX(Tasks[[#This Row],[_StartWorkday]],NETWORKDAYS.INTL(ProjectStart,Tasks[[#This Row],[_ShownFcstFinish]],WorkWeek,Holidays)),0)</f>
        <v/>
      </c>
      <c r="GA79" s="42">
        <f>IF(AND(Tasks[[#This Row],[_IsLeaf]]=1,Tasks[[#This Row],[_LeafTotalWork]]&gt;0),Tasks[[#This Row],[_LeafWork]]/(Tasks[[#This Row],[_FinishWorkday]]-Tasks[[#This Row],[_StartWorkday]]+1),0)</f>
        <v/>
      </c>
      <c r="GB79" s="42">
        <f>Tasks[[#This Row],[_WorkPerWorkday]]*(Tasks[[#This Row],[_StartWorkday]]-1)</f>
        <v/>
      </c>
      <c r="GC79" s="42">
        <f>IF(Tasks[[#This Row],[_IsLeaf]]=1,MAX(N(Tasks[[#This Row],[_Days]]),0.1),0)</f>
        <v/>
      </c>
      <c r="GD79" s="42">
        <f>Tasks[[#This Row],[_WeightDur]]*Tasks[[#This Row],[_LeafProgress]]</f>
        <v/>
      </c>
      <c r="GE79" s="42">
        <f>Tasks[[#This Row],[_WeightDur]]*Tasks[[#This Row],[_PlannedPct]]</f>
        <v/>
      </c>
      <c r="GF7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9" s="42">
        <f>IF(AND(Tasks[[#This Row],[_IsLeaf]]=1,N(Tasks[[#This Row],[_Days]])=0,Tasks[[#This Row],[_LeafProgress]]&lt;1),Tasks[[#This Row],[_ShownFcstFinish]]+Tasks[[#This Row],[_Row]]/100000,"")</f>
        <v/>
      </c>
      <c r="GH7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9" s="42">
        <f>IF(Tasks[[#This Row],[Task Name]]="","",LEFT(Tasks[[#This Row],[WBS]],FIND(".",Tasks[[#This Row],[WBS]]&amp;".")-1))</f>
        <v/>
      </c>
      <c r="GJ79" s="42">
        <f>IF(AND(Tasks[[#This Row],[Task Name]]&lt;&gt;"",Tasks[[#This Row],[_Level]]=1),Tasks[[#This Row],[_Row]],"")</f>
        <v/>
      </c>
      <c r="GK79" s="42">
        <f>IF(AND(Tasks[[#This Row],[_IsLeaf]]=1,N(Tasks[[#This Row],[_Days]])=0),Tasks[[#This Row],[Planned Finish]]+Tasks[[#This Row],[_Row]]/100000,"")</f>
        <v/>
      </c>
      <c r="GL79" s="42">
        <f>IF(AND(Tasks[[#This Row],[_IsLeaf]]=1,Tasks[[#This Row],[_LeafProgress]]&lt;1,OR(N(Tasks[[#This Row],[Finish Var]])&gt;0,Tasks[[#This Row],[Status]]="Late Start")),MAX(0,Tasks[[#This Row],[Finish Var]])+1-Tasks[[#This Row],[_Row]]/1000000,"")</f>
        <v/>
      </c>
      <c r="GM79" s="42">
        <f>IF(AND(Tasks[[#This Row],[_IsLeaf]]=1,N(Tasks[[#This Row],[Actual Start]])=0,Tasks[[#This Row],[_ShownFcstStart]]&gt;=StatusDate,Tasks[[#This Row],[_ShownFcstStart]]&lt;=LookaheadEnd),Tasks[[#This Row],[_ShownFcstStart]]+Tasks[[#This Row],[_Row]]/100000,"")</f>
        <v/>
      </c>
      <c r="GN79" s="42">
        <f>IF(AND(Tasks[[#This Row],[_IsLeaf]]=1,Tasks[[#This Row],[_LeafProgress]]&lt;1,Tasks[[#This Row],[_ShownFcstFinish]]&gt;=StatusDate,Tasks[[#This Row],[_ShownFcstFinish]]&lt;=LookaheadEnd),Tasks[[#This Row],[_ShownFcstFinish]]+Tasks[[#This Row],[_Row]]/100000,"")</f>
        <v/>
      </c>
      <c r="GO79" s="42">
        <f>IF(Tasks[[#This Row],[_LeafCritical]],Tasks[[#This Row],[_ShownFcstStart]]+Tasks[[#This Row],[_Row]]/100000,"")</f>
        <v/>
      </c>
      <c r="GP79" s="42">
        <f>Tasks[[#This Row],[_LeafWork]]*Tasks[[#This Row],[_LeafProgress]]</f>
        <v/>
      </c>
      <c r="GQ79" s="88">
        <f>IF(AND(Tasks[[#This Row],[_IsLeaf]]=1,Tasks[[#This Row],[_LeafProgress]]&gt;=1),IF(N(Tasks[[#This Row],[Actual Finish]])&gt;0,Tasks[[#This Row],[Actual Finish]],Tasks[[#This Row],[_ShownFcstFinish]]),"")</f>
        <v/>
      </c>
      <c r="GR79" s="42">
        <f>IF(Tasks[[#This Row],[_IsLeaf]]=1,N(Tasks[[#This Row],[Story Points]]),0)</f>
        <v/>
      </c>
      <c r="GS79" s="42">
        <f>""</f>
        <v/>
      </c>
      <c r="GT79" s="42">
        <f>IF(Tasks[[#This Row],[Task Name]]="",FALSE(),AND(Tasks[[#This Row],[_IsLeaf]]=1,N(Tasks[[#This Row],[_Days]])=0))</f>
        <v/>
      </c>
      <c r="GU79" s="88">
        <f>IF(Tasks[[#This Row],[Task Name]]="",0,IF(AND(Tasks[[#This Row],[_IsLeaf]]=1,NOT(Tasks[[#This Row],[_IsMilestone]]),N(Tasks[[#This Row],[Progress]])&gt;0),Tasks[[#This Row],[Start]],0))</f>
        <v/>
      </c>
      <c r="GV79" s="88">
        <f>IF(Tasks[[#This Row],[_DoneFrom]]=0,0,IF(Tasks[[#This Row],[Progress]]&gt;=1,Tasks[[#This Row],[Finish]],MAX(Tasks[[#This Row],[_DoneFrom]],Tasks[[#This Row],[Start]]+ROUND((Tasks[[#This Row],[Finish]]-Tasks[[#This Row],[Start]]+1)*Tasks[[#This Row],[Progress]],0)-1)))</f>
        <v/>
      </c>
      <c r="GW79" s="88">
        <f>IF(Tasks[[#This Row],[Task Name]]="",0,IF(OR(NOT(Tasks[[#This Row],[_IsLeaf]]=1),Tasks[[#This Row],[_IsMilestone]],N(Tasks[[#This Row],[Progress]])&gt;=1),0,IF(Tasks[[#This Row],[_DoneTo]]&gt;0,Tasks[[#This Row],[_DoneTo]]+1,Tasks[[#This Row],[Start]])))</f>
        <v/>
      </c>
      <c r="GX79" s="88">
        <f>IF(Tasks[[#This Row],[_RemFrom]]=0,0,Tasks[[#This Row],[Finish]])</f>
        <v/>
      </c>
      <c r="GY79" s="42">
        <f>IF(Tasks[[#This Row],[Task Name]]="",FALSE(),OR(NOT(BaselineSet),N(Tasks[[#This Row],[Baseline Start]])&gt;0))</f>
        <v/>
      </c>
      <c r="GZ79" s="42">
        <f>IF(AND(Sandbox="Yes",L_PARSE_DURATION(Tasks[[#This Row],[Sandbox Duration]])&lt;&gt;""),L_PARSE_DURATION(Tasks[[#This Row],[Sandbox Duration]]),L_PARSE_DURATION(Tasks[[#This Row],[Duration]]))</f>
        <v/>
      </c>
      <c r="HA7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7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9" s="42">
        <f>IF(Tasks[[#This Row],[_IsLeaf]]=1,Tasks[[#This Row],[_Row]],"")</f>
        <v/>
      </c>
      <c r="HD79" s="42">
        <f>IFERROR(INDEX(Tasks[UID],SMALL(Tasks[_PickKey],Tasks[[#This Row],[_Row]]))&amp;" "&amp;INDEX(Tasks[Task Name],SMALL(Tasks[_PickKey],Tasks[[#This Row],[_Row]])),"")</f>
        <v/>
      </c>
      <c r="HE79" s="42">
        <f>IF(Tasks[[#This Row],[Task Name]]="","",IF(Tasks[[#This Row],[_IsSummary]],NETWORKDAYS.INTL(Tasks[[#This Row],[Start]],Tasks[[#This Row],[Finish]],WorkWeek,Holidays),N(Tasks[[#This Row],[_Days]])))</f>
        <v/>
      </c>
      <c r="HF79" s="42">
        <f>IF(Tasks[[#This Row],[Expected]]="",0,((Tasks[[#This Row],[Pessimistic]]-Tasks[[#This Row],[Optimistic]])/6)^2)</f>
        <v/>
      </c>
      <c r="HG79" s="42">
        <f>IF(Tasks[[#This Row],[Expected]]="",0,Tasks[[#This Row],[Expected]]-N(Tasks[[#This Row],[_Days]]))</f>
        <v/>
      </c>
    </row>
    <row r="80">
      <c r="A80" s="21">
        <f>IF(Tasks[[#This Row],[Task Name]]="","",COUNTA(Tasks[[#Headers],[Task Name]]:Tasks[[#This Row],[Task Name]])-1)</f>
        <v/>
      </c>
      <c r="B80" s="22" t="n">
        <v>88</v>
      </c>
      <c r="C80" s="22" t="n"/>
      <c r="D80" s="23" t="n"/>
      <c r="E80" s="22" t="n"/>
      <c r="F80" s="23" t="n"/>
      <c r="G80" s="22" t="n"/>
      <c r="H80" s="22" t="n"/>
      <c r="I80" s="23" t="n"/>
      <c r="J80" s="22" t="n"/>
      <c r="K80" s="22" t="n"/>
      <c r="L80" s="23" t="n"/>
      <c r="M80" s="22" t="n"/>
      <c r="N80" s="22" t="n"/>
      <c r="O80" s="23" t="n"/>
      <c r="P80" s="22" t="n"/>
      <c r="Q80" s="22" t="n"/>
      <c r="R80" s="23" t="n"/>
      <c r="S80" s="23" t="n"/>
      <c r="T80" s="82" t="n"/>
      <c r="U80" s="23" t="n"/>
      <c r="V80" s="82" t="n"/>
      <c r="W80" s="23" t="n"/>
      <c r="X80" s="82" t="n"/>
      <c r="Y80" s="23" t="n"/>
      <c r="Z80" s="82" t="n"/>
      <c r="AA80" s="23" t="n"/>
      <c r="AB80" s="23" t="n"/>
      <c r="AC80" s="7" t="n"/>
      <c r="AD80" s="7" t="n"/>
      <c r="AE80" s="61">
        <f>IF(Tasks[[#This Row],[Task Name]]="","",IF(Tasks[[#This Row],[_IsSummary]],MIN(INDEX(Tasks[_ShownFcstStart],Tasks[[#This Row],[_Row]]+1):INDEX(Tasks[_ShownFcstStart],Tasks[[#This Row],[_Row]]+Tasks[[#This Row],[_Descendants]])),Tasks[[#This Row],[_ShownFcstStart]]))</f>
        <v/>
      </c>
      <c r="AF80" s="61">
        <f>IF(Tasks[[#This Row],[Task Name]]="","",IF(Tasks[[#This Row],[_IsSummary]],MAX(INDEX(Tasks[_ShownFcstFinish],Tasks[[#This Row],[_Row]]+1):INDEX(Tasks[_ShownFcstFinish],Tasks[[#This Row],[_Row]]+Tasks[[#This Row],[_Descendants]])),Tasks[[#This Row],[_ShownFcstFinish]]))</f>
        <v/>
      </c>
      <c r="AG80" s="21">
        <f>""</f>
        <v/>
      </c>
      <c r="AH80" s="23" t="n"/>
      <c r="AI8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0" s="7" t="n"/>
      <c r="AK80" s="22" t="n"/>
      <c r="AL80" s="23" t="n"/>
      <c r="AM80" s="7" t="n"/>
      <c r="AN80" s="21">
        <f>IF(Tasks[[#This Row],[Task Name]]="","",IF(Tasks[[#This Row],[Finish]]&gt;=Tasks[[#This Row],[Planned Finish]],NETWORKDAYS.INTL(Tasks[[#This Row],[Planned Finish]],Tasks[[#This Row],[Finish]],WorkWeek,Holidays)-1,1-NETWORKDAYS.INTL(Tasks[[#This Row],[Finish]],Tasks[[#This Row],[Planned Finish]],WorkWeek,Holidays)))</f>
        <v/>
      </c>
      <c r="AO80" s="21">
        <f>IF(Tasks[[#This Row],[Task Name]]="","",IF(Tasks[[#This Row],[Progress]]&gt;=1,"Complete",IF(OR(N(Tasks[[#This Row],[Actual Start]])&gt;0,Tasks[[#This Row],[Progress]]&gt;0),IF(Tasks[[#This Row],[Finish Var]]&gt;0,"Behind","In Progress"),IF(Tasks[[#This Row],[Planned Start]]&lt;StatusDate,"Late Start","Not Started"))))</f>
        <v/>
      </c>
      <c r="AP80" s="21">
        <f>IF(Tasks[[#This Row],[Task Name]]="","",IF(IF(Tasks[[#This Row],[_IsSummary]],COUNTIF(INDEX(Tasks[_LeafCritical],Tasks[[#This Row],[_Row]]+1):INDEX(Tasks[_LeafCritical],Tasks[[#This Row],[_Row]]+Tasks[[#This Row],[_Descendants]]),TRUE())&gt;0,Tasks[[#This Row],[_LeafCritical]]),"Yes",""))</f>
        <v/>
      </c>
      <c r="AQ80" s="61">
        <f>IF(Tasks[[#This Row],[Task Name]]="","",IF(N(Tasks[[#This Row],[Baseline Start]])&gt;0,Tasks[[#This Row],[Baseline Start]],Tasks[[#This Row],[_CalcStart]]))</f>
        <v/>
      </c>
      <c r="AR80" s="61">
        <f>IF(Tasks[[#This Row],[Task Name]]="","",IF(N(Tasks[[#This Row],[Baseline Finish]])&gt;0,Tasks[[#This Row],[Baseline Finish]],Tasks[[#This Row],[_CalcFinish]]))</f>
        <v/>
      </c>
      <c r="AS80" s="21">
        <f>IF(Tasks[[#This Row],[Task Name]]="","",IF(Tasks[[#This Row],[Start]]&gt;=Tasks[[#This Row],[Planned Start]],NETWORKDAYS.INTL(Tasks[[#This Row],[Planned Start]],Tasks[[#This Row],[Start]],WorkWeek,Holidays)-1,1-NETWORKDAYS.INTL(Tasks[[#This Row],[Start]],Tasks[[#This Row],[Planned Start]],WorkWeek,Holidays)))</f>
        <v/>
      </c>
      <c r="AT80" s="61">
        <f>IF(Tasks[[#This Row],[Task Name]]="","",IF(Tasks[[#This Row],[_IsSummary]],MIN(INDEX(Tasks[_LeafLateStart],Tasks[[#This Row],[_Row]]+1):INDEX(Tasks[_LeafLateStart],Tasks[[#This Row],[_Row]]+Tasks[[#This Row],[_Descendants]])),Tasks[[#This Row],[_LeafLateStart]]))</f>
        <v/>
      </c>
      <c r="AU80" s="61">
        <f>IF(Tasks[[#This Row],[Task Name]]="","",IF(Tasks[[#This Row],[_IsSummary]],MAX(INDEX(Tasks[_LeafLateFinish],Tasks[[#This Row],[_Row]]+1):INDEX(Tasks[_LeafLateFinish],Tasks[[#This Row],[_Row]]+Tasks[[#This Row],[_Descendants]])),Tasks[[#This Row],[_LeafLateFinish]]))</f>
        <v/>
      </c>
      <c r="AV80" s="21">
        <f>IF(Tasks[[#This Row],[Task Name]]="","",IF(Tasks[[#This Row],[_IsSummary]],MIN(INDEX(Tasks[_LeafTotalSlack],Tasks[[#This Row],[_Row]]+1):INDEX(Tasks[_LeafTotalSlack],Tasks[[#This Row],[_Row]]+Tasks[[#This Row],[_Descendants]])),Tasks[[#This Row],[_LeafTotalSlack]]))</f>
        <v/>
      </c>
      <c r="AW8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3" t="n"/>
      <c r="BA8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f>IF(Tasks[[#This Row],[Task Name]]="","",IF(Tasks[[#This Row],[_Level]]&lt;=OutlineShowLevel,"Yes","No"))</f>
        <v/>
      </c>
      <c r="BE80" s="84">
        <f>IF(Tasks[[#This Row],[Task Name]]="","",IF(Tasks[[#This Row],[_IsSummary]],SUM(INDEX(Tasks[_LeafTotalWork],Tasks[[#This Row],[_Row]]+1):INDEX(Tasks[_LeafTotalWork],Tasks[[#This Row],[_Row]]+Tasks[[#This Row],[_Descendants]])),Tasks[[#This Row],[_LeafTotalWork]]))</f>
        <v/>
      </c>
      <c r="BF80" s="23" t="n"/>
      <c r="BG8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f>""</f>
        <v/>
      </c>
      <c r="BI80" s="85" t="n"/>
      <c r="BJ80" s="22" t="n"/>
      <c r="BK80" s="21">
        <f>IF(OR(Tasks[[#This Row],[Task Name]]="",Tasks[[#This Row],[Baseline Duration]]=""),"",Tasks[[#This Row],[_SpanDays]]-N(Tasks[[#This Row],[Baseline Duration]]))</f>
        <v/>
      </c>
      <c r="BL80" s="84">
        <f>IF(OR(Tasks[[#This Row],[Task Name]]="",Tasks[[#This Row],[Baseline Work]]=""),"",Tasks[[#This Row],[Work]]-N(Tasks[[#This Row],[Baseline Work]]))</f>
        <v/>
      </c>
      <c r="BM80" s="61">
        <f>IF(Tasks[[#This Row],[Task Name]]="","",IF(OR(TakeBaseline="Yes",N(Tasks[[#This Row],[Baseline Start]])=0),Tasks[[#This Row],[Start]],Tasks[[#This Row],[Baseline Start]]))</f>
        <v/>
      </c>
      <c r="BN80" s="61">
        <f>IF(Tasks[[#This Row],[Task Name]]="","",IF(OR(TakeBaseline="Yes",N(Tasks[[#This Row],[Baseline Finish]])=0),Tasks[[#This Row],[Finish]],Tasks[[#This Row],[Baseline Finish]]))</f>
        <v/>
      </c>
      <c r="BO80" s="21">
        <f>IF(Tasks[[#This Row],[Task Name]]="","",IF(OR(TakeBaseline="Yes",N(Tasks[[#This Row],[Baseline Duration]])=0),Tasks[[#This Row],[_SpanDays]],Tasks[[#This Row],[Baseline Duration]]))</f>
        <v/>
      </c>
      <c r="BP80" s="84">
        <f>IF(Tasks[[#This Row],[Task Name]]="","",IF(OR(TakeBaseline="Yes",N(Tasks[[#This Row],[Baseline Work]])=0),Tasks[[#This Row],[Work]],Tasks[[#This Row],[Baseline Work]]))</f>
        <v/>
      </c>
      <c r="BQ80" s="7" t="n"/>
      <c r="BR80" s="7" t="n"/>
      <c r="BS80" s="22" t="n"/>
      <c r="BT80" s="86" t="n"/>
      <c r="BU80" s="23" t="n"/>
      <c r="BV80" s="23" t="n"/>
      <c r="BW80" s="23" t="n"/>
      <c r="BX80" s="87">
        <f>IF(AND(Tasks[[#This Row],[_IsLeaf]]=1,ISNUMBER(Tasks[[#This Row],[Optimistic]]),ISNUMBER(Tasks[[#This Row],[Pessimistic]])),ROUND((Tasks[[#This Row],[Optimistic]]+4*N(Tasks[[#This Row],[_Days]])+Tasks[[#This Row],[Pessimistic]])/6,1),"")</f>
        <v/>
      </c>
      <c r="BY80" s="85" t="n"/>
      <c r="BZ80" s="85" t="n"/>
      <c r="CA80" s="22" t="n"/>
      <c r="CB80" s="42">
        <f>IF(Tasks[[#This Row],[Task Name]]="","",MAX(1,N(Tasks[[#This Row],[Level]])))</f>
        <v/>
      </c>
      <c r="CC80" s="42">
        <f>ROW()-ROW(Tasks[[#Headers],[ID]])</f>
        <v/>
      </c>
      <c r="CD80" s="42">
        <f>IF(OR(Tasks[[#This Row],[Task Name]]="",Tasks[[#This Row],[_Level]]&lt;=1),0,IFERROR(LOOKUP(2,1/(Tasks[[#Headers],[_Level]]:Tasks[[#This Row],[_Level]]=Tasks[[#This Row],[_Level]]-1),ROW(Tasks[[#Headers],[_Level]]:Tasks[[#This Row],[_Level]])),0))</f>
        <v/>
      </c>
      <c r="CE80" s="42">
        <f>IFERROR(N(INDEX(Tasks[_Level],Tasks[[#This Row],[_Row]]+1)),0)</f>
        <v/>
      </c>
      <c r="CF80" s="42">
        <f>AND(Tasks[[#This Row],[Task Name]]&lt;&gt;"",Tasks[[#This Row],[_NextLevel]]&gt;Tasks[[#This Row],[_Level]])</f>
        <v/>
      </c>
      <c r="CG80" s="42">
        <f>IF(Tasks[[#This Row],[_IsSummary]],COUNTIF(Tasks[WBS],Tasks[[#This Row],[WBS]]&amp;".*"),0)</f>
        <v/>
      </c>
      <c r="CH80" s="42">
        <f>IF(AND(Tasks[[#This Row],[Task Name]]&lt;&gt;"",NOT(Tasks[[#This Row],[_IsSummary]])),1,0)</f>
        <v/>
      </c>
      <c r="CI80" s="42">
        <f>IF(N(Tasks[[#This Row],[_Pred1UID]])=0,0,IFERROR(MATCH(Tasks[[#This Row],[_Pred1UID]],Tasks[UID],0),-1))</f>
        <v/>
      </c>
      <c r="CJ80" s="42">
        <f>IF(N(Tasks[[#This Row],[_Pred2UID]])=0,0,IFERROR(MATCH(Tasks[[#This Row],[_Pred2UID]],Tasks[UID],0),-1))</f>
        <v/>
      </c>
      <c r="CK80" s="42">
        <f>IF(N(Tasks[[#This Row],[_Pred3UID]])=0,0,IFERROR(MATCH(Tasks[[#This Row],[_Pred3UID]],Tasks[UID],0),-1))</f>
        <v/>
      </c>
      <c r="CL80" s="42">
        <f>IF(N(Tasks[[#This Row],[_Pred4UID]])=0,0,IFERROR(MATCH(Tasks[[#This Row],[_Pred4UID]],Tasks[UID],0),-1))</f>
        <v/>
      </c>
      <c r="CM8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0" s="88">
        <f>IF(N(Tasks[[#This Row],[Constraint Date]])=0,0,IF(AND(OR(Tasks[[#This Row],[_ConstraintCode]]=3,Tasks[[#This Row],[_ConstraintCode]]=6,Tasks[[#This Row],[_ConstraintCode]]=7),N(Tasks[[#This Row],[_Days]])&gt;1),WORKDAY.INTL(N(Tasks[[#This Row],[Constraint Date]]),-(N(Tasks[[#This Row],[_Days]])-1),WorkWeek,Holidays),N(Tasks[[#This Row],[Constraint Date]])))</f>
        <v/>
      </c>
      <c r="CO80" s="88">
        <f>IF(OR(Tasks[[#This Row],[_ConstraintCode]]=2,Tasks[[#This Row],[_ConstraintCode]]=3,Tasks[[#This Row],[_ConstraintCode]]=4,Tasks[[#This Row],[_ConstraintCode]]=6),Tasks[[#This Row],[_ConstraintStart]],0)</f>
        <v/>
      </c>
      <c r="CP80" s="88">
        <f>IF(OR(Tasks[[#This Row],[_ConstraintCode]]=2,Tasks[[#This Row],[_ConstraintCode]]=3,Tasks[[#This Row],[_ConstraintCode]]=5,Tasks[[#This Row],[_ConstraintCode]]=7),Tasks[[#This Row],[_ConstraintStart]],2958465)</f>
        <v/>
      </c>
      <c r="CQ8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0" s="88">
        <f>IF(NOT(Tasks[[#This Row],[_IsLeaf]]=1),"",IF(N(Tasks[[#This Row],[_Days]])&lt;=0,Tasks[[#This Row],[_LeafCalcStart]],WORKDAY.INTL(Tasks[[#This Row],[_LeafCalcStart]],Tasks[[#This Row],[_Days]]-1,WorkWeek,Holidays)))</f>
        <v/>
      </c>
      <c r="CS8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0" s="42">
        <f>IF(Tasks[[#This Row],[_Predecessors]]="","",TRIM(MID(SUBSTITUTE(SUBSTITUTE(SUBSTITUTE(UPPER(Tasks[[#This Row],[_Predecessors]]),";",",")," ",""),",",REPT(" ",99)),1,99)))</f>
        <v/>
      </c>
      <c r="CV80" s="42">
        <f>IF(Tasks[[#This Row],[_Pred1Text]]="","",IFERROR(VALUE(LEFT(Tasks[[#This Row],[_Pred1Text]],MIN(FIND("F",Tasks[[#This Row],[_Pred1Text]]&amp;"F"),FIND("S",Tasks[[#This Row],[_Pred1Text]]&amp;"S"),FIND("+",Tasks[[#This Row],[_Pred1Text]]&amp;"+"),FIND("-",Tasks[[#This Row],[_Pred1Text]]&amp;"-"))-1)),""))</f>
        <v/>
      </c>
      <c r="CW8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0" s="42">
        <f>IF(Tasks[[#This Row],[_Pred1Text]]="","",TRIM(MID(SUBSTITUTE(SUBSTITUTE(SUBSTITUTE(UPPER(Tasks[[#This Row],[_Predecessors]]),";",",")," ",""),",",REPT(" ",99)),100,99)))</f>
        <v/>
      </c>
      <c r="CZ80" s="42">
        <f>IF(Tasks[[#This Row],[_Pred2Text]]="","",IFERROR(VALUE(LEFT(Tasks[[#This Row],[_Pred2Text]],MIN(FIND("F",Tasks[[#This Row],[_Pred2Text]]&amp;"F"),FIND("S",Tasks[[#This Row],[_Pred2Text]]&amp;"S"),FIND("+",Tasks[[#This Row],[_Pred2Text]]&amp;"+"),FIND("-",Tasks[[#This Row],[_Pred2Text]]&amp;"-"))-1)),""))</f>
        <v/>
      </c>
      <c r="DA8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0" s="42">
        <f>IF(Tasks[[#This Row],[_Pred2Text]]="","",TRIM(MID(SUBSTITUTE(SUBSTITUTE(SUBSTITUTE(UPPER(Tasks[[#This Row],[_Predecessors]]),";",",")," ",""),",",REPT(" ",99)),199,99)))</f>
        <v/>
      </c>
      <c r="DD80" s="42">
        <f>IF(Tasks[[#This Row],[_Pred3Text]]="","",IFERROR(VALUE(LEFT(Tasks[[#This Row],[_Pred3Text]],MIN(FIND("F",Tasks[[#This Row],[_Pred3Text]]&amp;"F"),FIND("S",Tasks[[#This Row],[_Pred3Text]]&amp;"S"),FIND("+",Tasks[[#This Row],[_Pred3Text]]&amp;"+"),FIND("-",Tasks[[#This Row],[_Pred3Text]]&amp;"-"))-1)),""))</f>
        <v/>
      </c>
      <c r="DE8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0" s="42">
        <f>IF(Tasks[[#This Row],[_Pred3Text]]="","",TRIM(MID(SUBSTITUTE(SUBSTITUTE(SUBSTITUTE(UPPER(Tasks[[#This Row],[_Predecessors]]),";",",")," ",""),",",REPT(" ",99)),298,99)))</f>
        <v/>
      </c>
      <c r="DH80" s="42">
        <f>IF(Tasks[[#This Row],[_Pred4Text]]="","",IFERROR(VALUE(LEFT(Tasks[[#This Row],[_Pred4Text]],MIN(FIND("F",Tasks[[#This Row],[_Pred4Text]]&amp;"F"),FIND("S",Tasks[[#This Row],[_Pred4Text]]&amp;"S"),FIND("+",Tasks[[#This Row],[_Pred4Text]]&amp;"+"),FIND("-",Tasks[[#This Row],[_Pred4Text]]&amp;"-"))-1)),""))</f>
        <v/>
      </c>
      <c r="DI8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0" s="42">
        <f>IF(OR(Tasks[[#This Row],[Task Name]]="",Tasks[[#This Row],[_Resources]]=""),"",TRIM(MID(SUBSTITUTE(Tasks[[#This Row],[_Resources]],",",REPT(" ",99)),1,99)))</f>
        <v/>
      </c>
      <c r="DL80" s="42">
        <f>IF(Tasks[[#This Row],[_Res1Text]]="","",TRIM(MID(SUBSTITUTE(Tasks[[#This Row],[_Resources]],",",REPT(" ",99)),100,99)))</f>
        <v/>
      </c>
      <c r="DM80" s="42">
        <f>IF(Tasks[[#This Row],[_Res2Text]]="","",TRIM(MID(SUBSTITUTE(Tasks[[#This Row],[_Resources]],",",REPT(" ",99)),199,99)))</f>
        <v/>
      </c>
      <c r="DN80" s="42">
        <f>IF(Tasks[[#This Row],[_Res3Text]]="","",TRIM(MID(SUBSTITUTE(Tasks[[#This Row],[_Resources]],",",REPT(" ",99)),298,99)))</f>
        <v/>
      </c>
      <c r="DO80" s="42">
        <f>IF(Tasks[[#This Row],[_Res1Text]]="",0,IFERROR(MATCH(TRIM(LEFT(Tasks[[#This Row],[_Res1Text]],FIND("[",Tasks[[#This Row],[_Res1Text]]&amp;"[")-1)),res_Name,0),IFERROR(MATCH(TRIM(LEFT(Tasks[[#This Row],[_Res1Text]],FIND("[",Tasks[[#This Row],[_Res1Text]]&amp;"[")-1)),res_Initials,0),0)))</f>
        <v/>
      </c>
      <c r="DP80" s="42">
        <f>IF(Tasks[[#This Row],[_Res2Text]]="",0,IFERROR(MATCH(TRIM(LEFT(Tasks[[#This Row],[_Res2Text]],FIND("[",Tasks[[#This Row],[_Res2Text]]&amp;"[")-1)),res_Name,0),IFERROR(MATCH(TRIM(LEFT(Tasks[[#This Row],[_Res2Text]],FIND("[",Tasks[[#This Row],[_Res2Text]]&amp;"[")-1)),res_Initials,0),0)))</f>
        <v/>
      </c>
      <c r="DQ80" s="42">
        <f>IF(Tasks[[#This Row],[_Res3Text]]="",0,IFERROR(MATCH(TRIM(LEFT(Tasks[[#This Row],[_Res3Text]],FIND("[",Tasks[[#This Row],[_Res3Text]]&amp;"[")-1)),res_Name,0),IFERROR(MATCH(TRIM(LEFT(Tasks[[#This Row],[_Res3Text]],FIND("[",Tasks[[#This Row],[_Res3Text]]&amp;"[")-1)),res_Initials,0),0)))</f>
        <v/>
      </c>
      <c r="DR80" s="42">
        <f>IF(Tasks[[#This Row],[_Res4Text]]="",0,IFERROR(MATCH(TRIM(LEFT(Tasks[[#This Row],[_Res4Text]],FIND("[",Tasks[[#This Row],[_Res4Text]]&amp;"[")-1)),res_Name,0),IFERROR(MATCH(TRIM(LEFT(Tasks[[#This Row],[_Res4Text]],FIND("[",Tasks[[#This Row],[_Res4Text]]&amp;"[")-1)),res_Initials,0),0)))</f>
        <v/>
      </c>
      <c r="DS80" s="42">
        <f>IF(Tasks[[#This Row],[_Res1Text]]="","",IF(Tasks[[#This Row],[_Res1Row]]&gt;0,INDEX(res_Name,Tasks[[#This Row],[_Res1Row]]),TRIM(LEFT(Tasks[[#This Row],[_Res1Text]],FIND("[",Tasks[[#This Row],[_Res1Text]]&amp;"[")-1))))</f>
        <v/>
      </c>
      <c r="DT8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0" s="42">
        <f>IF(NOT(Tasks[[#This Row],[_IsLeaf]]=1),0,(Tasks[[#This Row],[_Resource1]]&lt;&gt;"")+(Tasks[[#This Row],[_Res2]]&lt;&gt;"")+(Tasks[[#This Row],[_Res3]]&lt;&gt;"")+(Tasks[[#This Row],[_Res4]]&lt;&gt;""))</f>
        <v/>
      </c>
      <c r="DV80" s="42">
        <f>IF(Tasks[[#This Row],[_Res2Text]]="","",IF(Tasks[[#This Row],[_Res2Row]]&gt;0,INDEX(res_Name,Tasks[[#This Row],[_Res2Row]]),TRIM(LEFT(Tasks[[#This Row],[_Res2Text]],FIND("[",Tasks[[#This Row],[_Res2Text]]&amp;"[")-1))))</f>
        <v/>
      </c>
      <c r="DW8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0" s="42">
        <f>IF(OR(NOT(Tasks[[#This Row],[_IsLeaf]]=1),Tasks[[#This Row],[_Res2Row]]=0),0,N(Tasks[[#This Row],[_Days]])*HoursPerDay*IF(Tasks[[#This Row],[_Res2Units]]="",DefaultUnits,Tasks[[#This Row],[_Res2Units]]))</f>
        <v/>
      </c>
      <c r="DY80" s="42">
        <f>IF(AND(AND(Tasks[[#This Row],[_IsLeaf]]=1,Tasks[[#This Row],[_LeafTotalWork]]&gt;0),Tasks[[#This Row],[_Res2Work]]&gt;0),Tasks[[#This Row],[_Res2Work]]/(Tasks[[#This Row],[_FinishWorkday]]-Tasks[[#This Row],[_StartWorkday]]+1),0)</f>
        <v/>
      </c>
      <c r="DZ80" s="42">
        <f>Tasks[[#This Row],[_Res2WorkPerWD]]*MAX(0,Tasks[[#This Row],[_StartWorkday]]-1)</f>
        <v/>
      </c>
      <c r="EA80" s="42">
        <f>Tasks[[#This Row],[_Res2Work]]*Tasks[[#This Row],[_LeafProgress]]</f>
        <v/>
      </c>
      <c r="EB80" s="42">
        <f>IF(Tasks[[#This Row],[_Res3Text]]="","",IF(Tasks[[#This Row],[_Res3Row]]&gt;0,INDEX(res_Name,Tasks[[#This Row],[_Res3Row]]),TRIM(LEFT(Tasks[[#This Row],[_Res3Text]],FIND("[",Tasks[[#This Row],[_Res3Text]]&amp;"[")-1))))</f>
        <v/>
      </c>
      <c r="EC8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0" s="42">
        <f>IF(OR(NOT(Tasks[[#This Row],[_IsLeaf]]=1),Tasks[[#This Row],[_Res3Row]]=0),0,N(Tasks[[#This Row],[_Days]])*HoursPerDay*IF(Tasks[[#This Row],[_Res3Units]]="",DefaultUnits,Tasks[[#This Row],[_Res3Units]]))</f>
        <v/>
      </c>
      <c r="EE80" s="42">
        <f>IF(AND(AND(Tasks[[#This Row],[_IsLeaf]]=1,Tasks[[#This Row],[_LeafTotalWork]]&gt;0),Tasks[[#This Row],[_Res3Work]]&gt;0),Tasks[[#This Row],[_Res3Work]]/(Tasks[[#This Row],[_FinishWorkday]]-Tasks[[#This Row],[_StartWorkday]]+1),0)</f>
        <v/>
      </c>
      <c r="EF80" s="42">
        <f>Tasks[[#This Row],[_Res3WorkPerWD]]*MAX(0,Tasks[[#This Row],[_StartWorkday]]-1)</f>
        <v/>
      </c>
      <c r="EG80" s="42">
        <f>Tasks[[#This Row],[_Res3Work]]*Tasks[[#This Row],[_LeafProgress]]</f>
        <v/>
      </c>
      <c r="EH80" s="42">
        <f>IF(Tasks[[#This Row],[_Res4Text]]="","",IF(Tasks[[#This Row],[_Res4Row]]&gt;0,INDEX(res_Name,Tasks[[#This Row],[_Res4Row]]),TRIM(LEFT(Tasks[[#This Row],[_Res4Text]],FIND("[",Tasks[[#This Row],[_Res4Text]]&amp;"[")-1))))</f>
        <v/>
      </c>
      <c r="EI8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0" s="42">
        <f>IF(OR(NOT(Tasks[[#This Row],[_IsLeaf]]=1),Tasks[[#This Row],[_Res4Row]]=0),0,N(Tasks[[#This Row],[_Days]])*HoursPerDay*IF(Tasks[[#This Row],[_Res4Units]]="",DefaultUnits,Tasks[[#This Row],[_Res4Units]]))</f>
        <v/>
      </c>
      <c r="EK80" s="42">
        <f>IF(AND(AND(Tasks[[#This Row],[_IsLeaf]]=1,Tasks[[#This Row],[_LeafTotalWork]]&gt;0),Tasks[[#This Row],[_Res4Work]]&gt;0),Tasks[[#This Row],[_Res4Work]]/(Tasks[[#This Row],[_FinishWorkday]]-Tasks[[#This Row],[_StartWorkday]]+1),0)</f>
        <v/>
      </c>
      <c r="EL80" s="42">
        <f>Tasks[[#This Row],[_Res4WorkPerWD]]*MAX(0,Tasks[[#This Row],[_StartWorkday]]-1)</f>
        <v/>
      </c>
      <c r="EM80" s="42">
        <f>Tasks[[#This Row],[_Res4Work]]*Tasks[[#This Row],[_LeafProgress]]</f>
        <v/>
      </c>
      <c r="EN80" s="42">
        <f>IF(ISNUMBER(Tasks[[#This Row],[% Complete]]),Tasks[[#This Row],[% Complete]],IF(Tasks[[#This Row],[Stage]]="",0,IFERROR(INDEX(stg_Pct,MATCH(Tasks[[#This Row],[Stage]],stg_Name,0)),0)))</f>
        <v/>
      </c>
      <c r="EO80" s="42">
        <f>IF(NOT(Tasks[[#This Row],[_IsLeaf]]=1),0,IF(N(Tasks[[#This Row],[Actual Finish]])&gt;0,1,MIN(1,Tasks[[#This Row],[_Pct]])))</f>
        <v/>
      </c>
      <c r="EP80" s="42">
        <f>IF(OR(NOT(Tasks[[#This Row],[_IsLeaf]]=1),Tasks[[#This Row],[_Res1Row]]=0),0,N(Tasks[[#This Row],[_Days]])*HoursPerDay*IF(Tasks[[#This Row],[_Units1]]="",DefaultUnits,Tasks[[#This Row],[_Units1]]))</f>
        <v/>
      </c>
      <c r="EQ80" s="42">
        <f>Tasks[[#This Row],[_LeafWork]]+Tasks[[#This Row],[_Res2Work]]+Tasks[[#This Row],[_Res3Work]]+Tasks[[#This Row],[_Res4Work]]</f>
        <v/>
      </c>
      <c r="ER8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0" s="42">
        <f>IF(NOT(Tasks[[#This Row],[_IsLeaf]]=1),0,MAX(_xlfn.MAXIFS(Tasks[_Row],Tasks[_Pred1UID],Tasks[[#This Row],[UID]]),_xlfn.MAXIFS(Tasks[_Row],Tasks[_Pred2UID],Tasks[[#This Row],[UID]]),_xlfn.MAXIFS(Tasks[_Row],Tasks[_Pred3UID],Tasks[[#This Row],[UID]]),_xlfn.MAXIFS(Tasks[_Row],Tasks[_Pred4UID],Tasks[[#This Row],[UID]])))</f>
        <v/>
      </c>
      <c r="FA8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0" s="88">
        <f>IF(NOT(Tasks[[#This Row],[_IsLeaf]]=1),"",IF(N(Tasks[[#This Row],[_Days]])&lt;=0,Tasks[[#This Row],[_LeafLateFinish]],WORKDAY.INTL(Tasks[[#This Row],[_LeafLateFinish]],-(Tasks[[#This Row],[_Days]]-1),WorkWeek,Holidays)))</f>
        <v/>
      </c>
      <c r="FD8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0" s="42">
        <f>AND(Tasks[[#This Row],[_IsLeaf]]=1,Tasks[[#This Row],[_LeafProgress]]&lt;1,N(Tasks[[#This Row],[_LeafTotalSlack]])&lt;=CriticalSlackDays)</f>
        <v/>
      </c>
      <c r="FF80" s="42">
        <f>IF(AND(Tasks[[#This Row],[_IsLeaf]]=1,Tasks[[#This Row],[_ConstraintCode]]=1,Tasks[[#This Row],[Mode]]&lt;&gt;"Manual",N(Tasks[[#This Row],[Actual Start]])=0),MAX(0,N(Tasks[[#This Row],[Free Slack]])),0)</f>
        <v/>
      </c>
      <c r="FG80" s="88">
        <f>IF(NOT(Tasks[[#This Row],[_IsLeaf]]=1),"",IF(Tasks[[#This Row],[_AlapShift]]=0,Tasks[[#This Row],[_LeafCalcStart]],WORKDAY.INTL(Tasks[[#This Row],[_LeafCalcStart]],Tasks[[#This Row],[_AlapShift]],WorkWeek,Holidays)))</f>
        <v/>
      </c>
      <c r="FH80" s="88">
        <f>IF(NOT(Tasks[[#This Row],[_IsLeaf]]=1),"",IF(Tasks[[#This Row],[_AlapShift]]=0,Tasks[[#This Row],[_LeafCalcFinish]],WORKDAY.INTL(Tasks[[#This Row],[_LeafCalcFinish]],Tasks[[#This Row],[_AlapShift]],WorkWeek,Holidays)))</f>
        <v/>
      </c>
      <c r="FI80" s="88">
        <f>IF(NOT(Tasks[[#This Row],[_IsLeaf]]=1),"",IF(Tasks[[#This Row],[_AlapShift]]=0,Tasks[[#This Row],[_LeafFcstStart]],WORKDAY.INTL(Tasks[[#This Row],[_LeafFcstStart]],Tasks[[#This Row],[_AlapShift]],WorkWeek,Holidays)))</f>
        <v/>
      </c>
      <c r="FJ80" s="88">
        <f>IF(NOT(Tasks[[#This Row],[_IsLeaf]]=1),"",IF(Tasks[[#This Row],[_AlapShift]]=0,Tasks[[#This Row],[_LeafFcstFinish]],WORKDAY.INTL(Tasks[[#This Row],[_LeafFcstFinish]],Tasks[[#This Row],[_AlapShift]],WorkWeek,Holidays)))</f>
        <v/>
      </c>
      <c r="FK80" s="88">
        <f>IF(Tasks[[#This Row],[Task Name]]="","",IF(Tasks[[#This Row],[_IsSummary]],MIN(INDEX(Tasks[_ShownCalcStart],Tasks[[#This Row],[_Row]]+1):INDEX(Tasks[_ShownCalcStart],Tasks[[#This Row],[_Row]]+Tasks[[#This Row],[_Descendants]])),Tasks[[#This Row],[_ShownCalcStart]]))</f>
        <v/>
      </c>
      <c r="FL80" s="88">
        <f>IF(Tasks[[#This Row],[Task Name]]="","",IF(Tasks[[#This Row],[_IsSummary]],MAX(INDEX(Tasks[_ShownCalcFinish],Tasks[[#This Row],[_Row]]+1):INDEX(Tasks[_ShownCalcFinish],Tasks[[#This Row],[_Row]]+Tasks[[#This Row],[_Descendants]])),Tasks[[#This Row],[_ShownCalcFinish]]))</f>
        <v/>
      </c>
      <c r="FM8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0" s="42">
        <f>IF(AND(Tasks[[#This Row],[_IsLeaf]]=1,Tasks[[#This Row],[_LeafTotalWork]]&gt;0),NETWORKDAYS.INTL(ProjectStart,Tasks[[#This Row],[_ShownFcstStart]],WorkWeek,Holidays),0)</f>
        <v/>
      </c>
      <c r="FZ80" s="42">
        <f>IF(AND(Tasks[[#This Row],[_IsLeaf]]=1,Tasks[[#This Row],[_LeafTotalWork]]&gt;0),MAX(Tasks[[#This Row],[_StartWorkday]],NETWORKDAYS.INTL(ProjectStart,Tasks[[#This Row],[_ShownFcstFinish]],WorkWeek,Holidays)),0)</f>
        <v/>
      </c>
      <c r="GA80" s="42">
        <f>IF(AND(Tasks[[#This Row],[_IsLeaf]]=1,Tasks[[#This Row],[_LeafTotalWork]]&gt;0),Tasks[[#This Row],[_LeafWork]]/(Tasks[[#This Row],[_FinishWorkday]]-Tasks[[#This Row],[_StartWorkday]]+1),0)</f>
        <v/>
      </c>
      <c r="GB80" s="42">
        <f>Tasks[[#This Row],[_WorkPerWorkday]]*(Tasks[[#This Row],[_StartWorkday]]-1)</f>
        <v/>
      </c>
      <c r="GC80" s="42">
        <f>IF(Tasks[[#This Row],[_IsLeaf]]=1,MAX(N(Tasks[[#This Row],[_Days]]),0.1),0)</f>
        <v/>
      </c>
      <c r="GD80" s="42">
        <f>Tasks[[#This Row],[_WeightDur]]*Tasks[[#This Row],[_LeafProgress]]</f>
        <v/>
      </c>
      <c r="GE80" s="42">
        <f>Tasks[[#This Row],[_WeightDur]]*Tasks[[#This Row],[_PlannedPct]]</f>
        <v/>
      </c>
      <c r="GF8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0" s="42">
        <f>IF(AND(Tasks[[#This Row],[_IsLeaf]]=1,N(Tasks[[#This Row],[_Days]])=0,Tasks[[#This Row],[_LeafProgress]]&lt;1),Tasks[[#This Row],[_ShownFcstFinish]]+Tasks[[#This Row],[_Row]]/100000,"")</f>
        <v/>
      </c>
      <c r="GH8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0" s="42">
        <f>IF(Tasks[[#This Row],[Task Name]]="","",LEFT(Tasks[[#This Row],[WBS]],FIND(".",Tasks[[#This Row],[WBS]]&amp;".")-1))</f>
        <v/>
      </c>
      <c r="GJ80" s="42">
        <f>IF(AND(Tasks[[#This Row],[Task Name]]&lt;&gt;"",Tasks[[#This Row],[_Level]]=1),Tasks[[#This Row],[_Row]],"")</f>
        <v/>
      </c>
      <c r="GK80" s="42">
        <f>IF(AND(Tasks[[#This Row],[_IsLeaf]]=1,N(Tasks[[#This Row],[_Days]])=0),Tasks[[#This Row],[Planned Finish]]+Tasks[[#This Row],[_Row]]/100000,"")</f>
        <v/>
      </c>
      <c r="GL80" s="42">
        <f>IF(AND(Tasks[[#This Row],[_IsLeaf]]=1,Tasks[[#This Row],[_LeafProgress]]&lt;1,OR(N(Tasks[[#This Row],[Finish Var]])&gt;0,Tasks[[#This Row],[Status]]="Late Start")),MAX(0,Tasks[[#This Row],[Finish Var]])+1-Tasks[[#This Row],[_Row]]/1000000,"")</f>
        <v/>
      </c>
      <c r="GM80" s="42">
        <f>IF(AND(Tasks[[#This Row],[_IsLeaf]]=1,N(Tasks[[#This Row],[Actual Start]])=0,Tasks[[#This Row],[_ShownFcstStart]]&gt;=StatusDate,Tasks[[#This Row],[_ShownFcstStart]]&lt;=LookaheadEnd),Tasks[[#This Row],[_ShownFcstStart]]+Tasks[[#This Row],[_Row]]/100000,"")</f>
        <v/>
      </c>
      <c r="GN80" s="42">
        <f>IF(AND(Tasks[[#This Row],[_IsLeaf]]=1,Tasks[[#This Row],[_LeafProgress]]&lt;1,Tasks[[#This Row],[_ShownFcstFinish]]&gt;=StatusDate,Tasks[[#This Row],[_ShownFcstFinish]]&lt;=LookaheadEnd),Tasks[[#This Row],[_ShownFcstFinish]]+Tasks[[#This Row],[_Row]]/100000,"")</f>
        <v/>
      </c>
      <c r="GO80" s="42">
        <f>IF(Tasks[[#This Row],[_LeafCritical]],Tasks[[#This Row],[_ShownFcstStart]]+Tasks[[#This Row],[_Row]]/100000,"")</f>
        <v/>
      </c>
      <c r="GP80" s="42">
        <f>Tasks[[#This Row],[_LeafWork]]*Tasks[[#This Row],[_LeafProgress]]</f>
        <v/>
      </c>
      <c r="GQ80" s="88">
        <f>IF(AND(Tasks[[#This Row],[_IsLeaf]]=1,Tasks[[#This Row],[_LeafProgress]]&gt;=1),IF(N(Tasks[[#This Row],[Actual Finish]])&gt;0,Tasks[[#This Row],[Actual Finish]],Tasks[[#This Row],[_ShownFcstFinish]]),"")</f>
        <v/>
      </c>
      <c r="GR80" s="42">
        <f>IF(Tasks[[#This Row],[_IsLeaf]]=1,N(Tasks[[#This Row],[Story Points]]),0)</f>
        <v/>
      </c>
      <c r="GS80" s="42">
        <f>""</f>
        <v/>
      </c>
      <c r="GT80" s="42">
        <f>IF(Tasks[[#This Row],[Task Name]]="",FALSE(),AND(Tasks[[#This Row],[_IsLeaf]]=1,N(Tasks[[#This Row],[_Days]])=0))</f>
        <v/>
      </c>
      <c r="GU80" s="88">
        <f>IF(Tasks[[#This Row],[Task Name]]="",0,IF(AND(Tasks[[#This Row],[_IsLeaf]]=1,NOT(Tasks[[#This Row],[_IsMilestone]]),N(Tasks[[#This Row],[Progress]])&gt;0),Tasks[[#This Row],[Start]],0))</f>
        <v/>
      </c>
      <c r="GV80" s="88">
        <f>IF(Tasks[[#This Row],[_DoneFrom]]=0,0,IF(Tasks[[#This Row],[Progress]]&gt;=1,Tasks[[#This Row],[Finish]],MAX(Tasks[[#This Row],[_DoneFrom]],Tasks[[#This Row],[Start]]+ROUND((Tasks[[#This Row],[Finish]]-Tasks[[#This Row],[Start]]+1)*Tasks[[#This Row],[Progress]],0)-1)))</f>
        <v/>
      </c>
      <c r="GW80" s="88">
        <f>IF(Tasks[[#This Row],[Task Name]]="",0,IF(OR(NOT(Tasks[[#This Row],[_IsLeaf]]=1),Tasks[[#This Row],[_IsMilestone]],N(Tasks[[#This Row],[Progress]])&gt;=1),0,IF(Tasks[[#This Row],[_DoneTo]]&gt;0,Tasks[[#This Row],[_DoneTo]]+1,Tasks[[#This Row],[Start]])))</f>
        <v/>
      </c>
      <c r="GX80" s="88">
        <f>IF(Tasks[[#This Row],[_RemFrom]]=0,0,Tasks[[#This Row],[Finish]])</f>
        <v/>
      </c>
      <c r="GY80" s="42">
        <f>IF(Tasks[[#This Row],[Task Name]]="",FALSE(),OR(NOT(BaselineSet),N(Tasks[[#This Row],[Baseline Start]])&gt;0))</f>
        <v/>
      </c>
      <c r="GZ80" s="42">
        <f>IF(AND(Sandbox="Yes",L_PARSE_DURATION(Tasks[[#This Row],[Sandbox Duration]])&lt;&gt;""),L_PARSE_DURATION(Tasks[[#This Row],[Sandbox Duration]]),L_PARSE_DURATION(Tasks[[#This Row],[Duration]]))</f>
        <v/>
      </c>
      <c r="HA8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0" s="42">
        <f>IF(Tasks[[#This Row],[_IsLeaf]]=1,Tasks[[#This Row],[_Row]],"")</f>
        <v/>
      </c>
      <c r="HD80" s="42">
        <f>IFERROR(INDEX(Tasks[UID],SMALL(Tasks[_PickKey],Tasks[[#This Row],[_Row]]))&amp;" "&amp;INDEX(Tasks[Task Name],SMALL(Tasks[_PickKey],Tasks[[#This Row],[_Row]])),"")</f>
        <v/>
      </c>
      <c r="HE80" s="42">
        <f>IF(Tasks[[#This Row],[Task Name]]="","",IF(Tasks[[#This Row],[_IsSummary]],NETWORKDAYS.INTL(Tasks[[#This Row],[Start]],Tasks[[#This Row],[Finish]],WorkWeek,Holidays),N(Tasks[[#This Row],[_Days]])))</f>
        <v/>
      </c>
      <c r="HF80" s="42">
        <f>IF(Tasks[[#This Row],[Expected]]="",0,((Tasks[[#This Row],[Pessimistic]]-Tasks[[#This Row],[Optimistic]])/6)^2)</f>
        <v/>
      </c>
      <c r="HG80" s="42">
        <f>IF(Tasks[[#This Row],[Expected]]="",0,Tasks[[#This Row],[Expected]]-N(Tasks[[#This Row],[_Days]]))</f>
        <v/>
      </c>
    </row>
    <row r="81">
      <c r="A81" s="21">
        <f>IF(Tasks[[#This Row],[Task Name]]="","",COUNTA(Tasks[[#Headers],[Task Name]]:Tasks[[#This Row],[Task Name]])-1)</f>
        <v/>
      </c>
      <c r="B81" s="22" t="n">
        <v>89</v>
      </c>
      <c r="C81" s="22" t="n"/>
      <c r="D81" s="23" t="n"/>
      <c r="E81" s="22" t="n"/>
      <c r="F81" s="23" t="n"/>
      <c r="G81" s="22" t="n"/>
      <c r="H81" s="22" t="n"/>
      <c r="I81" s="23" t="n"/>
      <c r="J81" s="22" t="n"/>
      <c r="K81" s="22" t="n"/>
      <c r="L81" s="23" t="n"/>
      <c r="M81" s="22" t="n"/>
      <c r="N81" s="22" t="n"/>
      <c r="O81" s="23" t="n"/>
      <c r="P81" s="22" t="n"/>
      <c r="Q81" s="22" t="n"/>
      <c r="R81" s="23" t="n"/>
      <c r="S81" s="23" t="n"/>
      <c r="T81" s="82" t="n"/>
      <c r="U81" s="23" t="n"/>
      <c r="V81" s="82" t="n"/>
      <c r="W81" s="23" t="n"/>
      <c r="X81" s="82" t="n"/>
      <c r="Y81" s="23" t="n"/>
      <c r="Z81" s="82" t="n"/>
      <c r="AA81" s="23" t="n"/>
      <c r="AB81" s="23" t="n"/>
      <c r="AC81" s="7" t="n"/>
      <c r="AD81" s="7" t="n"/>
      <c r="AE81" s="61">
        <f>IF(Tasks[[#This Row],[Task Name]]="","",IF(Tasks[[#This Row],[_IsSummary]],MIN(INDEX(Tasks[_ShownFcstStart],Tasks[[#This Row],[_Row]]+1):INDEX(Tasks[_ShownFcstStart],Tasks[[#This Row],[_Row]]+Tasks[[#This Row],[_Descendants]])),Tasks[[#This Row],[_ShownFcstStart]]))</f>
        <v/>
      </c>
      <c r="AF81" s="61">
        <f>IF(Tasks[[#This Row],[Task Name]]="","",IF(Tasks[[#This Row],[_IsSummary]],MAX(INDEX(Tasks[_ShownFcstFinish],Tasks[[#This Row],[_Row]]+1):INDEX(Tasks[_ShownFcstFinish],Tasks[[#This Row],[_Row]]+Tasks[[#This Row],[_Descendants]])),Tasks[[#This Row],[_ShownFcstFinish]]))</f>
        <v/>
      </c>
      <c r="AG81" s="21">
        <f>""</f>
        <v/>
      </c>
      <c r="AH81" s="23" t="n"/>
      <c r="AI8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1" s="7" t="n"/>
      <c r="AK81" s="22" t="n"/>
      <c r="AL81" s="23" t="n"/>
      <c r="AM81" s="7" t="n"/>
      <c r="AN81" s="21">
        <f>IF(Tasks[[#This Row],[Task Name]]="","",IF(Tasks[[#This Row],[Finish]]&gt;=Tasks[[#This Row],[Planned Finish]],NETWORKDAYS.INTL(Tasks[[#This Row],[Planned Finish]],Tasks[[#This Row],[Finish]],WorkWeek,Holidays)-1,1-NETWORKDAYS.INTL(Tasks[[#This Row],[Finish]],Tasks[[#This Row],[Planned Finish]],WorkWeek,Holidays)))</f>
        <v/>
      </c>
      <c r="AO81" s="21">
        <f>IF(Tasks[[#This Row],[Task Name]]="","",IF(Tasks[[#This Row],[Progress]]&gt;=1,"Complete",IF(OR(N(Tasks[[#This Row],[Actual Start]])&gt;0,Tasks[[#This Row],[Progress]]&gt;0),IF(Tasks[[#This Row],[Finish Var]]&gt;0,"Behind","In Progress"),IF(Tasks[[#This Row],[Planned Start]]&lt;StatusDate,"Late Start","Not Started"))))</f>
        <v/>
      </c>
      <c r="AP81" s="21">
        <f>IF(Tasks[[#This Row],[Task Name]]="","",IF(IF(Tasks[[#This Row],[_IsSummary]],COUNTIF(INDEX(Tasks[_LeafCritical],Tasks[[#This Row],[_Row]]+1):INDEX(Tasks[_LeafCritical],Tasks[[#This Row],[_Row]]+Tasks[[#This Row],[_Descendants]]),TRUE())&gt;0,Tasks[[#This Row],[_LeafCritical]]),"Yes",""))</f>
        <v/>
      </c>
      <c r="AQ81" s="61">
        <f>IF(Tasks[[#This Row],[Task Name]]="","",IF(N(Tasks[[#This Row],[Baseline Start]])&gt;0,Tasks[[#This Row],[Baseline Start]],Tasks[[#This Row],[_CalcStart]]))</f>
        <v/>
      </c>
      <c r="AR81" s="61">
        <f>IF(Tasks[[#This Row],[Task Name]]="","",IF(N(Tasks[[#This Row],[Baseline Finish]])&gt;0,Tasks[[#This Row],[Baseline Finish]],Tasks[[#This Row],[_CalcFinish]]))</f>
        <v/>
      </c>
      <c r="AS81" s="21">
        <f>IF(Tasks[[#This Row],[Task Name]]="","",IF(Tasks[[#This Row],[Start]]&gt;=Tasks[[#This Row],[Planned Start]],NETWORKDAYS.INTL(Tasks[[#This Row],[Planned Start]],Tasks[[#This Row],[Start]],WorkWeek,Holidays)-1,1-NETWORKDAYS.INTL(Tasks[[#This Row],[Start]],Tasks[[#This Row],[Planned Start]],WorkWeek,Holidays)))</f>
        <v/>
      </c>
      <c r="AT81" s="61">
        <f>IF(Tasks[[#This Row],[Task Name]]="","",IF(Tasks[[#This Row],[_IsSummary]],MIN(INDEX(Tasks[_LeafLateStart],Tasks[[#This Row],[_Row]]+1):INDEX(Tasks[_LeafLateStart],Tasks[[#This Row],[_Row]]+Tasks[[#This Row],[_Descendants]])),Tasks[[#This Row],[_LeafLateStart]]))</f>
        <v/>
      </c>
      <c r="AU81" s="61">
        <f>IF(Tasks[[#This Row],[Task Name]]="","",IF(Tasks[[#This Row],[_IsSummary]],MAX(INDEX(Tasks[_LeafLateFinish],Tasks[[#This Row],[_Row]]+1):INDEX(Tasks[_LeafLateFinish],Tasks[[#This Row],[_Row]]+Tasks[[#This Row],[_Descendants]])),Tasks[[#This Row],[_LeafLateFinish]]))</f>
        <v/>
      </c>
      <c r="AV81" s="21">
        <f>IF(Tasks[[#This Row],[Task Name]]="","",IF(Tasks[[#This Row],[_IsSummary]],MIN(INDEX(Tasks[_LeafTotalSlack],Tasks[[#This Row],[_Row]]+1):INDEX(Tasks[_LeafTotalSlack],Tasks[[#This Row],[_Row]]+Tasks[[#This Row],[_Descendants]])),Tasks[[#This Row],[_LeafTotalSlack]]))</f>
        <v/>
      </c>
      <c r="AW8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3" t="n"/>
      <c r="BA8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f>IF(Tasks[[#This Row],[Task Name]]="","",IF(Tasks[[#This Row],[_Level]]&lt;=OutlineShowLevel,"Yes","No"))</f>
        <v/>
      </c>
      <c r="BE81" s="84">
        <f>IF(Tasks[[#This Row],[Task Name]]="","",IF(Tasks[[#This Row],[_IsSummary]],SUM(INDEX(Tasks[_LeafTotalWork],Tasks[[#This Row],[_Row]]+1):INDEX(Tasks[_LeafTotalWork],Tasks[[#This Row],[_Row]]+Tasks[[#This Row],[_Descendants]])),Tasks[[#This Row],[_LeafTotalWork]]))</f>
        <v/>
      </c>
      <c r="BF81" s="23" t="n"/>
      <c r="BG8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f>""</f>
        <v/>
      </c>
      <c r="BI81" s="85" t="n"/>
      <c r="BJ81" s="22" t="n"/>
      <c r="BK81" s="21">
        <f>IF(OR(Tasks[[#This Row],[Task Name]]="",Tasks[[#This Row],[Baseline Duration]]=""),"",Tasks[[#This Row],[_SpanDays]]-N(Tasks[[#This Row],[Baseline Duration]]))</f>
        <v/>
      </c>
      <c r="BL81" s="84">
        <f>IF(OR(Tasks[[#This Row],[Task Name]]="",Tasks[[#This Row],[Baseline Work]]=""),"",Tasks[[#This Row],[Work]]-N(Tasks[[#This Row],[Baseline Work]]))</f>
        <v/>
      </c>
      <c r="BM81" s="61">
        <f>IF(Tasks[[#This Row],[Task Name]]="","",IF(OR(TakeBaseline="Yes",N(Tasks[[#This Row],[Baseline Start]])=0),Tasks[[#This Row],[Start]],Tasks[[#This Row],[Baseline Start]]))</f>
        <v/>
      </c>
      <c r="BN81" s="61">
        <f>IF(Tasks[[#This Row],[Task Name]]="","",IF(OR(TakeBaseline="Yes",N(Tasks[[#This Row],[Baseline Finish]])=0),Tasks[[#This Row],[Finish]],Tasks[[#This Row],[Baseline Finish]]))</f>
        <v/>
      </c>
      <c r="BO81" s="21">
        <f>IF(Tasks[[#This Row],[Task Name]]="","",IF(OR(TakeBaseline="Yes",N(Tasks[[#This Row],[Baseline Duration]])=0),Tasks[[#This Row],[_SpanDays]],Tasks[[#This Row],[Baseline Duration]]))</f>
        <v/>
      </c>
      <c r="BP81" s="84">
        <f>IF(Tasks[[#This Row],[Task Name]]="","",IF(OR(TakeBaseline="Yes",N(Tasks[[#This Row],[Baseline Work]])=0),Tasks[[#This Row],[Work]],Tasks[[#This Row],[Baseline Work]]))</f>
        <v/>
      </c>
      <c r="BQ81" s="7" t="n"/>
      <c r="BR81" s="7" t="n"/>
      <c r="BS81" s="22" t="n"/>
      <c r="BT81" s="86" t="n"/>
      <c r="BU81" s="23" t="n"/>
      <c r="BV81" s="23" t="n"/>
      <c r="BW81" s="23" t="n"/>
      <c r="BX81" s="87">
        <f>IF(AND(Tasks[[#This Row],[_IsLeaf]]=1,ISNUMBER(Tasks[[#This Row],[Optimistic]]),ISNUMBER(Tasks[[#This Row],[Pessimistic]])),ROUND((Tasks[[#This Row],[Optimistic]]+4*N(Tasks[[#This Row],[_Days]])+Tasks[[#This Row],[Pessimistic]])/6,1),"")</f>
        <v/>
      </c>
      <c r="BY81" s="85" t="n"/>
      <c r="BZ81" s="85" t="n"/>
      <c r="CA81" s="22" t="n"/>
      <c r="CB81" s="42">
        <f>IF(Tasks[[#This Row],[Task Name]]="","",MAX(1,N(Tasks[[#This Row],[Level]])))</f>
        <v/>
      </c>
      <c r="CC81" s="42">
        <f>ROW()-ROW(Tasks[[#Headers],[ID]])</f>
        <v/>
      </c>
      <c r="CD81" s="42">
        <f>IF(OR(Tasks[[#This Row],[Task Name]]="",Tasks[[#This Row],[_Level]]&lt;=1),0,IFERROR(LOOKUP(2,1/(Tasks[[#Headers],[_Level]]:Tasks[[#This Row],[_Level]]=Tasks[[#This Row],[_Level]]-1),ROW(Tasks[[#Headers],[_Level]]:Tasks[[#This Row],[_Level]])),0))</f>
        <v/>
      </c>
      <c r="CE81" s="42">
        <f>IFERROR(N(INDEX(Tasks[_Level],Tasks[[#This Row],[_Row]]+1)),0)</f>
        <v/>
      </c>
      <c r="CF81" s="42">
        <f>AND(Tasks[[#This Row],[Task Name]]&lt;&gt;"",Tasks[[#This Row],[_NextLevel]]&gt;Tasks[[#This Row],[_Level]])</f>
        <v/>
      </c>
      <c r="CG81" s="42">
        <f>IF(Tasks[[#This Row],[_IsSummary]],COUNTIF(Tasks[WBS],Tasks[[#This Row],[WBS]]&amp;".*"),0)</f>
        <v/>
      </c>
      <c r="CH81" s="42">
        <f>IF(AND(Tasks[[#This Row],[Task Name]]&lt;&gt;"",NOT(Tasks[[#This Row],[_IsSummary]])),1,0)</f>
        <v/>
      </c>
      <c r="CI81" s="42">
        <f>IF(N(Tasks[[#This Row],[_Pred1UID]])=0,0,IFERROR(MATCH(Tasks[[#This Row],[_Pred1UID]],Tasks[UID],0),-1))</f>
        <v/>
      </c>
      <c r="CJ81" s="42">
        <f>IF(N(Tasks[[#This Row],[_Pred2UID]])=0,0,IFERROR(MATCH(Tasks[[#This Row],[_Pred2UID]],Tasks[UID],0),-1))</f>
        <v/>
      </c>
      <c r="CK81" s="42">
        <f>IF(N(Tasks[[#This Row],[_Pred3UID]])=0,0,IFERROR(MATCH(Tasks[[#This Row],[_Pred3UID]],Tasks[UID],0),-1))</f>
        <v/>
      </c>
      <c r="CL81" s="42">
        <f>IF(N(Tasks[[#This Row],[_Pred4UID]])=0,0,IFERROR(MATCH(Tasks[[#This Row],[_Pred4UID]],Tasks[UID],0),-1))</f>
        <v/>
      </c>
      <c r="CM8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1" s="88">
        <f>IF(N(Tasks[[#This Row],[Constraint Date]])=0,0,IF(AND(OR(Tasks[[#This Row],[_ConstraintCode]]=3,Tasks[[#This Row],[_ConstraintCode]]=6,Tasks[[#This Row],[_ConstraintCode]]=7),N(Tasks[[#This Row],[_Days]])&gt;1),WORKDAY.INTL(N(Tasks[[#This Row],[Constraint Date]]),-(N(Tasks[[#This Row],[_Days]])-1),WorkWeek,Holidays),N(Tasks[[#This Row],[Constraint Date]])))</f>
        <v/>
      </c>
      <c r="CO81" s="88">
        <f>IF(OR(Tasks[[#This Row],[_ConstraintCode]]=2,Tasks[[#This Row],[_ConstraintCode]]=3,Tasks[[#This Row],[_ConstraintCode]]=4,Tasks[[#This Row],[_ConstraintCode]]=6),Tasks[[#This Row],[_ConstraintStart]],0)</f>
        <v/>
      </c>
      <c r="CP81" s="88">
        <f>IF(OR(Tasks[[#This Row],[_ConstraintCode]]=2,Tasks[[#This Row],[_ConstraintCode]]=3,Tasks[[#This Row],[_ConstraintCode]]=5,Tasks[[#This Row],[_ConstraintCode]]=7),Tasks[[#This Row],[_ConstraintStart]],2958465)</f>
        <v/>
      </c>
      <c r="CQ8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1" s="88">
        <f>IF(NOT(Tasks[[#This Row],[_IsLeaf]]=1),"",IF(N(Tasks[[#This Row],[_Days]])&lt;=0,Tasks[[#This Row],[_LeafCalcStart]],WORKDAY.INTL(Tasks[[#This Row],[_LeafCalcStart]],Tasks[[#This Row],[_Days]]-1,WorkWeek,Holidays)))</f>
        <v/>
      </c>
      <c r="CS8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1" s="42">
        <f>IF(Tasks[[#This Row],[_Predecessors]]="","",TRIM(MID(SUBSTITUTE(SUBSTITUTE(SUBSTITUTE(UPPER(Tasks[[#This Row],[_Predecessors]]),";",",")," ",""),",",REPT(" ",99)),1,99)))</f>
        <v/>
      </c>
      <c r="CV81" s="42">
        <f>IF(Tasks[[#This Row],[_Pred1Text]]="","",IFERROR(VALUE(LEFT(Tasks[[#This Row],[_Pred1Text]],MIN(FIND("F",Tasks[[#This Row],[_Pred1Text]]&amp;"F"),FIND("S",Tasks[[#This Row],[_Pred1Text]]&amp;"S"),FIND("+",Tasks[[#This Row],[_Pred1Text]]&amp;"+"),FIND("-",Tasks[[#This Row],[_Pred1Text]]&amp;"-"))-1)),""))</f>
        <v/>
      </c>
      <c r="CW8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1" s="42">
        <f>IF(Tasks[[#This Row],[_Pred1Text]]="","",TRIM(MID(SUBSTITUTE(SUBSTITUTE(SUBSTITUTE(UPPER(Tasks[[#This Row],[_Predecessors]]),";",",")," ",""),",",REPT(" ",99)),100,99)))</f>
        <v/>
      </c>
      <c r="CZ81" s="42">
        <f>IF(Tasks[[#This Row],[_Pred2Text]]="","",IFERROR(VALUE(LEFT(Tasks[[#This Row],[_Pred2Text]],MIN(FIND("F",Tasks[[#This Row],[_Pred2Text]]&amp;"F"),FIND("S",Tasks[[#This Row],[_Pred2Text]]&amp;"S"),FIND("+",Tasks[[#This Row],[_Pred2Text]]&amp;"+"),FIND("-",Tasks[[#This Row],[_Pred2Text]]&amp;"-"))-1)),""))</f>
        <v/>
      </c>
      <c r="DA8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1" s="42">
        <f>IF(Tasks[[#This Row],[_Pred2Text]]="","",TRIM(MID(SUBSTITUTE(SUBSTITUTE(SUBSTITUTE(UPPER(Tasks[[#This Row],[_Predecessors]]),";",",")," ",""),",",REPT(" ",99)),199,99)))</f>
        <v/>
      </c>
      <c r="DD81" s="42">
        <f>IF(Tasks[[#This Row],[_Pred3Text]]="","",IFERROR(VALUE(LEFT(Tasks[[#This Row],[_Pred3Text]],MIN(FIND("F",Tasks[[#This Row],[_Pred3Text]]&amp;"F"),FIND("S",Tasks[[#This Row],[_Pred3Text]]&amp;"S"),FIND("+",Tasks[[#This Row],[_Pred3Text]]&amp;"+"),FIND("-",Tasks[[#This Row],[_Pred3Text]]&amp;"-"))-1)),""))</f>
        <v/>
      </c>
      <c r="DE8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1" s="42">
        <f>IF(Tasks[[#This Row],[_Pred3Text]]="","",TRIM(MID(SUBSTITUTE(SUBSTITUTE(SUBSTITUTE(UPPER(Tasks[[#This Row],[_Predecessors]]),";",",")," ",""),",",REPT(" ",99)),298,99)))</f>
        <v/>
      </c>
      <c r="DH81" s="42">
        <f>IF(Tasks[[#This Row],[_Pred4Text]]="","",IFERROR(VALUE(LEFT(Tasks[[#This Row],[_Pred4Text]],MIN(FIND("F",Tasks[[#This Row],[_Pred4Text]]&amp;"F"),FIND("S",Tasks[[#This Row],[_Pred4Text]]&amp;"S"),FIND("+",Tasks[[#This Row],[_Pred4Text]]&amp;"+"),FIND("-",Tasks[[#This Row],[_Pred4Text]]&amp;"-"))-1)),""))</f>
        <v/>
      </c>
      <c r="DI8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1" s="42">
        <f>IF(OR(Tasks[[#This Row],[Task Name]]="",Tasks[[#This Row],[_Resources]]=""),"",TRIM(MID(SUBSTITUTE(Tasks[[#This Row],[_Resources]],",",REPT(" ",99)),1,99)))</f>
        <v/>
      </c>
      <c r="DL81" s="42">
        <f>IF(Tasks[[#This Row],[_Res1Text]]="","",TRIM(MID(SUBSTITUTE(Tasks[[#This Row],[_Resources]],",",REPT(" ",99)),100,99)))</f>
        <v/>
      </c>
      <c r="DM81" s="42">
        <f>IF(Tasks[[#This Row],[_Res2Text]]="","",TRIM(MID(SUBSTITUTE(Tasks[[#This Row],[_Resources]],",",REPT(" ",99)),199,99)))</f>
        <v/>
      </c>
      <c r="DN81" s="42">
        <f>IF(Tasks[[#This Row],[_Res3Text]]="","",TRIM(MID(SUBSTITUTE(Tasks[[#This Row],[_Resources]],",",REPT(" ",99)),298,99)))</f>
        <v/>
      </c>
      <c r="DO81" s="42">
        <f>IF(Tasks[[#This Row],[_Res1Text]]="",0,IFERROR(MATCH(TRIM(LEFT(Tasks[[#This Row],[_Res1Text]],FIND("[",Tasks[[#This Row],[_Res1Text]]&amp;"[")-1)),res_Name,0),IFERROR(MATCH(TRIM(LEFT(Tasks[[#This Row],[_Res1Text]],FIND("[",Tasks[[#This Row],[_Res1Text]]&amp;"[")-1)),res_Initials,0),0)))</f>
        <v/>
      </c>
      <c r="DP81" s="42">
        <f>IF(Tasks[[#This Row],[_Res2Text]]="",0,IFERROR(MATCH(TRIM(LEFT(Tasks[[#This Row],[_Res2Text]],FIND("[",Tasks[[#This Row],[_Res2Text]]&amp;"[")-1)),res_Name,0),IFERROR(MATCH(TRIM(LEFT(Tasks[[#This Row],[_Res2Text]],FIND("[",Tasks[[#This Row],[_Res2Text]]&amp;"[")-1)),res_Initials,0),0)))</f>
        <v/>
      </c>
      <c r="DQ81" s="42">
        <f>IF(Tasks[[#This Row],[_Res3Text]]="",0,IFERROR(MATCH(TRIM(LEFT(Tasks[[#This Row],[_Res3Text]],FIND("[",Tasks[[#This Row],[_Res3Text]]&amp;"[")-1)),res_Name,0),IFERROR(MATCH(TRIM(LEFT(Tasks[[#This Row],[_Res3Text]],FIND("[",Tasks[[#This Row],[_Res3Text]]&amp;"[")-1)),res_Initials,0),0)))</f>
        <v/>
      </c>
      <c r="DR81" s="42">
        <f>IF(Tasks[[#This Row],[_Res4Text]]="",0,IFERROR(MATCH(TRIM(LEFT(Tasks[[#This Row],[_Res4Text]],FIND("[",Tasks[[#This Row],[_Res4Text]]&amp;"[")-1)),res_Name,0),IFERROR(MATCH(TRIM(LEFT(Tasks[[#This Row],[_Res4Text]],FIND("[",Tasks[[#This Row],[_Res4Text]]&amp;"[")-1)),res_Initials,0),0)))</f>
        <v/>
      </c>
      <c r="DS81" s="42">
        <f>IF(Tasks[[#This Row],[_Res1Text]]="","",IF(Tasks[[#This Row],[_Res1Row]]&gt;0,INDEX(res_Name,Tasks[[#This Row],[_Res1Row]]),TRIM(LEFT(Tasks[[#This Row],[_Res1Text]],FIND("[",Tasks[[#This Row],[_Res1Text]]&amp;"[")-1))))</f>
        <v/>
      </c>
      <c r="DT8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1" s="42">
        <f>IF(NOT(Tasks[[#This Row],[_IsLeaf]]=1),0,(Tasks[[#This Row],[_Resource1]]&lt;&gt;"")+(Tasks[[#This Row],[_Res2]]&lt;&gt;"")+(Tasks[[#This Row],[_Res3]]&lt;&gt;"")+(Tasks[[#This Row],[_Res4]]&lt;&gt;""))</f>
        <v/>
      </c>
      <c r="DV81" s="42">
        <f>IF(Tasks[[#This Row],[_Res2Text]]="","",IF(Tasks[[#This Row],[_Res2Row]]&gt;0,INDEX(res_Name,Tasks[[#This Row],[_Res2Row]]),TRIM(LEFT(Tasks[[#This Row],[_Res2Text]],FIND("[",Tasks[[#This Row],[_Res2Text]]&amp;"[")-1))))</f>
        <v/>
      </c>
      <c r="DW8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1" s="42">
        <f>IF(OR(NOT(Tasks[[#This Row],[_IsLeaf]]=1),Tasks[[#This Row],[_Res2Row]]=0),0,N(Tasks[[#This Row],[_Days]])*HoursPerDay*IF(Tasks[[#This Row],[_Res2Units]]="",DefaultUnits,Tasks[[#This Row],[_Res2Units]]))</f>
        <v/>
      </c>
      <c r="DY81" s="42">
        <f>IF(AND(AND(Tasks[[#This Row],[_IsLeaf]]=1,Tasks[[#This Row],[_LeafTotalWork]]&gt;0),Tasks[[#This Row],[_Res2Work]]&gt;0),Tasks[[#This Row],[_Res2Work]]/(Tasks[[#This Row],[_FinishWorkday]]-Tasks[[#This Row],[_StartWorkday]]+1),0)</f>
        <v/>
      </c>
      <c r="DZ81" s="42">
        <f>Tasks[[#This Row],[_Res2WorkPerWD]]*MAX(0,Tasks[[#This Row],[_StartWorkday]]-1)</f>
        <v/>
      </c>
      <c r="EA81" s="42">
        <f>Tasks[[#This Row],[_Res2Work]]*Tasks[[#This Row],[_LeafProgress]]</f>
        <v/>
      </c>
      <c r="EB81" s="42">
        <f>IF(Tasks[[#This Row],[_Res3Text]]="","",IF(Tasks[[#This Row],[_Res3Row]]&gt;0,INDEX(res_Name,Tasks[[#This Row],[_Res3Row]]),TRIM(LEFT(Tasks[[#This Row],[_Res3Text]],FIND("[",Tasks[[#This Row],[_Res3Text]]&amp;"[")-1))))</f>
        <v/>
      </c>
      <c r="EC8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1" s="42">
        <f>IF(OR(NOT(Tasks[[#This Row],[_IsLeaf]]=1),Tasks[[#This Row],[_Res3Row]]=0),0,N(Tasks[[#This Row],[_Days]])*HoursPerDay*IF(Tasks[[#This Row],[_Res3Units]]="",DefaultUnits,Tasks[[#This Row],[_Res3Units]]))</f>
        <v/>
      </c>
      <c r="EE81" s="42">
        <f>IF(AND(AND(Tasks[[#This Row],[_IsLeaf]]=1,Tasks[[#This Row],[_LeafTotalWork]]&gt;0),Tasks[[#This Row],[_Res3Work]]&gt;0),Tasks[[#This Row],[_Res3Work]]/(Tasks[[#This Row],[_FinishWorkday]]-Tasks[[#This Row],[_StartWorkday]]+1),0)</f>
        <v/>
      </c>
      <c r="EF81" s="42">
        <f>Tasks[[#This Row],[_Res3WorkPerWD]]*MAX(0,Tasks[[#This Row],[_StartWorkday]]-1)</f>
        <v/>
      </c>
      <c r="EG81" s="42">
        <f>Tasks[[#This Row],[_Res3Work]]*Tasks[[#This Row],[_LeafProgress]]</f>
        <v/>
      </c>
      <c r="EH81" s="42">
        <f>IF(Tasks[[#This Row],[_Res4Text]]="","",IF(Tasks[[#This Row],[_Res4Row]]&gt;0,INDEX(res_Name,Tasks[[#This Row],[_Res4Row]]),TRIM(LEFT(Tasks[[#This Row],[_Res4Text]],FIND("[",Tasks[[#This Row],[_Res4Text]]&amp;"[")-1))))</f>
        <v/>
      </c>
      <c r="EI8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1" s="42">
        <f>IF(OR(NOT(Tasks[[#This Row],[_IsLeaf]]=1),Tasks[[#This Row],[_Res4Row]]=0),0,N(Tasks[[#This Row],[_Days]])*HoursPerDay*IF(Tasks[[#This Row],[_Res4Units]]="",DefaultUnits,Tasks[[#This Row],[_Res4Units]]))</f>
        <v/>
      </c>
      <c r="EK81" s="42">
        <f>IF(AND(AND(Tasks[[#This Row],[_IsLeaf]]=1,Tasks[[#This Row],[_LeafTotalWork]]&gt;0),Tasks[[#This Row],[_Res4Work]]&gt;0),Tasks[[#This Row],[_Res4Work]]/(Tasks[[#This Row],[_FinishWorkday]]-Tasks[[#This Row],[_StartWorkday]]+1),0)</f>
        <v/>
      </c>
      <c r="EL81" s="42">
        <f>Tasks[[#This Row],[_Res4WorkPerWD]]*MAX(0,Tasks[[#This Row],[_StartWorkday]]-1)</f>
        <v/>
      </c>
      <c r="EM81" s="42">
        <f>Tasks[[#This Row],[_Res4Work]]*Tasks[[#This Row],[_LeafProgress]]</f>
        <v/>
      </c>
      <c r="EN81" s="42">
        <f>IF(ISNUMBER(Tasks[[#This Row],[% Complete]]),Tasks[[#This Row],[% Complete]],IF(Tasks[[#This Row],[Stage]]="",0,IFERROR(INDEX(stg_Pct,MATCH(Tasks[[#This Row],[Stage]],stg_Name,0)),0)))</f>
        <v/>
      </c>
      <c r="EO81" s="42">
        <f>IF(NOT(Tasks[[#This Row],[_IsLeaf]]=1),0,IF(N(Tasks[[#This Row],[Actual Finish]])&gt;0,1,MIN(1,Tasks[[#This Row],[_Pct]])))</f>
        <v/>
      </c>
      <c r="EP81" s="42">
        <f>IF(OR(NOT(Tasks[[#This Row],[_IsLeaf]]=1),Tasks[[#This Row],[_Res1Row]]=0),0,N(Tasks[[#This Row],[_Days]])*HoursPerDay*IF(Tasks[[#This Row],[_Units1]]="",DefaultUnits,Tasks[[#This Row],[_Units1]]))</f>
        <v/>
      </c>
      <c r="EQ81" s="42">
        <f>Tasks[[#This Row],[_LeafWork]]+Tasks[[#This Row],[_Res2Work]]+Tasks[[#This Row],[_Res3Work]]+Tasks[[#This Row],[_Res4Work]]</f>
        <v/>
      </c>
      <c r="ER8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1" s="42">
        <f>IF(NOT(Tasks[[#This Row],[_IsLeaf]]=1),0,MAX(_xlfn.MAXIFS(Tasks[_Row],Tasks[_Pred1UID],Tasks[[#This Row],[UID]]),_xlfn.MAXIFS(Tasks[_Row],Tasks[_Pred2UID],Tasks[[#This Row],[UID]]),_xlfn.MAXIFS(Tasks[_Row],Tasks[_Pred3UID],Tasks[[#This Row],[UID]]),_xlfn.MAXIFS(Tasks[_Row],Tasks[_Pred4UID],Tasks[[#This Row],[UID]])))</f>
        <v/>
      </c>
      <c r="FA8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1" s="88">
        <f>IF(NOT(Tasks[[#This Row],[_IsLeaf]]=1),"",IF(N(Tasks[[#This Row],[_Days]])&lt;=0,Tasks[[#This Row],[_LeafLateFinish]],WORKDAY.INTL(Tasks[[#This Row],[_LeafLateFinish]],-(Tasks[[#This Row],[_Days]]-1),WorkWeek,Holidays)))</f>
        <v/>
      </c>
      <c r="FD8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1" s="42">
        <f>AND(Tasks[[#This Row],[_IsLeaf]]=1,Tasks[[#This Row],[_LeafProgress]]&lt;1,N(Tasks[[#This Row],[_LeafTotalSlack]])&lt;=CriticalSlackDays)</f>
        <v/>
      </c>
      <c r="FF81" s="42">
        <f>IF(AND(Tasks[[#This Row],[_IsLeaf]]=1,Tasks[[#This Row],[_ConstraintCode]]=1,Tasks[[#This Row],[Mode]]&lt;&gt;"Manual",N(Tasks[[#This Row],[Actual Start]])=0),MAX(0,N(Tasks[[#This Row],[Free Slack]])),0)</f>
        <v/>
      </c>
      <c r="FG81" s="88">
        <f>IF(NOT(Tasks[[#This Row],[_IsLeaf]]=1),"",IF(Tasks[[#This Row],[_AlapShift]]=0,Tasks[[#This Row],[_LeafCalcStart]],WORKDAY.INTL(Tasks[[#This Row],[_LeafCalcStart]],Tasks[[#This Row],[_AlapShift]],WorkWeek,Holidays)))</f>
        <v/>
      </c>
      <c r="FH81" s="88">
        <f>IF(NOT(Tasks[[#This Row],[_IsLeaf]]=1),"",IF(Tasks[[#This Row],[_AlapShift]]=0,Tasks[[#This Row],[_LeafCalcFinish]],WORKDAY.INTL(Tasks[[#This Row],[_LeafCalcFinish]],Tasks[[#This Row],[_AlapShift]],WorkWeek,Holidays)))</f>
        <v/>
      </c>
      <c r="FI81" s="88">
        <f>IF(NOT(Tasks[[#This Row],[_IsLeaf]]=1),"",IF(Tasks[[#This Row],[_AlapShift]]=0,Tasks[[#This Row],[_LeafFcstStart]],WORKDAY.INTL(Tasks[[#This Row],[_LeafFcstStart]],Tasks[[#This Row],[_AlapShift]],WorkWeek,Holidays)))</f>
        <v/>
      </c>
      <c r="FJ81" s="88">
        <f>IF(NOT(Tasks[[#This Row],[_IsLeaf]]=1),"",IF(Tasks[[#This Row],[_AlapShift]]=0,Tasks[[#This Row],[_LeafFcstFinish]],WORKDAY.INTL(Tasks[[#This Row],[_LeafFcstFinish]],Tasks[[#This Row],[_AlapShift]],WorkWeek,Holidays)))</f>
        <v/>
      </c>
      <c r="FK81" s="88">
        <f>IF(Tasks[[#This Row],[Task Name]]="","",IF(Tasks[[#This Row],[_IsSummary]],MIN(INDEX(Tasks[_ShownCalcStart],Tasks[[#This Row],[_Row]]+1):INDEX(Tasks[_ShownCalcStart],Tasks[[#This Row],[_Row]]+Tasks[[#This Row],[_Descendants]])),Tasks[[#This Row],[_ShownCalcStart]]))</f>
        <v/>
      </c>
      <c r="FL81" s="88">
        <f>IF(Tasks[[#This Row],[Task Name]]="","",IF(Tasks[[#This Row],[_IsSummary]],MAX(INDEX(Tasks[_ShownCalcFinish],Tasks[[#This Row],[_Row]]+1):INDEX(Tasks[_ShownCalcFinish],Tasks[[#This Row],[_Row]]+Tasks[[#This Row],[_Descendants]])),Tasks[[#This Row],[_ShownCalcFinish]]))</f>
        <v/>
      </c>
      <c r="FM8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1" s="42">
        <f>IF(AND(Tasks[[#This Row],[_IsLeaf]]=1,Tasks[[#This Row],[_LeafTotalWork]]&gt;0),NETWORKDAYS.INTL(ProjectStart,Tasks[[#This Row],[_ShownFcstStart]],WorkWeek,Holidays),0)</f>
        <v/>
      </c>
      <c r="FZ81" s="42">
        <f>IF(AND(Tasks[[#This Row],[_IsLeaf]]=1,Tasks[[#This Row],[_LeafTotalWork]]&gt;0),MAX(Tasks[[#This Row],[_StartWorkday]],NETWORKDAYS.INTL(ProjectStart,Tasks[[#This Row],[_ShownFcstFinish]],WorkWeek,Holidays)),0)</f>
        <v/>
      </c>
      <c r="GA81" s="42">
        <f>IF(AND(Tasks[[#This Row],[_IsLeaf]]=1,Tasks[[#This Row],[_LeafTotalWork]]&gt;0),Tasks[[#This Row],[_LeafWork]]/(Tasks[[#This Row],[_FinishWorkday]]-Tasks[[#This Row],[_StartWorkday]]+1),0)</f>
        <v/>
      </c>
      <c r="GB81" s="42">
        <f>Tasks[[#This Row],[_WorkPerWorkday]]*(Tasks[[#This Row],[_StartWorkday]]-1)</f>
        <v/>
      </c>
      <c r="GC81" s="42">
        <f>IF(Tasks[[#This Row],[_IsLeaf]]=1,MAX(N(Tasks[[#This Row],[_Days]]),0.1),0)</f>
        <v/>
      </c>
      <c r="GD81" s="42">
        <f>Tasks[[#This Row],[_WeightDur]]*Tasks[[#This Row],[_LeafProgress]]</f>
        <v/>
      </c>
      <c r="GE81" s="42">
        <f>Tasks[[#This Row],[_WeightDur]]*Tasks[[#This Row],[_PlannedPct]]</f>
        <v/>
      </c>
      <c r="GF8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1" s="42">
        <f>IF(AND(Tasks[[#This Row],[_IsLeaf]]=1,N(Tasks[[#This Row],[_Days]])=0,Tasks[[#This Row],[_LeafProgress]]&lt;1),Tasks[[#This Row],[_ShownFcstFinish]]+Tasks[[#This Row],[_Row]]/100000,"")</f>
        <v/>
      </c>
      <c r="GH8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1" s="42">
        <f>IF(Tasks[[#This Row],[Task Name]]="","",LEFT(Tasks[[#This Row],[WBS]],FIND(".",Tasks[[#This Row],[WBS]]&amp;".")-1))</f>
        <v/>
      </c>
      <c r="GJ81" s="42">
        <f>IF(AND(Tasks[[#This Row],[Task Name]]&lt;&gt;"",Tasks[[#This Row],[_Level]]=1),Tasks[[#This Row],[_Row]],"")</f>
        <v/>
      </c>
      <c r="GK81" s="42">
        <f>IF(AND(Tasks[[#This Row],[_IsLeaf]]=1,N(Tasks[[#This Row],[_Days]])=0),Tasks[[#This Row],[Planned Finish]]+Tasks[[#This Row],[_Row]]/100000,"")</f>
        <v/>
      </c>
      <c r="GL81" s="42">
        <f>IF(AND(Tasks[[#This Row],[_IsLeaf]]=1,Tasks[[#This Row],[_LeafProgress]]&lt;1,OR(N(Tasks[[#This Row],[Finish Var]])&gt;0,Tasks[[#This Row],[Status]]="Late Start")),MAX(0,Tasks[[#This Row],[Finish Var]])+1-Tasks[[#This Row],[_Row]]/1000000,"")</f>
        <v/>
      </c>
      <c r="GM81" s="42">
        <f>IF(AND(Tasks[[#This Row],[_IsLeaf]]=1,N(Tasks[[#This Row],[Actual Start]])=0,Tasks[[#This Row],[_ShownFcstStart]]&gt;=StatusDate,Tasks[[#This Row],[_ShownFcstStart]]&lt;=LookaheadEnd),Tasks[[#This Row],[_ShownFcstStart]]+Tasks[[#This Row],[_Row]]/100000,"")</f>
        <v/>
      </c>
      <c r="GN81" s="42">
        <f>IF(AND(Tasks[[#This Row],[_IsLeaf]]=1,Tasks[[#This Row],[_LeafProgress]]&lt;1,Tasks[[#This Row],[_ShownFcstFinish]]&gt;=StatusDate,Tasks[[#This Row],[_ShownFcstFinish]]&lt;=LookaheadEnd),Tasks[[#This Row],[_ShownFcstFinish]]+Tasks[[#This Row],[_Row]]/100000,"")</f>
        <v/>
      </c>
      <c r="GO81" s="42">
        <f>IF(Tasks[[#This Row],[_LeafCritical]],Tasks[[#This Row],[_ShownFcstStart]]+Tasks[[#This Row],[_Row]]/100000,"")</f>
        <v/>
      </c>
      <c r="GP81" s="42">
        <f>Tasks[[#This Row],[_LeafWork]]*Tasks[[#This Row],[_LeafProgress]]</f>
        <v/>
      </c>
      <c r="GQ81" s="88">
        <f>IF(AND(Tasks[[#This Row],[_IsLeaf]]=1,Tasks[[#This Row],[_LeafProgress]]&gt;=1),IF(N(Tasks[[#This Row],[Actual Finish]])&gt;0,Tasks[[#This Row],[Actual Finish]],Tasks[[#This Row],[_ShownFcstFinish]]),"")</f>
        <v/>
      </c>
      <c r="GR81" s="42">
        <f>IF(Tasks[[#This Row],[_IsLeaf]]=1,N(Tasks[[#This Row],[Story Points]]),0)</f>
        <v/>
      </c>
      <c r="GS81" s="42">
        <f>""</f>
        <v/>
      </c>
      <c r="GT81" s="42">
        <f>IF(Tasks[[#This Row],[Task Name]]="",FALSE(),AND(Tasks[[#This Row],[_IsLeaf]]=1,N(Tasks[[#This Row],[_Days]])=0))</f>
        <v/>
      </c>
      <c r="GU81" s="88">
        <f>IF(Tasks[[#This Row],[Task Name]]="",0,IF(AND(Tasks[[#This Row],[_IsLeaf]]=1,NOT(Tasks[[#This Row],[_IsMilestone]]),N(Tasks[[#This Row],[Progress]])&gt;0),Tasks[[#This Row],[Start]],0))</f>
        <v/>
      </c>
      <c r="GV81" s="88">
        <f>IF(Tasks[[#This Row],[_DoneFrom]]=0,0,IF(Tasks[[#This Row],[Progress]]&gt;=1,Tasks[[#This Row],[Finish]],MAX(Tasks[[#This Row],[_DoneFrom]],Tasks[[#This Row],[Start]]+ROUND((Tasks[[#This Row],[Finish]]-Tasks[[#This Row],[Start]]+1)*Tasks[[#This Row],[Progress]],0)-1)))</f>
        <v/>
      </c>
      <c r="GW81" s="88">
        <f>IF(Tasks[[#This Row],[Task Name]]="",0,IF(OR(NOT(Tasks[[#This Row],[_IsLeaf]]=1),Tasks[[#This Row],[_IsMilestone]],N(Tasks[[#This Row],[Progress]])&gt;=1),0,IF(Tasks[[#This Row],[_DoneTo]]&gt;0,Tasks[[#This Row],[_DoneTo]]+1,Tasks[[#This Row],[Start]])))</f>
        <v/>
      </c>
      <c r="GX81" s="88">
        <f>IF(Tasks[[#This Row],[_RemFrom]]=0,0,Tasks[[#This Row],[Finish]])</f>
        <v/>
      </c>
      <c r="GY81" s="42">
        <f>IF(Tasks[[#This Row],[Task Name]]="",FALSE(),OR(NOT(BaselineSet),N(Tasks[[#This Row],[Baseline Start]])&gt;0))</f>
        <v/>
      </c>
      <c r="GZ81" s="42">
        <f>IF(AND(Sandbox="Yes",L_PARSE_DURATION(Tasks[[#This Row],[Sandbox Duration]])&lt;&gt;""),L_PARSE_DURATION(Tasks[[#This Row],[Sandbox Duration]]),L_PARSE_DURATION(Tasks[[#This Row],[Duration]]))</f>
        <v/>
      </c>
      <c r="HA8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1" s="42">
        <f>IF(Tasks[[#This Row],[_IsLeaf]]=1,Tasks[[#This Row],[_Row]],"")</f>
        <v/>
      </c>
      <c r="HD81" s="42">
        <f>IFERROR(INDEX(Tasks[UID],SMALL(Tasks[_PickKey],Tasks[[#This Row],[_Row]]))&amp;" "&amp;INDEX(Tasks[Task Name],SMALL(Tasks[_PickKey],Tasks[[#This Row],[_Row]])),"")</f>
        <v/>
      </c>
      <c r="HE81" s="42">
        <f>IF(Tasks[[#This Row],[Task Name]]="","",IF(Tasks[[#This Row],[_IsSummary]],NETWORKDAYS.INTL(Tasks[[#This Row],[Start]],Tasks[[#This Row],[Finish]],WorkWeek,Holidays),N(Tasks[[#This Row],[_Days]])))</f>
        <v/>
      </c>
      <c r="HF81" s="42">
        <f>IF(Tasks[[#This Row],[Expected]]="",0,((Tasks[[#This Row],[Pessimistic]]-Tasks[[#This Row],[Optimistic]])/6)^2)</f>
        <v/>
      </c>
      <c r="HG81" s="42">
        <f>IF(Tasks[[#This Row],[Expected]]="",0,Tasks[[#This Row],[Expected]]-N(Tasks[[#This Row],[_Days]]))</f>
        <v/>
      </c>
    </row>
    <row r="82">
      <c r="A82" s="21">
        <f>IF(Tasks[[#This Row],[Task Name]]="","",COUNTA(Tasks[[#Headers],[Task Name]]:Tasks[[#This Row],[Task Name]])-1)</f>
        <v/>
      </c>
      <c r="B82" s="22" t="n">
        <v>90</v>
      </c>
      <c r="C82" s="22" t="n"/>
      <c r="D82" s="23" t="n"/>
      <c r="E82" s="22" t="n"/>
      <c r="F82" s="23" t="n"/>
      <c r="G82" s="22" t="n"/>
      <c r="H82" s="22" t="n"/>
      <c r="I82" s="23" t="n"/>
      <c r="J82" s="22" t="n"/>
      <c r="K82" s="22" t="n"/>
      <c r="L82" s="23" t="n"/>
      <c r="M82" s="22" t="n"/>
      <c r="N82" s="22" t="n"/>
      <c r="O82" s="23" t="n"/>
      <c r="P82" s="22" t="n"/>
      <c r="Q82" s="22" t="n"/>
      <c r="R82" s="23" t="n"/>
      <c r="S82" s="23" t="n"/>
      <c r="T82" s="82" t="n"/>
      <c r="U82" s="23" t="n"/>
      <c r="V82" s="82" t="n"/>
      <c r="W82" s="23" t="n"/>
      <c r="X82" s="82" t="n"/>
      <c r="Y82" s="23" t="n"/>
      <c r="Z82" s="82" t="n"/>
      <c r="AA82" s="23" t="n"/>
      <c r="AB82" s="23" t="n"/>
      <c r="AC82" s="7" t="n"/>
      <c r="AD82" s="7" t="n"/>
      <c r="AE82" s="61">
        <f>IF(Tasks[[#This Row],[Task Name]]="","",IF(Tasks[[#This Row],[_IsSummary]],MIN(INDEX(Tasks[_ShownFcstStart],Tasks[[#This Row],[_Row]]+1):INDEX(Tasks[_ShownFcstStart],Tasks[[#This Row],[_Row]]+Tasks[[#This Row],[_Descendants]])),Tasks[[#This Row],[_ShownFcstStart]]))</f>
        <v/>
      </c>
      <c r="AF82" s="61">
        <f>IF(Tasks[[#This Row],[Task Name]]="","",IF(Tasks[[#This Row],[_IsSummary]],MAX(INDEX(Tasks[_ShownFcstFinish],Tasks[[#This Row],[_Row]]+1):INDEX(Tasks[_ShownFcstFinish],Tasks[[#This Row],[_Row]]+Tasks[[#This Row],[_Descendants]])),Tasks[[#This Row],[_ShownFcstFinish]]))</f>
        <v/>
      </c>
      <c r="AG82" s="21">
        <f>""</f>
        <v/>
      </c>
      <c r="AH82" s="23" t="n"/>
      <c r="AI8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2" s="7" t="n"/>
      <c r="AK82" s="22" t="n"/>
      <c r="AL82" s="23" t="n"/>
      <c r="AM82" s="7" t="n"/>
      <c r="AN82" s="21">
        <f>IF(Tasks[[#This Row],[Task Name]]="","",IF(Tasks[[#This Row],[Finish]]&gt;=Tasks[[#This Row],[Planned Finish]],NETWORKDAYS.INTL(Tasks[[#This Row],[Planned Finish]],Tasks[[#This Row],[Finish]],WorkWeek,Holidays)-1,1-NETWORKDAYS.INTL(Tasks[[#This Row],[Finish]],Tasks[[#This Row],[Planned Finish]],WorkWeek,Holidays)))</f>
        <v/>
      </c>
      <c r="AO82" s="21">
        <f>IF(Tasks[[#This Row],[Task Name]]="","",IF(Tasks[[#This Row],[Progress]]&gt;=1,"Complete",IF(OR(N(Tasks[[#This Row],[Actual Start]])&gt;0,Tasks[[#This Row],[Progress]]&gt;0),IF(Tasks[[#This Row],[Finish Var]]&gt;0,"Behind","In Progress"),IF(Tasks[[#This Row],[Planned Start]]&lt;StatusDate,"Late Start","Not Started"))))</f>
        <v/>
      </c>
      <c r="AP82" s="21">
        <f>IF(Tasks[[#This Row],[Task Name]]="","",IF(IF(Tasks[[#This Row],[_IsSummary]],COUNTIF(INDEX(Tasks[_LeafCritical],Tasks[[#This Row],[_Row]]+1):INDEX(Tasks[_LeafCritical],Tasks[[#This Row],[_Row]]+Tasks[[#This Row],[_Descendants]]),TRUE())&gt;0,Tasks[[#This Row],[_LeafCritical]]),"Yes",""))</f>
        <v/>
      </c>
      <c r="AQ82" s="61">
        <f>IF(Tasks[[#This Row],[Task Name]]="","",IF(N(Tasks[[#This Row],[Baseline Start]])&gt;0,Tasks[[#This Row],[Baseline Start]],Tasks[[#This Row],[_CalcStart]]))</f>
        <v/>
      </c>
      <c r="AR82" s="61">
        <f>IF(Tasks[[#This Row],[Task Name]]="","",IF(N(Tasks[[#This Row],[Baseline Finish]])&gt;0,Tasks[[#This Row],[Baseline Finish]],Tasks[[#This Row],[_CalcFinish]]))</f>
        <v/>
      </c>
      <c r="AS82" s="21">
        <f>IF(Tasks[[#This Row],[Task Name]]="","",IF(Tasks[[#This Row],[Start]]&gt;=Tasks[[#This Row],[Planned Start]],NETWORKDAYS.INTL(Tasks[[#This Row],[Planned Start]],Tasks[[#This Row],[Start]],WorkWeek,Holidays)-1,1-NETWORKDAYS.INTL(Tasks[[#This Row],[Start]],Tasks[[#This Row],[Planned Start]],WorkWeek,Holidays)))</f>
        <v/>
      </c>
      <c r="AT82" s="61">
        <f>IF(Tasks[[#This Row],[Task Name]]="","",IF(Tasks[[#This Row],[_IsSummary]],MIN(INDEX(Tasks[_LeafLateStart],Tasks[[#This Row],[_Row]]+1):INDEX(Tasks[_LeafLateStart],Tasks[[#This Row],[_Row]]+Tasks[[#This Row],[_Descendants]])),Tasks[[#This Row],[_LeafLateStart]]))</f>
        <v/>
      </c>
      <c r="AU82" s="61">
        <f>IF(Tasks[[#This Row],[Task Name]]="","",IF(Tasks[[#This Row],[_IsSummary]],MAX(INDEX(Tasks[_LeafLateFinish],Tasks[[#This Row],[_Row]]+1):INDEX(Tasks[_LeafLateFinish],Tasks[[#This Row],[_Row]]+Tasks[[#This Row],[_Descendants]])),Tasks[[#This Row],[_LeafLateFinish]]))</f>
        <v/>
      </c>
      <c r="AV82" s="21">
        <f>IF(Tasks[[#This Row],[Task Name]]="","",IF(Tasks[[#This Row],[_IsSummary]],MIN(INDEX(Tasks[_LeafTotalSlack],Tasks[[#This Row],[_Row]]+1):INDEX(Tasks[_LeafTotalSlack],Tasks[[#This Row],[_Row]]+Tasks[[#This Row],[_Descendants]])),Tasks[[#This Row],[_LeafTotalSlack]]))</f>
        <v/>
      </c>
      <c r="AW8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3" t="n"/>
      <c r="BA8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f>IF(Tasks[[#This Row],[Task Name]]="","",IF(Tasks[[#This Row],[_Level]]&lt;=OutlineShowLevel,"Yes","No"))</f>
        <v/>
      </c>
      <c r="BE82" s="84">
        <f>IF(Tasks[[#This Row],[Task Name]]="","",IF(Tasks[[#This Row],[_IsSummary]],SUM(INDEX(Tasks[_LeafTotalWork],Tasks[[#This Row],[_Row]]+1):INDEX(Tasks[_LeafTotalWork],Tasks[[#This Row],[_Row]]+Tasks[[#This Row],[_Descendants]])),Tasks[[#This Row],[_LeafTotalWork]]))</f>
        <v/>
      </c>
      <c r="BF82" s="23" t="n"/>
      <c r="BG8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f>""</f>
        <v/>
      </c>
      <c r="BI82" s="85" t="n"/>
      <c r="BJ82" s="22" t="n"/>
      <c r="BK82" s="21">
        <f>IF(OR(Tasks[[#This Row],[Task Name]]="",Tasks[[#This Row],[Baseline Duration]]=""),"",Tasks[[#This Row],[_SpanDays]]-N(Tasks[[#This Row],[Baseline Duration]]))</f>
        <v/>
      </c>
      <c r="BL82" s="84">
        <f>IF(OR(Tasks[[#This Row],[Task Name]]="",Tasks[[#This Row],[Baseline Work]]=""),"",Tasks[[#This Row],[Work]]-N(Tasks[[#This Row],[Baseline Work]]))</f>
        <v/>
      </c>
      <c r="BM82" s="61">
        <f>IF(Tasks[[#This Row],[Task Name]]="","",IF(OR(TakeBaseline="Yes",N(Tasks[[#This Row],[Baseline Start]])=0),Tasks[[#This Row],[Start]],Tasks[[#This Row],[Baseline Start]]))</f>
        <v/>
      </c>
      <c r="BN82" s="61">
        <f>IF(Tasks[[#This Row],[Task Name]]="","",IF(OR(TakeBaseline="Yes",N(Tasks[[#This Row],[Baseline Finish]])=0),Tasks[[#This Row],[Finish]],Tasks[[#This Row],[Baseline Finish]]))</f>
        <v/>
      </c>
      <c r="BO82" s="21">
        <f>IF(Tasks[[#This Row],[Task Name]]="","",IF(OR(TakeBaseline="Yes",N(Tasks[[#This Row],[Baseline Duration]])=0),Tasks[[#This Row],[_SpanDays]],Tasks[[#This Row],[Baseline Duration]]))</f>
        <v/>
      </c>
      <c r="BP82" s="84">
        <f>IF(Tasks[[#This Row],[Task Name]]="","",IF(OR(TakeBaseline="Yes",N(Tasks[[#This Row],[Baseline Work]])=0),Tasks[[#This Row],[Work]],Tasks[[#This Row],[Baseline Work]]))</f>
        <v/>
      </c>
      <c r="BQ82" s="7" t="n"/>
      <c r="BR82" s="7" t="n"/>
      <c r="BS82" s="22" t="n"/>
      <c r="BT82" s="86" t="n"/>
      <c r="BU82" s="23" t="n"/>
      <c r="BV82" s="23" t="n"/>
      <c r="BW82" s="23" t="n"/>
      <c r="BX82" s="87">
        <f>IF(AND(Tasks[[#This Row],[_IsLeaf]]=1,ISNUMBER(Tasks[[#This Row],[Optimistic]]),ISNUMBER(Tasks[[#This Row],[Pessimistic]])),ROUND((Tasks[[#This Row],[Optimistic]]+4*N(Tasks[[#This Row],[_Days]])+Tasks[[#This Row],[Pessimistic]])/6,1),"")</f>
        <v/>
      </c>
      <c r="BY82" s="85" t="n"/>
      <c r="BZ82" s="85" t="n"/>
      <c r="CA82" s="22" t="n"/>
      <c r="CB82" s="42">
        <f>IF(Tasks[[#This Row],[Task Name]]="","",MAX(1,N(Tasks[[#This Row],[Level]])))</f>
        <v/>
      </c>
      <c r="CC82" s="42">
        <f>ROW()-ROW(Tasks[[#Headers],[ID]])</f>
        <v/>
      </c>
      <c r="CD82" s="42">
        <f>IF(OR(Tasks[[#This Row],[Task Name]]="",Tasks[[#This Row],[_Level]]&lt;=1),0,IFERROR(LOOKUP(2,1/(Tasks[[#Headers],[_Level]]:Tasks[[#This Row],[_Level]]=Tasks[[#This Row],[_Level]]-1),ROW(Tasks[[#Headers],[_Level]]:Tasks[[#This Row],[_Level]])),0))</f>
        <v/>
      </c>
      <c r="CE82" s="42">
        <f>IFERROR(N(INDEX(Tasks[_Level],Tasks[[#This Row],[_Row]]+1)),0)</f>
        <v/>
      </c>
      <c r="CF82" s="42">
        <f>AND(Tasks[[#This Row],[Task Name]]&lt;&gt;"",Tasks[[#This Row],[_NextLevel]]&gt;Tasks[[#This Row],[_Level]])</f>
        <v/>
      </c>
      <c r="CG82" s="42">
        <f>IF(Tasks[[#This Row],[_IsSummary]],COUNTIF(Tasks[WBS],Tasks[[#This Row],[WBS]]&amp;".*"),0)</f>
        <v/>
      </c>
      <c r="CH82" s="42">
        <f>IF(AND(Tasks[[#This Row],[Task Name]]&lt;&gt;"",NOT(Tasks[[#This Row],[_IsSummary]])),1,0)</f>
        <v/>
      </c>
      <c r="CI82" s="42">
        <f>IF(N(Tasks[[#This Row],[_Pred1UID]])=0,0,IFERROR(MATCH(Tasks[[#This Row],[_Pred1UID]],Tasks[UID],0),-1))</f>
        <v/>
      </c>
      <c r="CJ82" s="42">
        <f>IF(N(Tasks[[#This Row],[_Pred2UID]])=0,0,IFERROR(MATCH(Tasks[[#This Row],[_Pred2UID]],Tasks[UID],0),-1))</f>
        <v/>
      </c>
      <c r="CK82" s="42">
        <f>IF(N(Tasks[[#This Row],[_Pred3UID]])=0,0,IFERROR(MATCH(Tasks[[#This Row],[_Pred3UID]],Tasks[UID],0),-1))</f>
        <v/>
      </c>
      <c r="CL82" s="42">
        <f>IF(N(Tasks[[#This Row],[_Pred4UID]])=0,0,IFERROR(MATCH(Tasks[[#This Row],[_Pred4UID]],Tasks[UID],0),-1))</f>
        <v/>
      </c>
      <c r="CM8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2" s="88">
        <f>IF(N(Tasks[[#This Row],[Constraint Date]])=0,0,IF(AND(OR(Tasks[[#This Row],[_ConstraintCode]]=3,Tasks[[#This Row],[_ConstraintCode]]=6,Tasks[[#This Row],[_ConstraintCode]]=7),N(Tasks[[#This Row],[_Days]])&gt;1),WORKDAY.INTL(N(Tasks[[#This Row],[Constraint Date]]),-(N(Tasks[[#This Row],[_Days]])-1),WorkWeek,Holidays),N(Tasks[[#This Row],[Constraint Date]])))</f>
        <v/>
      </c>
      <c r="CO82" s="88">
        <f>IF(OR(Tasks[[#This Row],[_ConstraintCode]]=2,Tasks[[#This Row],[_ConstraintCode]]=3,Tasks[[#This Row],[_ConstraintCode]]=4,Tasks[[#This Row],[_ConstraintCode]]=6),Tasks[[#This Row],[_ConstraintStart]],0)</f>
        <v/>
      </c>
      <c r="CP82" s="88">
        <f>IF(OR(Tasks[[#This Row],[_ConstraintCode]]=2,Tasks[[#This Row],[_ConstraintCode]]=3,Tasks[[#This Row],[_ConstraintCode]]=5,Tasks[[#This Row],[_ConstraintCode]]=7),Tasks[[#This Row],[_ConstraintStart]],2958465)</f>
        <v/>
      </c>
      <c r="CQ8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2" s="88">
        <f>IF(NOT(Tasks[[#This Row],[_IsLeaf]]=1),"",IF(N(Tasks[[#This Row],[_Days]])&lt;=0,Tasks[[#This Row],[_LeafCalcStart]],WORKDAY.INTL(Tasks[[#This Row],[_LeafCalcStart]],Tasks[[#This Row],[_Days]]-1,WorkWeek,Holidays)))</f>
        <v/>
      </c>
      <c r="CS8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2" s="42">
        <f>IF(Tasks[[#This Row],[_Predecessors]]="","",TRIM(MID(SUBSTITUTE(SUBSTITUTE(SUBSTITUTE(UPPER(Tasks[[#This Row],[_Predecessors]]),";",",")," ",""),",",REPT(" ",99)),1,99)))</f>
        <v/>
      </c>
      <c r="CV82" s="42">
        <f>IF(Tasks[[#This Row],[_Pred1Text]]="","",IFERROR(VALUE(LEFT(Tasks[[#This Row],[_Pred1Text]],MIN(FIND("F",Tasks[[#This Row],[_Pred1Text]]&amp;"F"),FIND("S",Tasks[[#This Row],[_Pred1Text]]&amp;"S"),FIND("+",Tasks[[#This Row],[_Pred1Text]]&amp;"+"),FIND("-",Tasks[[#This Row],[_Pred1Text]]&amp;"-"))-1)),""))</f>
        <v/>
      </c>
      <c r="CW8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2" s="42">
        <f>IF(Tasks[[#This Row],[_Pred1Text]]="","",TRIM(MID(SUBSTITUTE(SUBSTITUTE(SUBSTITUTE(UPPER(Tasks[[#This Row],[_Predecessors]]),";",",")," ",""),",",REPT(" ",99)),100,99)))</f>
        <v/>
      </c>
      <c r="CZ82" s="42">
        <f>IF(Tasks[[#This Row],[_Pred2Text]]="","",IFERROR(VALUE(LEFT(Tasks[[#This Row],[_Pred2Text]],MIN(FIND("F",Tasks[[#This Row],[_Pred2Text]]&amp;"F"),FIND("S",Tasks[[#This Row],[_Pred2Text]]&amp;"S"),FIND("+",Tasks[[#This Row],[_Pred2Text]]&amp;"+"),FIND("-",Tasks[[#This Row],[_Pred2Text]]&amp;"-"))-1)),""))</f>
        <v/>
      </c>
      <c r="DA8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2" s="42">
        <f>IF(Tasks[[#This Row],[_Pred2Text]]="","",TRIM(MID(SUBSTITUTE(SUBSTITUTE(SUBSTITUTE(UPPER(Tasks[[#This Row],[_Predecessors]]),";",",")," ",""),",",REPT(" ",99)),199,99)))</f>
        <v/>
      </c>
      <c r="DD82" s="42">
        <f>IF(Tasks[[#This Row],[_Pred3Text]]="","",IFERROR(VALUE(LEFT(Tasks[[#This Row],[_Pred3Text]],MIN(FIND("F",Tasks[[#This Row],[_Pred3Text]]&amp;"F"),FIND("S",Tasks[[#This Row],[_Pred3Text]]&amp;"S"),FIND("+",Tasks[[#This Row],[_Pred3Text]]&amp;"+"),FIND("-",Tasks[[#This Row],[_Pred3Text]]&amp;"-"))-1)),""))</f>
        <v/>
      </c>
      <c r="DE8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2" s="42">
        <f>IF(Tasks[[#This Row],[_Pred3Text]]="","",TRIM(MID(SUBSTITUTE(SUBSTITUTE(SUBSTITUTE(UPPER(Tasks[[#This Row],[_Predecessors]]),";",",")," ",""),",",REPT(" ",99)),298,99)))</f>
        <v/>
      </c>
      <c r="DH82" s="42">
        <f>IF(Tasks[[#This Row],[_Pred4Text]]="","",IFERROR(VALUE(LEFT(Tasks[[#This Row],[_Pred4Text]],MIN(FIND("F",Tasks[[#This Row],[_Pred4Text]]&amp;"F"),FIND("S",Tasks[[#This Row],[_Pred4Text]]&amp;"S"),FIND("+",Tasks[[#This Row],[_Pred4Text]]&amp;"+"),FIND("-",Tasks[[#This Row],[_Pred4Text]]&amp;"-"))-1)),""))</f>
        <v/>
      </c>
      <c r="DI8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2" s="42">
        <f>IF(OR(Tasks[[#This Row],[Task Name]]="",Tasks[[#This Row],[_Resources]]=""),"",TRIM(MID(SUBSTITUTE(Tasks[[#This Row],[_Resources]],",",REPT(" ",99)),1,99)))</f>
        <v/>
      </c>
      <c r="DL82" s="42">
        <f>IF(Tasks[[#This Row],[_Res1Text]]="","",TRIM(MID(SUBSTITUTE(Tasks[[#This Row],[_Resources]],",",REPT(" ",99)),100,99)))</f>
        <v/>
      </c>
      <c r="DM82" s="42">
        <f>IF(Tasks[[#This Row],[_Res2Text]]="","",TRIM(MID(SUBSTITUTE(Tasks[[#This Row],[_Resources]],",",REPT(" ",99)),199,99)))</f>
        <v/>
      </c>
      <c r="DN82" s="42">
        <f>IF(Tasks[[#This Row],[_Res3Text]]="","",TRIM(MID(SUBSTITUTE(Tasks[[#This Row],[_Resources]],",",REPT(" ",99)),298,99)))</f>
        <v/>
      </c>
      <c r="DO82" s="42">
        <f>IF(Tasks[[#This Row],[_Res1Text]]="",0,IFERROR(MATCH(TRIM(LEFT(Tasks[[#This Row],[_Res1Text]],FIND("[",Tasks[[#This Row],[_Res1Text]]&amp;"[")-1)),res_Name,0),IFERROR(MATCH(TRIM(LEFT(Tasks[[#This Row],[_Res1Text]],FIND("[",Tasks[[#This Row],[_Res1Text]]&amp;"[")-1)),res_Initials,0),0)))</f>
        <v/>
      </c>
      <c r="DP82" s="42">
        <f>IF(Tasks[[#This Row],[_Res2Text]]="",0,IFERROR(MATCH(TRIM(LEFT(Tasks[[#This Row],[_Res2Text]],FIND("[",Tasks[[#This Row],[_Res2Text]]&amp;"[")-1)),res_Name,0),IFERROR(MATCH(TRIM(LEFT(Tasks[[#This Row],[_Res2Text]],FIND("[",Tasks[[#This Row],[_Res2Text]]&amp;"[")-1)),res_Initials,0),0)))</f>
        <v/>
      </c>
      <c r="DQ82" s="42">
        <f>IF(Tasks[[#This Row],[_Res3Text]]="",0,IFERROR(MATCH(TRIM(LEFT(Tasks[[#This Row],[_Res3Text]],FIND("[",Tasks[[#This Row],[_Res3Text]]&amp;"[")-1)),res_Name,0),IFERROR(MATCH(TRIM(LEFT(Tasks[[#This Row],[_Res3Text]],FIND("[",Tasks[[#This Row],[_Res3Text]]&amp;"[")-1)),res_Initials,0),0)))</f>
        <v/>
      </c>
      <c r="DR82" s="42">
        <f>IF(Tasks[[#This Row],[_Res4Text]]="",0,IFERROR(MATCH(TRIM(LEFT(Tasks[[#This Row],[_Res4Text]],FIND("[",Tasks[[#This Row],[_Res4Text]]&amp;"[")-1)),res_Name,0),IFERROR(MATCH(TRIM(LEFT(Tasks[[#This Row],[_Res4Text]],FIND("[",Tasks[[#This Row],[_Res4Text]]&amp;"[")-1)),res_Initials,0),0)))</f>
        <v/>
      </c>
      <c r="DS82" s="42">
        <f>IF(Tasks[[#This Row],[_Res1Text]]="","",IF(Tasks[[#This Row],[_Res1Row]]&gt;0,INDEX(res_Name,Tasks[[#This Row],[_Res1Row]]),TRIM(LEFT(Tasks[[#This Row],[_Res1Text]],FIND("[",Tasks[[#This Row],[_Res1Text]]&amp;"[")-1))))</f>
        <v/>
      </c>
      <c r="DT8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2" s="42">
        <f>IF(NOT(Tasks[[#This Row],[_IsLeaf]]=1),0,(Tasks[[#This Row],[_Resource1]]&lt;&gt;"")+(Tasks[[#This Row],[_Res2]]&lt;&gt;"")+(Tasks[[#This Row],[_Res3]]&lt;&gt;"")+(Tasks[[#This Row],[_Res4]]&lt;&gt;""))</f>
        <v/>
      </c>
      <c r="DV82" s="42">
        <f>IF(Tasks[[#This Row],[_Res2Text]]="","",IF(Tasks[[#This Row],[_Res2Row]]&gt;0,INDEX(res_Name,Tasks[[#This Row],[_Res2Row]]),TRIM(LEFT(Tasks[[#This Row],[_Res2Text]],FIND("[",Tasks[[#This Row],[_Res2Text]]&amp;"[")-1))))</f>
        <v/>
      </c>
      <c r="DW8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2" s="42">
        <f>IF(OR(NOT(Tasks[[#This Row],[_IsLeaf]]=1),Tasks[[#This Row],[_Res2Row]]=0),0,N(Tasks[[#This Row],[_Days]])*HoursPerDay*IF(Tasks[[#This Row],[_Res2Units]]="",DefaultUnits,Tasks[[#This Row],[_Res2Units]]))</f>
        <v/>
      </c>
      <c r="DY82" s="42">
        <f>IF(AND(AND(Tasks[[#This Row],[_IsLeaf]]=1,Tasks[[#This Row],[_LeafTotalWork]]&gt;0),Tasks[[#This Row],[_Res2Work]]&gt;0),Tasks[[#This Row],[_Res2Work]]/(Tasks[[#This Row],[_FinishWorkday]]-Tasks[[#This Row],[_StartWorkday]]+1),0)</f>
        <v/>
      </c>
      <c r="DZ82" s="42">
        <f>Tasks[[#This Row],[_Res2WorkPerWD]]*MAX(0,Tasks[[#This Row],[_StartWorkday]]-1)</f>
        <v/>
      </c>
      <c r="EA82" s="42">
        <f>Tasks[[#This Row],[_Res2Work]]*Tasks[[#This Row],[_LeafProgress]]</f>
        <v/>
      </c>
      <c r="EB82" s="42">
        <f>IF(Tasks[[#This Row],[_Res3Text]]="","",IF(Tasks[[#This Row],[_Res3Row]]&gt;0,INDEX(res_Name,Tasks[[#This Row],[_Res3Row]]),TRIM(LEFT(Tasks[[#This Row],[_Res3Text]],FIND("[",Tasks[[#This Row],[_Res3Text]]&amp;"[")-1))))</f>
        <v/>
      </c>
      <c r="EC8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2" s="42">
        <f>IF(OR(NOT(Tasks[[#This Row],[_IsLeaf]]=1),Tasks[[#This Row],[_Res3Row]]=0),0,N(Tasks[[#This Row],[_Days]])*HoursPerDay*IF(Tasks[[#This Row],[_Res3Units]]="",DefaultUnits,Tasks[[#This Row],[_Res3Units]]))</f>
        <v/>
      </c>
      <c r="EE82" s="42">
        <f>IF(AND(AND(Tasks[[#This Row],[_IsLeaf]]=1,Tasks[[#This Row],[_LeafTotalWork]]&gt;0),Tasks[[#This Row],[_Res3Work]]&gt;0),Tasks[[#This Row],[_Res3Work]]/(Tasks[[#This Row],[_FinishWorkday]]-Tasks[[#This Row],[_StartWorkday]]+1),0)</f>
        <v/>
      </c>
      <c r="EF82" s="42">
        <f>Tasks[[#This Row],[_Res3WorkPerWD]]*MAX(0,Tasks[[#This Row],[_StartWorkday]]-1)</f>
        <v/>
      </c>
      <c r="EG82" s="42">
        <f>Tasks[[#This Row],[_Res3Work]]*Tasks[[#This Row],[_LeafProgress]]</f>
        <v/>
      </c>
      <c r="EH82" s="42">
        <f>IF(Tasks[[#This Row],[_Res4Text]]="","",IF(Tasks[[#This Row],[_Res4Row]]&gt;0,INDEX(res_Name,Tasks[[#This Row],[_Res4Row]]),TRIM(LEFT(Tasks[[#This Row],[_Res4Text]],FIND("[",Tasks[[#This Row],[_Res4Text]]&amp;"[")-1))))</f>
        <v/>
      </c>
      <c r="EI8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2" s="42">
        <f>IF(OR(NOT(Tasks[[#This Row],[_IsLeaf]]=1),Tasks[[#This Row],[_Res4Row]]=0),0,N(Tasks[[#This Row],[_Days]])*HoursPerDay*IF(Tasks[[#This Row],[_Res4Units]]="",DefaultUnits,Tasks[[#This Row],[_Res4Units]]))</f>
        <v/>
      </c>
      <c r="EK82" s="42">
        <f>IF(AND(AND(Tasks[[#This Row],[_IsLeaf]]=1,Tasks[[#This Row],[_LeafTotalWork]]&gt;0),Tasks[[#This Row],[_Res4Work]]&gt;0),Tasks[[#This Row],[_Res4Work]]/(Tasks[[#This Row],[_FinishWorkday]]-Tasks[[#This Row],[_StartWorkday]]+1),0)</f>
        <v/>
      </c>
      <c r="EL82" s="42">
        <f>Tasks[[#This Row],[_Res4WorkPerWD]]*MAX(0,Tasks[[#This Row],[_StartWorkday]]-1)</f>
        <v/>
      </c>
      <c r="EM82" s="42">
        <f>Tasks[[#This Row],[_Res4Work]]*Tasks[[#This Row],[_LeafProgress]]</f>
        <v/>
      </c>
      <c r="EN82" s="42">
        <f>IF(ISNUMBER(Tasks[[#This Row],[% Complete]]),Tasks[[#This Row],[% Complete]],IF(Tasks[[#This Row],[Stage]]="",0,IFERROR(INDEX(stg_Pct,MATCH(Tasks[[#This Row],[Stage]],stg_Name,0)),0)))</f>
        <v/>
      </c>
      <c r="EO82" s="42">
        <f>IF(NOT(Tasks[[#This Row],[_IsLeaf]]=1),0,IF(N(Tasks[[#This Row],[Actual Finish]])&gt;0,1,MIN(1,Tasks[[#This Row],[_Pct]])))</f>
        <v/>
      </c>
      <c r="EP82" s="42">
        <f>IF(OR(NOT(Tasks[[#This Row],[_IsLeaf]]=1),Tasks[[#This Row],[_Res1Row]]=0),0,N(Tasks[[#This Row],[_Days]])*HoursPerDay*IF(Tasks[[#This Row],[_Units1]]="",DefaultUnits,Tasks[[#This Row],[_Units1]]))</f>
        <v/>
      </c>
      <c r="EQ82" s="42">
        <f>Tasks[[#This Row],[_LeafWork]]+Tasks[[#This Row],[_Res2Work]]+Tasks[[#This Row],[_Res3Work]]+Tasks[[#This Row],[_Res4Work]]</f>
        <v/>
      </c>
      <c r="ER8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2" s="42">
        <f>IF(NOT(Tasks[[#This Row],[_IsLeaf]]=1),0,MAX(_xlfn.MAXIFS(Tasks[_Row],Tasks[_Pred1UID],Tasks[[#This Row],[UID]]),_xlfn.MAXIFS(Tasks[_Row],Tasks[_Pred2UID],Tasks[[#This Row],[UID]]),_xlfn.MAXIFS(Tasks[_Row],Tasks[_Pred3UID],Tasks[[#This Row],[UID]]),_xlfn.MAXIFS(Tasks[_Row],Tasks[_Pred4UID],Tasks[[#This Row],[UID]])))</f>
        <v/>
      </c>
      <c r="FA8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2" s="88">
        <f>IF(NOT(Tasks[[#This Row],[_IsLeaf]]=1),"",IF(N(Tasks[[#This Row],[_Days]])&lt;=0,Tasks[[#This Row],[_LeafLateFinish]],WORKDAY.INTL(Tasks[[#This Row],[_LeafLateFinish]],-(Tasks[[#This Row],[_Days]]-1),WorkWeek,Holidays)))</f>
        <v/>
      </c>
      <c r="FD8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2" s="42">
        <f>AND(Tasks[[#This Row],[_IsLeaf]]=1,Tasks[[#This Row],[_LeafProgress]]&lt;1,N(Tasks[[#This Row],[_LeafTotalSlack]])&lt;=CriticalSlackDays)</f>
        <v/>
      </c>
      <c r="FF82" s="42">
        <f>IF(AND(Tasks[[#This Row],[_IsLeaf]]=1,Tasks[[#This Row],[_ConstraintCode]]=1,Tasks[[#This Row],[Mode]]&lt;&gt;"Manual",N(Tasks[[#This Row],[Actual Start]])=0),MAX(0,N(Tasks[[#This Row],[Free Slack]])),0)</f>
        <v/>
      </c>
      <c r="FG82" s="88">
        <f>IF(NOT(Tasks[[#This Row],[_IsLeaf]]=1),"",IF(Tasks[[#This Row],[_AlapShift]]=0,Tasks[[#This Row],[_LeafCalcStart]],WORKDAY.INTL(Tasks[[#This Row],[_LeafCalcStart]],Tasks[[#This Row],[_AlapShift]],WorkWeek,Holidays)))</f>
        <v/>
      </c>
      <c r="FH82" s="88">
        <f>IF(NOT(Tasks[[#This Row],[_IsLeaf]]=1),"",IF(Tasks[[#This Row],[_AlapShift]]=0,Tasks[[#This Row],[_LeafCalcFinish]],WORKDAY.INTL(Tasks[[#This Row],[_LeafCalcFinish]],Tasks[[#This Row],[_AlapShift]],WorkWeek,Holidays)))</f>
        <v/>
      </c>
      <c r="FI82" s="88">
        <f>IF(NOT(Tasks[[#This Row],[_IsLeaf]]=1),"",IF(Tasks[[#This Row],[_AlapShift]]=0,Tasks[[#This Row],[_LeafFcstStart]],WORKDAY.INTL(Tasks[[#This Row],[_LeafFcstStart]],Tasks[[#This Row],[_AlapShift]],WorkWeek,Holidays)))</f>
        <v/>
      </c>
      <c r="FJ82" s="88">
        <f>IF(NOT(Tasks[[#This Row],[_IsLeaf]]=1),"",IF(Tasks[[#This Row],[_AlapShift]]=0,Tasks[[#This Row],[_LeafFcstFinish]],WORKDAY.INTL(Tasks[[#This Row],[_LeafFcstFinish]],Tasks[[#This Row],[_AlapShift]],WorkWeek,Holidays)))</f>
        <v/>
      </c>
      <c r="FK82" s="88">
        <f>IF(Tasks[[#This Row],[Task Name]]="","",IF(Tasks[[#This Row],[_IsSummary]],MIN(INDEX(Tasks[_ShownCalcStart],Tasks[[#This Row],[_Row]]+1):INDEX(Tasks[_ShownCalcStart],Tasks[[#This Row],[_Row]]+Tasks[[#This Row],[_Descendants]])),Tasks[[#This Row],[_ShownCalcStart]]))</f>
        <v/>
      </c>
      <c r="FL82" s="88">
        <f>IF(Tasks[[#This Row],[Task Name]]="","",IF(Tasks[[#This Row],[_IsSummary]],MAX(INDEX(Tasks[_ShownCalcFinish],Tasks[[#This Row],[_Row]]+1):INDEX(Tasks[_ShownCalcFinish],Tasks[[#This Row],[_Row]]+Tasks[[#This Row],[_Descendants]])),Tasks[[#This Row],[_ShownCalcFinish]]))</f>
        <v/>
      </c>
      <c r="FM8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2" s="42">
        <f>IF(AND(Tasks[[#This Row],[_IsLeaf]]=1,Tasks[[#This Row],[_LeafTotalWork]]&gt;0),NETWORKDAYS.INTL(ProjectStart,Tasks[[#This Row],[_ShownFcstStart]],WorkWeek,Holidays),0)</f>
        <v/>
      </c>
      <c r="FZ82" s="42">
        <f>IF(AND(Tasks[[#This Row],[_IsLeaf]]=1,Tasks[[#This Row],[_LeafTotalWork]]&gt;0),MAX(Tasks[[#This Row],[_StartWorkday]],NETWORKDAYS.INTL(ProjectStart,Tasks[[#This Row],[_ShownFcstFinish]],WorkWeek,Holidays)),0)</f>
        <v/>
      </c>
      <c r="GA82" s="42">
        <f>IF(AND(Tasks[[#This Row],[_IsLeaf]]=1,Tasks[[#This Row],[_LeafTotalWork]]&gt;0),Tasks[[#This Row],[_LeafWork]]/(Tasks[[#This Row],[_FinishWorkday]]-Tasks[[#This Row],[_StartWorkday]]+1),0)</f>
        <v/>
      </c>
      <c r="GB82" s="42">
        <f>Tasks[[#This Row],[_WorkPerWorkday]]*(Tasks[[#This Row],[_StartWorkday]]-1)</f>
        <v/>
      </c>
      <c r="GC82" s="42">
        <f>IF(Tasks[[#This Row],[_IsLeaf]]=1,MAX(N(Tasks[[#This Row],[_Days]]),0.1),0)</f>
        <v/>
      </c>
      <c r="GD82" s="42">
        <f>Tasks[[#This Row],[_WeightDur]]*Tasks[[#This Row],[_LeafProgress]]</f>
        <v/>
      </c>
      <c r="GE82" s="42">
        <f>Tasks[[#This Row],[_WeightDur]]*Tasks[[#This Row],[_PlannedPct]]</f>
        <v/>
      </c>
      <c r="GF8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2" s="42">
        <f>IF(AND(Tasks[[#This Row],[_IsLeaf]]=1,N(Tasks[[#This Row],[_Days]])=0,Tasks[[#This Row],[_LeafProgress]]&lt;1),Tasks[[#This Row],[_ShownFcstFinish]]+Tasks[[#This Row],[_Row]]/100000,"")</f>
        <v/>
      </c>
      <c r="GH8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2" s="42">
        <f>IF(Tasks[[#This Row],[Task Name]]="","",LEFT(Tasks[[#This Row],[WBS]],FIND(".",Tasks[[#This Row],[WBS]]&amp;".")-1))</f>
        <v/>
      </c>
      <c r="GJ82" s="42">
        <f>IF(AND(Tasks[[#This Row],[Task Name]]&lt;&gt;"",Tasks[[#This Row],[_Level]]=1),Tasks[[#This Row],[_Row]],"")</f>
        <v/>
      </c>
      <c r="GK82" s="42">
        <f>IF(AND(Tasks[[#This Row],[_IsLeaf]]=1,N(Tasks[[#This Row],[_Days]])=0),Tasks[[#This Row],[Planned Finish]]+Tasks[[#This Row],[_Row]]/100000,"")</f>
        <v/>
      </c>
      <c r="GL82" s="42">
        <f>IF(AND(Tasks[[#This Row],[_IsLeaf]]=1,Tasks[[#This Row],[_LeafProgress]]&lt;1,OR(N(Tasks[[#This Row],[Finish Var]])&gt;0,Tasks[[#This Row],[Status]]="Late Start")),MAX(0,Tasks[[#This Row],[Finish Var]])+1-Tasks[[#This Row],[_Row]]/1000000,"")</f>
        <v/>
      </c>
      <c r="GM82" s="42">
        <f>IF(AND(Tasks[[#This Row],[_IsLeaf]]=1,N(Tasks[[#This Row],[Actual Start]])=0,Tasks[[#This Row],[_ShownFcstStart]]&gt;=StatusDate,Tasks[[#This Row],[_ShownFcstStart]]&lt;=LookaheadEnd),Tasks[[#This Row],[_ShownFcstStart]]+Tasks[[#This Row],[_Row]]/100000,"")</f>
        <v/>
      </c>
      <c r="GN82" s="42">
        <f>IF(AND(Tasks[[#This Row],[_IsLeaf]]=1,Tasks[[#This Row],[_LeafProgress]]&lt;1,Tasks[[#This Row],[_ShownFcstFinish]]&gt;=StatusDate,Tasks[[#This Row],[_ShownFcstFinish]]&lt;=LookaheadEnd),Tasks[[#This Row],[_ShownFcstFinish]]+Tasks[[#This Row],[_Row]]/100000,"")</f>
        <v/>
      </c>
      <c r="GO82" s="42">
        <f>IF(Tasks[[#This Row],[_LeafCritical]],Tasks[[#This Row],[_ShownFcstStart]]+Tasks[[#This Row],[_Row]]/100000,"")</f>
        <v/>
      </c>
      <c r="GP82" s="42">
        <f>Tasks[[#This Row],[_LeafWork]]*Tasks[[#This Row],[_LeafProgress]]</f>
        <v/>
      </c>
      <c r="GQ82" s="88">
        <f>IF(AND(Tasks[[#This Row],[_IsLeaf]]=1,Tasks[[#This Row],[_LeafProgress]]&gt;=1),IF(N(Tasks[[#This Row],[Actual Finish]])&gt;0,Tasks[[#This Row],[Actual Finish]],Tasks[[#This Row],[_ShownFcstFinish]]),"")</f>
        <v/>
      </c>
      <c r="GR82" s="42">
        <f>IF(Tasks[[#This Row],[_IsLeaf]]=1,N(Tasks[[#This Row],[Story Points]]),0)</f>
        <v/>
      </c>
      <c r="GS82" s="42">
        <f>""</f>
        <v/>
      </c>
      <c r="GT82" s="42">
        <f>IF(Tasks[[#This Row],[Task Name]]="",FALSE(),AND(Tasks[[#This Row],[_IsLeaf]]=1,N(Tasks[[#This Row],[_Days]])=0))</f>
        <v/>
      </c>
      <c r="GU82" s="88">
        <f>IF(Tasks[[#This Row],[Task Name]]="",0,IF(AND(Tasks[[#This Row],[_IsLeaf]]=1,NOT(Tasks[[#This Row],[_IsMilestone]]),N(Tasks[[#This Row],[Progress]])&gt;0),Tasks[[#This Row],[Start]],0))</f>
        <v/>
      </c>
      <c r="GV82" s="88">
        <f>IF(Tasks[[#This Row],[_DoneFrom]]=0,0,IF(Tasks[[#This Row],[Progress]]&gt;=1,Tasks[[#This Row],[Finish]],MAX(Tasks[[#This Row],[_DoneFrom]],Tasks[[#This Row],[Start]]+ROUND((Tasks[[#This Row],[Finish]]-Tasks[[#This Row],[Start]]+1)*Tasks[[#This Row],[Progress]],0)-1)))</f>
        <v/>
      </c>
      <c r="GW82" s="88">
        <f>IF(Tasks[[#This Row],[Task Name]]="",0,IF(OR(NOT(Tasks[[#This Row],[_IsLeaf]]=1),Tasks[[#This Row],[_IsMilestone]],N(Tasks[[#This Row],[Progress]])&gt;=1),0,IF(Tasks[[#This Row],[_DoneTo]]&gt;0,Tasks[[#This Row],[_DoneTo]]+1,Tasks[[#This Row],[Start]])))</f>
        <v/>
      </c>
      <c r="GX82" s="88">
        <f>IF(Tasks[[#This Row],[_RemFrom]]=0,0,Tasks[[#This Row],[Finish]])</f>
        <v/>
      </c>
      <c r="GY82" s="42">
        <f>IF(Tasks[[#This Row],[Task Name]]="",FALSE(),OR(NOT(BaselineSet),N(Tasks[[#This Row],[Baseline Start]])&gt;0))</f>
        <v/>
      </c>
      <c r="GZ82" s="42">
        <f>IF(AND(Sandbox="Yes",L_PARSE_DURATION(Tasks[[#This Row],[Sandbox Duration]])&lt;&gt;""),L_PARSE_DURATION(Tasks[[#This Row],[Sandbox Duration]]),L_PARSE_DURATION(Tasks[[#This Row],[Duration]]))</f>
        <v/>
      </c>
      <c r="HA8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2" s="42">
        <f>IF(Tasks[[#This Row],[_IsLeaf]]=1,Tasks[[#This Row],[_Row]],"")</f>
        <v/>
      </c>
      <c r="HD82" s="42">
        <f>IFERROR(INDEX(Tasks[UID],SMALL(Tasks[_PickKey],Tasks[[#This Row],[_Row]]))&amp;" "&amp;INDEX(Tasks[Task Name],SMALL(Tasks[_PickKey],Tasks[[#This Row],[_Row]])),"")</f>
        <v/>
      </c>
      <c r="HE82" s="42">
        <f>IF(Tasks[[#This Row],[Task Name]]="","",IF(Tasks[[#This Row],[_IsSummary]],NETWORKDAYS.INTL(Tasks[[#This Row],[Start]],Tasks[[#This Row],[Finish]],WorkWeek,Holidays),N(Tasks[[#This Row],[_Days]])))</f>
        <v/>
      </c>
      <c r="HF82" s="42">
        <f>IF(Tasks[[#This Row],[Expected]]="",0,((Tasks[[#This Row],[Pessimistic]]-Tasks[[#This Row],[Optimistic]])/6)^2)</f>
        <v/>
      </c>
      <c r="HG82" s="42">
        <f>IF(Tasks[[#This Row],[Expected]]="",0,Tasks[[#This Row],[Expected]]-N(Tasks[[#This Row],[_Days]]))</f>
        <v/>
      </c>
    </row>
    <row r="83">
      <c r="A83" s="21">
        <f>IF(Tasks[[#This Row],[Task Name]]="","",COUNTA(Tasks[[#Headers],[Task Name]]:Tasks[[#This Row],[Task Name]])-1)</f>
        <v/>
      </c>
      <c r="B83" s="22" t="n">
        <v>91</v>
      </c>
      <c r="C83" s="22" t="n"/>
      <c r="D83" s="23" t="n"/>
      <c r="E83" s="22" t="n"/>
      <c r="F83" s="23" t="n"/>
      <c r="G83" s="22" t="n"/>
      <c r="H83" s="22" t="n"/>
      <c r="I83" s="23" t="n"/>
      <c r="J83" s="22" t="n"/>
      <c r="K83" s="22" t="n"/>
      <c r="L83" s="23" t="n"/>
      <c r="M83" s="22" t="n"/>
      <c r="N83" s="22" t="n"/>
      <c r="O83" s="23" t="n"/>
      <c r="P83" s="22" t="n"/>
      <c r="Q83" s="22" t="n"/>
      <c r="R83" s="23" t="n"/>
      <c r="S83" s="23" t="n"/>
      <c r="T83" s="82" t="n"/>
      <c r="U83" s="23" t="n"/>
      <c r="V83" s="82" t="n"/>
      <c r="W83" s="23" t="n"/>
      <c r="X83" s="82" t="n"/>
      <c r="Y83" s="23" t="n"/>
      <c r="Z83" s="82" t="n"/>
      <c r="AA83" s="23" t="n"/>
      <c r="AB83" s="23" t="n"/>
      <c r="AC83" s="7" t="n"/>
      <c r="AD83" s="7" t="n"/>
      <c r="AE83" s="61">
        <f>IF(Tasks[[#This Row],[Task Name]]="","",IF(Tasks[[#This Row],[_IsSummary]],MIN(INDEX(Tasks[_ShownFcstStart],Tasks[[#This Row],[_Row]]+1):INDEX(Tasks[_ShownFcstStart],Tasks[[#This Row],[_Row]]+Tasks[[#This Row],[_Descendants]])),Tasks[[#This Row],[_ShownFcstStart]]))</f>
        <v/>
      </c>
      <c r="AF83" s="61">
        <f>IF(Tasks[[#This Row],[Task Name]]="","",IF(Tasks[[#This Row],[_IsSummary]],MAX(INDEX(Tasks[_ShownFcstFinish],Tasks[[#This Row],[_Row]]+1):INDEX(Tasks[_ShownFcstFinish],Tasks[[#This Row],[_Row]]+Tasks[[#This Row],[_Descendants]])),Tasks[[#This Row],[_ShownFcstFinish]]))</f>
        <v/>
      </c>
      <c r="AG83" s="21">
        <f>""</f>
        <v/>
      </c>
      <c r="AH83" s="23" t="n"/>
      <c r="AI8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3" s="7" t="n"/>
      <c r="AK83" s="22" t="n"/>
      <c r="AL83" s="23" t="n"/>
      <c r="AM83" s="7" t="n"/>
      <c r="AN83" s="21">
        <f>IF(Tasks[[#This Row],[Task Name]]="","",IF(Tasks[[#This Row],[Finish]]&gt;=Tasks[[#This Row],[Planned Finish]],NETWORKDAYS.INTL(Tasks[[#This Row],[Planned Finish]],Tasks[[#This Row],[Finish]],WorkWeek,Holidays)-1,1-NETWORKDAYS.INTL(Tasks[[#This Row],[Finish]],Tasks[[#This Row],[Planned Finish]],WorkWeek,Holidays)))</f>
        <v/>
      </c>
      <c r="AO83" s="21">
        <f>IF(Tasks[[#This Row],[Task Name]]="","",IF(Tasks[[#This Row],[Progress]]&gt;=1,"Complete",IF(OR(N(Tasks[[#This Row],[Actual Start]])&gt;0,Tasks[[#This Row],[Progress]]&gt;0),IF(Tasks[[#This Row],[Finish Var]]&gt;0,"Behind","In Progress"),IF(Tasks[[#This Row],[Planned Start]]&lt;StatusDate,"Late Start","Not Started"))))</f>
        <v/>
      </c>
      <c r="AP83" s="21">
        <f>IF(Tasks[[#This Row],[Task Name]]="","",IF(IF(Tasks[[#This Row],[_IsSummary]],COUNTIF(INDEX(Tasks[_LeafCritical],Tasks[[#This Row],[_Row]]+1):INDEX(Tasks[_LeafCritical],Tasks[[#This Row],[_Row]]+Tasks[[#This Row],[_Descendants]]),TRUE())&gt;0,Tasks[[#This Row],[_LeafCritical]]),"Yes",""))</f>
        <v/>
      </c>
      <c r="AQ83" s="61">
        <f>IF(Tasks[[#This Row],[Task Name]]="","",IF(N(Tasks[[#This Row],[Baseline Start]])&gt;0,Tasks[[#This Row],[Baseline Start]],Tasks[[#This Row],[_CalcStart]]))</f>
        <v/>
      </c>
      <c r="AR83" s="61">
        <f>IF(Tasks[[#This Row],[Task Name]]="","",IF(N(Tasks[[#This Row],[Baseline Finish]])&gt;0,Tasks[[#This Row],[Baseline Finish]],Tasks[[#This Row],[_CalcFinish]]))</f>
        <v/>
      </c>
      <c r="AS83" s="21">
        <f>IF(Tasks[[#This Row],[Task Name]]="","",IF(Tasks[[#This Row],[Start]]&gt;=Tasks[[#This Row],[Planned Start]],NETWORKDAYS.INTL(Tasks[[#This Row],[Planned Start]],Tasks[[#This Row],[Start]],WorkWeek,Holidays)-1,1-NETWORKDAYS.INTL(Tasks[[#This Row],[Start]],Tasks[[#This Row],[Planned Start]],WorkWeek,Holidays)))</f>
        <v/>
      </c>
      <c r="AT83" s="61">
        <f>IF(Tasks[[#This Row],[Task Name]]="","",IF(Tasks[[#This Row],[_IsSummary]],MIN(INDEX(Tasks[_LeafLateStart],Tasks[[#This Row],[_Row]]+1):INDEX(Tasks[_LeafLateStart],Tasks[[#This Row],[_Row]]+Tasks[[#This Row],[_Descendants]])),Tasks[[#This Row],[_LeafLateStart]]))</f>
        <v/>
      </c>
      <c r="AU83" s="61">
        <f>IF(Tasks[[#This Row],[Task Name]]="","",IF(Tasks[[#This Row],[_IsSummary]],MAX(INDEX(Tasks[_LeafLateFinish],Tasks[[#This Row],[_Row]]+1):INDEX(Tasks[_LeafLateFinish],Tasks[[#This Row],[_Row]]+Tasks[[#This Row],[_Descendants]])),Tasks[[#This Row],[_LeafLateFinish]]))</f>
        <v/>
      </c>
      <c r="AV83" s="21">
        <f>IF(Tasks[[#This Row],[Task Name]]="","",IF(Tasks[[#This Row],[_IsSummary]],MIN(INDEX(Tasks[_LeafTotalSlack],Tasks[[#This Row],[_Row]]+1):INDEX(Tasks[_LeafTotalSlack],Tasks[[#This Row],[_Row]]+Tasks[[#This Row],[_Descendants]])),Tasks[[#This Row],[_LeafTotalSlack]]))</f>
        <v/>
      </c>
      <c r="AW8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3" t="n"/>
      <c r="BA8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f>IF(Tasks[[#This Row],[Task Name]]="","",IF(Tasks[[#This Row],[_Level]]&lt;=OutlineShowLevel,"Yes","No"))</f>
        <v/>
      </c>
      <c r="BE83" s="84">
        <f>IF(Tasks[[#This Row],[Task Name]]="","",IF(Tasks[[#This Row],[_IsSummary]],SUM(INDEX(Tasks[_LeafTotalWork],Tasks[[#This Row],[_Row]]+1):INDEX(Tasks[_LeafTotalWork],Tasks[[#This Row],[_Row]]+Tasks[[#This Row],[_Descendants]])),Tasks[[#This Row],[_LeafTotalWork]]))</f>
        <v/>
      </c>
      <c r="BF83" s="23" t="n"/>
      <c r="BG8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f>""</f>
        <v/>
      </c>
      <c r="BI83" s="85" t="n"/>
      <c r="BJ83" s="22" t="n"/>
      <c r="BK83" s="21">
        <f>IF(OR(Tasks[[#This Row],[Task Name]]="",Tasks[[#This Row],[Baseline Duration]]=""),"",Tasks[[#This Row],[_SpanDays]]-N(Tasks[[#This Row],[Baseline Duration]]))</f>
        <v/>
      </c>
      <c r="BL83" s="84">
        <f>IF(OR(Tasks[[#This Row],[Task Name]]="",Tasks[[#This Row],[Baseline Work]]=""),"",Tasks[[#This Row],[Work]]-N(Tasks[[#This Row],[Baseline Work]]))</f>
        <v/>
      </c>
      <c r="BM83" s="61">
        <f>IF(Tasks[[#This Row],[Task Name]]="","",IF(OR(TakeBaseline="Yes",N(Tasks[[#This Row],[Baseline Start]])=0),Tasks[[#This Row],[Start]],Tasks[[#This Row],[Baseline Start]]))</f>
        <v/>
      </c>
      <c r="BN83" s="61">
        <f>IF(Tasks[[#This Row],[Task Name]]="","",IF(OR(TakeBaseline="Yes",N(Tasks[[#This Row],[Baseline Finish]])=0),Tasks[[#This Row],[Finish]],Tasks[[#This Row],[Baseline Finish]]))</f>
        <v/>
      </c>
      <c r="BO83" s="21">
        <f>IF(Tasks[[#This Row],[Task Name]]="","",IF(OR(TakeBaseline="Yes",N(Tasks[[#This Row],[Baseline Duration]])=0),Tasks[[#This Row],[_SpanDays]],Tasks[[#This Row],[Baseline Duration]]))</f>
        <v/>
      </c>
      <c r="BP83" s="84">
        <f>IF(Tasks[[#This Row],[Task Name]]="","",IF(OR(TakeBaseline="Yes",N(Tasks[[#This Row],[Baseline Work]])=0),Tasks[[#This Row],[Work]],Tasks[[#This Row],[Baseline Work]]))</f>
        <v/>
      </c>
      <c r="BQ83" s="7" t="n"/>
      <c r="BR83" s="7" t="n"/>
      <c r="BS83" s="22" t="n"/>
      <c r="BT83" s="86" t="n"/>
      <c r="BU83" s="23" t="n"/>
      <c r="BV83" s="23" t="n"/>
      <c r="BW83" s="23" t="n"/>
      <c r="BX83" s="87">
        <f>IF(AND(Tasks[[#This Row],[_IsLeaf]]=1,ISNUMBER(Tasks[[#This Row],[Optimistic]]),ISNUMBER(Tasks[[#This Row],[Pessimistic]])),ROUND((Tasks[[#This Row],[Optimistic]]+4*N(Tasks[[#This Row],[_Days]])+Tasks[[#This Row],[Pessimistic]])/6,1),"")</f>
        <v/>
      </c>
      <c r="BY83" s="85" t="n"/>
      <c r="BZ83" s="85" t="n"/>
      <c r="CA83" s="22" t="n"/>
      <c r="CB83" s="42">
        <f>IF(Tasks[[#This Row],[Task Name]]="","",MAX(1,N(Tasks[[#This Row],[Level]])))</f>
        <v/>
      </c>
      <c r="CC83" s="42">
        <f>ROW()-ROW(Tasks[[#Headers],[ID]])</f>
        <v/>
      </c>
      <c r="CD83" s="42">
        <f>IF(OR(Tasks[[#This Row],[Task Name]]="",Tasks[[#This Row],[_Level]]&lt;=1),0,IFERROR(LOOKUP(2,1/(Tasks[[#Headers],[_Level]]:Tasks[[#This Row],[_Level]]=Tasks[[#This Row],[_Level]]-1),ROW(Tasks[[#Headers],[_Level]]:Tasks[[#This Row],[_Level]])),0))</f>
        <v/>
      </c>
      <c r="CE83" s="42">
        <f>IFERROR(N(INDEX(Tasks[_Level],Tasks[[#This Row],[_Row]]+1)),0)</f>
        <v/>
      </c>
      <c r="CF83" s="42">
        <f>AND(Tasks[[#This Row],[Task Name]]&lt;&gt;"",Tasks[[#This Row],[_NextLevel]]&gt;Tasks[[#This Row],[_Level]])</f>
        <v/>
      </c>
      <c r="CG83" s="42">
        <f>IF(Tasks[[#This Row],[_IsSummary]],COUNTIF(Tasks[WBS],Tasks[[#This Row],[WBS]]&amp;".*"),0)</f>
        <v/>
      </c>
      <c r="CH83" s="42">
        <f>IF(AND(Tasks[[#This Row],[Task Name]]&lt;&gt;"",NOT(Tasks[[#This Row],[_IsSummary]])),1,0)</f>
        <v/>
      </c>
      <c r="CI83" s="42">
        <f>IF(N(Tasks[[#This Row],[_Pred1UID]])=0,0,IFERROR(MATCH(Tasks[[#This Row],[_Pred1UID]],Tasks[UID],0),-1))</f>
        <v/>
      </c>
      <c r="CJ83" s="42">
        <f>IF(N(Tasks[[#This Row],[_Pred2UID]])=0,0,IFERROR(MATCH(Tasks[[#This Row],[_Pred2UID]],Tasks[UID],0),-1))</f>
        <v/>
      </c>
      <c r="CK83" s="42">
        <f>IF(N(Tasks[[#This Row],[_Pred3UID]])=0,0,IFERROR(MATCH(Tasks[[#This Row],[_Pred3UID]],Tasks[UID],0),-1))</f>
        <v/>
      </c>
      <c r="CL83" s="42">
        <f>IF(N(Tasks[[#This Row],[_Pred4UID]])=0,0,IFERROR(MATCH(Tasks[[#This Row],[_Pred4UID]],Tasks[UID],0),-1))</f>
        <v/>
      </c>
      <c r="CM8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3" s="88">
        <f>IF(N(Tasks[[#This Row],[Constraint Date]])=0,0,IF(AND(OR(Tasks[[#This Row],[_ConstraintCode]]=3,Tasks[[#This Row],[_ConstraintCode]]=6,Tasks[[#This Row],[_ConstraintCode]]=7),N(Tasks[[#This Row],[_Days]])&gt;1),WORKDAY.INTL(N(Tasks[[#This Row],[Constraint Date]]),-(N(Tasks[[#This Row],[_Days]])-1),WorkWeek,Holidays),N(Tasks[[#This Row],[Constraint Date]])))</f>
        <v/>
      </c>
      <c r="CO83" s="88">
        <f>IF(OR(Tasks[[#This Row],[_ConstraintCode]]=2,Tasks[[#This Row],[_ConstraintCode]]=3,Tasks[[#This Row],[_ConstraintCode]]=4,Tasks[[#This Row],[_ConstraintCode]]=6),Tasks[[#This Row],[_ConstraintStart]],0)</f>
        <v/>
      </c>
      <c r="CP83" s="88">
        <f>IF(OR(Tasks[[#This Row],[_ConstraintCode]]=2,Tasks[[#This Row],[_ConstraintCode]]=3,Tasks[[#This Row],[_ConstraintCode]]=5,Tasks[[#This Row],[_ConstraintCode]]=7),Tasks[[#This Row],[_ConstraintStart]],2958465)</f>
        <v/>
      </c>
      <c r="CQ8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3" s="88">
        <f>IF(NOT(Tasks[[#This Row],[_IsLeaf]]=1),"",IF(N(Tasks[[#This Row],[_Days]])&lt;=0,Tasks[[#This Row],[_LeafCalcStart]],WORKDAY.INTL(Tasks[[#This Row],[_LeafCalcStart]],Tasks[[#This Row],[_Days]]-1,WorkWeek,Holidays)))</f>
        <v/>
      </c>
      <c r="CS8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3" s="42">
        <f>IF(Tasks[[#This Row],[_Predecessors]]="","",TRIM(MID(SUBSTITUTE(SUBSTITUTE(SUBSTITUTE(UPPER(Tasks[[#This Row],[_Predecessors]]),";",",")," ",""),",",REPT(" ",99)),1,99)))</f>
        <v/>
      </c>
      <c r="CV83" s="42">
        <f>IF(Tasks[[#This Row],[_Pred1Text]]="","",IFERROR(VALUE(LEFT(Tasks[[#This Row],[_Pred1Text]],MIN(FIND("F",Tasks[[#This Row],[_Pred1Text]]&amp;"F"),FIND("S",Tasks[[#This Row],[_Pred1Text]]&amp;"S"),FIND("+",Tasks[[#This Row],[_Pred1Text]]&amp;"+"),FIND("-",Tasks[[#This Row],[_Pred1Text]]&amp;"-"))-1)),""))</f>
        <v/>
      </c>
      <c r="CW8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3" s="42">
        <f>IF(Tasks[[#This Row],[_Pred1Text]]="","",TRIM(MID(SUBSTITUTE(SUBSTITUTE(SUBSTITUTE(UPPER(Tasks[[#This Row],[_Predecessors]]),";",",")," ",""),",",REPT(" ",99)),100,99)))</f>
        <v/>
      </c>
      <c r="CZ83" s="42">
        <f>IF(Tasks[[#This Row],[_Pred2Text]]="","",IFERROR(VALUE(LEFT(Tasks[[#This Row],[_Pred2Text]],MIN(FIND("F",Tasks[[#This Row],[_Pred2Text]]&amp;"F"),FIND("S",Tasks[[#This Row],[_Pred2Text]]&amp;"S"),FIND("+",Tasks[[#This Row],[_Pred2Text]]&amp;"+"),FIND("-",Tasks[[#This Row],[_Pred2Text]]&amp;"-"))-1)),""))</f>
        <v/>
      </c>
      <c r="DA8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3" s="42">
        <f>IF(Tasks[[#This Row],[_Pred2Text]]="","",TRIM(MID(SUBSTITUTE(SUBSTITUTE(SUBSTITUTE(UPPER(Tasks[[#This Row],[_Predecessors]]),";",",")," ",""),",",REPT(" ",99)),199,99)))</f>
        <v/>
      </c>
      <c r="DD83" s="42">
        <f>IF(Tasks[[#This Row],[_Pred3Text]]="","",IFERROR(VALUE(LEFT(Tasks[[#This Row],[_Pred3Text]],MIN(FIND("F",Tasks[[#This Row],[_Pred3Text]]&amp;"F"),FIND("S",Tasks[[#This Row],[_Pred3Text]]&amp;"S"),FIND("+",Tasks[[#This Row],[_Pred3Text]]&amp;"+"),FIND("-",Tasks[[#This Row],[_Pred3Text]]&amp;"-"))-1)),""))</f>
        <v/>
      </c>
      <c r="DE8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3" s="42">
        <f>IF(Tasks[[#This Row],[_Pred3Text]]="","",TRIM(MID(SUBSTITUTE(SUBSTITUTE(SUBSTITUTE(UPPER(Tasks[[#This Row],[_Predecessors]]),";",",")," ",""),",",REPT(" ",99)),298,99)))</f>
        <v/>
      </c>
      <c r="DH83" s="42">
        <f>IF(Tasks[[#This Row],[_Pred4Text]]="","",IFERROR(VALUE(LEFT(Tasks[[#This Row],[_Pred4Text]],MIN(FIND("F",Tasks[[#This Row],[_Pred4Text]]&amp;"F"),FIND("S",Tasks[[#This Row],[_Pred4Text]]&amp;"S"),FIND("+",Tasks[[#This Row],[_Pred4Text]]&amp;"+"),FIND("-",Tasks[[#This Row],[_Pred4Text]]&amp;"-"))-1)),""))</f>
        <v/>
      </c>
      <c r="DI8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3" s="42">
        <f>IF(OR(Tasks[[#This Row],[Task Name]]="",Tasks[[#This Row],[_Resources]]=""),"",TRIM(MID(SUBSTITUTE(Tasks[[#This Row],[_Resources]],",",REPT(" ",99)),1,99)))</f>
        <v/>
      </c>
      <c r="DL83" s="42">
        <f>IF(Tasks[[#This Row],[_Res1Text]]="","",TRIM(MID(SUBSTITUTE(Tasks[[#This Row],[_Resources]],",",REPT(" ",99)),100,99)))</f>
        <v/>
      </c>
      <c r="DM83" s="42">
        <f>IF(Tasks[[#This Row],[_Res2Text]]="","",TRIM(MID(SUBSTITUTE(Tasks[[#This Row],[_Resources]],",",REPT(" ",99)),199,99)))</f>
        <v/>
      </c>
      <c r="DN83" s="42">
        <f>IF(Tasks[[#This Row],[_Res3Text]]="","",TRIM(MID(SUBSTITUTE(Tasks[[#This Row],[_Resources]],",",REPT(" ",99)),298,99)))</f>
        <v/>
      </c>
      <c r="DO83" s="42">
        <f>IF(Tasks[[#This Row],[_Res1Text]]="",0,IFERROR(MATCH(TRIM(LEFT(Tasks[[#This Row],[_Res1Text]],FIND("[",Tasks[[#This Row],[_Res1Text]]&amp;"[")-1)),res_Name,0),IFERROR(MATCH(TRIM(LEFT(Tasks[[#This Row],[_Res1Text]],FIND("[",Tasks[[#This Row],[_Res1Text]]&amp;"[")-1)),res_Initials,0),0)))</f>
        <v/>
      </c>
      <c r="DP83" s="42">
        <f>IF(Tasks[[#This Row],[_Res2Text]]="",0,IFERROR(MATCH(TRIM(LEFT(Tasks[[#This Row],[_Res2Text]],FIND("[",Tasks[[#This Row],[_Res2Text]]&amp;"[")-1)),res_Name,0),IFERROR(MATCH(TRIM(LEFT(Tasks[[#This Row],[_Res2Text]],FIND("[",Tasks[[#This Row],[_Res2Text]]&amp;"[")-1)),res_Initials,0),0)))</f>
        <v/>
      </c>
      <c r="DQ83" s="42">
        <f>IF(Tasks[[#This Row],[_Res3Text]]="",0,IFERROR(MATCH(TRIM(LEFT(Tasks[[#This Row],[_Res3Text]],FIND("[",Tasks[[#This Row],[_Res3Text]]&amp;"[")-1)),res_Name,0),IFERROR(MATCH(TRIM(LEFT(Tasks[[#This Row],[_Res3Text]],FIND("[",Tasks[[#This Row],[_Res3Text]]&amp;"[")-1)),res_Initials,0),0)))</f>
        <v/>
      </c>
      <c r="DR83" s="42">
        <f>IF(Tasks[[#This Row],[_Res4Text]]="",0,IFERROR(MATCH(TRIM(LEFT(Tasks[[#This Row],[_Res4Text]],FIND("[",Tasks[[#This Row],[_Res4Text]]&amp;"[")-1)),res_Name,0),IFERROR(MATCH(TRIM(LEFT(Tasks[[#This Row],[_Res4Text]],FIND("[",Tasks[[#This Row],[_Res4Text]]&amp;"[")-1)),res_Initials,0),0)))</f>
        <v/>
      </c>
      <c r="DS83" s="42">
        <f>IF(Tasks[[#This Row],[_Res1Text]]="","",IF(Tasks[[#This Row],[_Res1Row]]&gt;0,INDEX(res_Name,Tasks[[#This Row],[_Res1Row]]),TRIM(LEFT(Tasks[[#This Row],[_Res1Text]],FIND("[",Tasks[[#This Row],[_Res1Text]]&amp;"[")-1))))</f>
        <v/>
      </c>
      <c r="DT8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3" s="42">
        <f>IF(NOT(Tasks[[#This Row],[_IsLeaf]]=1),0,(Tasks[[#This Row],[_Resource1]]&lt;&gt;"")+(Tasks[[#This Row],[_Res2]]&lt;&gt;"")+(Tasks[[#This Row],[_Res3]]&lt;&gt;"")+(Tasks[[#This Row],[_Res4]]&lt;&gt;""))</f>
        <v/>
      </c>
      <c r="DV83" s="42">
        <f>IF(Tasks[[#This Row],[_Res2Text]]="","",IF(Tasks[[#This Row],[_Res2Row]]&gt;0,INDEX(res_Name,Tasks[[#This Row],[_Res2Row]]),TRIM(LEFT(Tasks[[#This Row],[_Res2Text]],FIND("[",Tasks[[#This Row],[_Res2Text]]&amp;"[")-1))))</f>
        <v/>
      </c>
      <c r="DW8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3" s="42">
        <f>IF(OR(NOT(Tasks[[#This Row],[_IsLeaf]]=1),Tasks[[#This Row],[_Res2Row]]=0),0,N(Tasks[[#This Row],[_Days]])*HoursPerDay*IF(Tasks[[#This Row],[_Res2Units]]="",DefaultUnits,Tasks[[#This Row],[_Res2Units]]))</f>
        <v/>
      </c>
      <c r="DY83" s="42">
        <f>IF(AND(AND(Tasks[[#This Row],[_IsLeaf]]=1,Tasks[[#This Row],[_LeafTotalWork]]&gt;0),Tasks[[#This Row],[_Res2Work]]&gt;0),Tasks[[#This Row],[_Res2Work]]/(Tasks[[#This Row],[_FinishWorkday]]-Tasks[[#This Row],[_StartWorkday]]+1),0)</f>
        <v/>
      </c>
      <c r="DZ83" s="42">
        <f>Tasks[[#This Row],[_Res2WorkPerWD]]*MAX(0,Tasks[[#This Row],[_StartWorkday]]-1)</f>
        <v/>
      </c>
      <c r="EA83" s="42">
        <f>Tasks[[#This Row],[_Res2Work]]*Tasks[[#This Row],[_LeafProgress]]</f>
        <v/>
      </c>
      <c r="EB83" s="42">
        <f>IF(Tasks[[#This Row],[_Res3Text]]="","",IF(Tasks[[#This Row],[_Res3Row]]&gt;0,INDEX(res_Name,Tasks[[#This Row],[_Res3Row]]),TRIM(LEFT(Tasks[[#This Row],[_Res3Text]],FIND("[",Tasks[[#This Row],[_Res3Text]]&amp;"[")-1))))</f>
        <v/>
      </c>
      <c r="EC8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3" s="42">
        <f>IF(OR(NOT(Tasks[[#This Row],[_IsLeaf]]=1),Tasks[[#This Row],[_Res3Row]]=0),0,N(Tasks[[#This Row],[_Days]])*HoursPerDay*IF(Tasks[[#This Row],[_Res3Units]]="",DefaultUnits,Tasks[[#This Row],[_Res3Units]]))</f>
        <v/>
      </c>
      <c r="EE83" s="42">
        <f>IF(AND(AND(Tasks[[#This Row],[_IsLeaf]]=1,Tasks[[#This Row],[_LeafTotalWork]]&gt;0),Tasks[[#This Row],[_Res3Work]]&gt;0),Tasks[[#This Row],[_Res3Work]]/(Tasks[[#This Row],[_FinishWorkday]]-Tasks[[#This Row],[_StartWorkday]]+1),0)</f>
        <v/>
      </c>
      <c r="EF83" s="42">
        <f>Tasks[[#This Row],[_Res3WorkPerWD]]*MAX(0,Tasks[[#This Row],[_StartWorkday]]-1)</f>
        <v/>
      </c>
      <c r="EG83" s="42">
        <f>Tasks[[#This Row],[_Res3Work]]*Tasks[[#This Row],[_LeafProgress]]</f>
        <v/>
      </c>
      <c r="EH83" s="42">
        <f>IF(Tasks[[#This Row],[_Res4Text]]="","",IF(Tasks[[#This Row],[_Res4Row]]&gt;0,INDEX(res_Name,Tasks[[#This Row],[_Res4Row]]),TRIM(LEFT(Tasks[[#This Row],[_Res4Text]],FIND("[",Tasks[[#This Row],[_Res4Text]]&amp;"[")-1))))</f>
        <v/>
      </c>
      <c r="EI8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3" s="42">
        <f>IF(OR(NOT(Tasks[[#This Row],[_IsLeaf]]=1),Tasks[[#This Row],[_Res4Row]]=0),0,N(Tasks[[#This Row],[_Days]])*HoursPerDay*IF(Tasks[[#This Row],[_Res4Units]]="",DefaultUnits,Tasks[[#This Row],[_Res4Units]]))</f>
        <v/>
      </c>
      <c r="EK83" s="42">
        <f>IF(AND(AND(Tasks[[#This Row],[_IsLeaf]]=1,Tasks[[#This Row],[_LeafTotalWork]]&gt;0),Tasks[[#This Row],[_Res4Work]]&gt;0),Tasks[[#This Row],[_Res4Work]]/(Tasks[[#This Row],[_FinishWorkday]]-Tasks[[#This Row],[_StartWorkday]]+1),0)</f>
        <v/>
      </c>
      <c r="EL83" s="42">
        <f>Tasks[[#This Row],[_Res4WorkPerWD]]*MAX(0,Tasks[[#This Row],[_StartWorkday]]-1)</f>
        <v/>
      </c>
      <c r="EM83" s="42">
        <f>Tasks[[#This Row],[_Res4Work]]*Tasks[[#This Row],[_LeafProgress]]</f>
        <v/>
      </c>
      <c r="EN83" s="42">
        <f>IF(ISNUMBER(Tasks[[#This Row],[% Complete]]),Tasks[[#This Row],[% Complete]],IF(Tasks[[#This Row],[Stage]]="",0,IFERROR(INDEX(stg_Pct,MATCH(Tasks[[#This Row],[Stage]],stg_Name,0)),0)))</f>
        <v/>
      </c>
      <c r="EO83" s="42">
        <f>IF(NOT(Tasks[[#This Row],[_IsLeaf]]=1),0,IF(N(Tasks[[#This Row],[Actual Finish]])&gt;0,1,MIN(1,Tasks[[#This Row],[_Pct]])))</f>
        <v/>
      </c>
      <c r="EP83" s="42">
        <f>IF(OR(NOT(Tasks[[#This Row],[_IsLeaf]]=1),Tasks[[#This Row],[_Res1Row]]=0),0,N(Tasks[[#This Row],[_Days]])*HoursPerDay*IF(Tasks[[#This Row],[_Units1]]="",DefaultUnits,Tasks[[#This Row],[_Units1]]))</f>
        <v/>
      </c>
      <c r="EQ83" s="42">
        <f>Tasks[[#This Row],[_LeafWork]]+Tasks[[#This Row],[_Res2Work]]+Tasks[[#This Row],[_Res3Work]]+Tasks[[#This Row],[_Res4Work]]</f>
        <v/>
      </c>
      <c r="ER8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3" s="42">
        <f>IF(NOT(Tasks[[#This Row],[_IsLeaf]]=1),0,MAX(_xlfn.MAXIFS(Tasks[_Row],Tasks[_Pred1UID],Tasks[[#This Row],[UID]]),_xlfn.MAXIFS(Tasks[_Row],Tasks[_Pred2UID],Tasks[[#This Row],[UID]]),_xlfn.MAXIFS(Tasks[_Row],Tasks[_Pred3UID],Tasks[[#This Row],[UID]]),_xlfn.MAXIFS(Tasks[_Row],Tasks[_Pred4UID],Tasks[[#This Row],[UID]])))</f>
        <v/>
      </c>
      <c r="FA8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3" s="88">
        <f>IF(NOT(Tasks[[#This Row],[_IsLeaf]]=1),"",IF(N(Tasks[[#This Row],[_Days]])&lt;=0,Tasks[[#This Row],[_LeafLateFinish]],WORKDAY.INTL(Tasks[[#This Row],[_LeafLateFinish]],-(Tasks[[#This Row],[_Days]]-1),WorkWeek,Holidays)))</f>
        <v/>
      </c>
      <c r="FD8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3" s="42">
        <f>AND(Tasks[[#This Row],[_IsLeaf]]=1,Tasks[[#This Row],[_LeafProgress]]&lt;1,N(Tasks[[#This Row],[_LeafTotalSlack]])&lt;=CriticalSlackDays)</f>
        <v/>
      </c>
      <c r="FF83" s="42">
        <f>IF(AND(Tasks[[#This Row],[_IsLeaf]]=1,Tasks[[#This Row],[_ConstraintCode]]=1,Tasks[[#This Row],[Mode]]&lt;&gt;"Manual",N(Tasks[[#This Row],[Actual Start]])=0),MAX(0,N(Tasks[[#This Row],[Free Slack]])),0)</f>
        <v/>
      </c>
      <c r="FG83" s="88">
        <f>IF(NOT(Tasks[[#This Row],[_IsLeaf]]=1),"",IF(Tasks[[#This Row],[_AlapShift]]=0,Tasks[[#This Row],[_LeafCalcStart]],WORKDAY.INTL(Tasks[[#This Row],[_LeafCalcStart]],Tasks[[#This Row],[_AlapShift]],WorkWeek,Holidays)))</f>
        <v/>
      </c>
      <c r="FH83" s="88">
        <f>IF(NOT(Tasks[[#This Row],[_IsLeaf]]=1),"",IF(Tasks[[#This Row],[_AlapShift]]=0,Tasks[[#This Row],[_LeafCalcFinish]],WORKDAY.INTL(Tasks[[#This Row],[_LeafCalcFinish]],Tasks[[#This Row],[_AlapShift]],WorkWeek,Holidays)))</f>
        <v/>
      </c>
      <c r="FI83" s="88">
        <f>IF(NOT(Tasks[[#This Row],[_IsLeaf]]=1),"",IF(Tasks[[#This Row],[_AlapShift]]=0,Tasks[[#This Row],[_LeafFcstStart]],WORKDAY.INTL(Tasks[[#This Row],[_LeafFcstStart]],Tasks[[#This Row],[_AlapShift]],WorkWeek,Holidays)))</f>
        <v/>
      </c>
      <c r="FJ83" s="88">
        <f>IF(NOT(Tasks[[#This Row],[_IsLeaf]]=1),"",IF(Tasks[[#This Row],[_AlapShift]]=0,Tasks[[#This Row],[_LeafFcstFinish]],WORKDAY.INTL(Tasks[[#This Row],[_LeafFcstFinish]],Tasks[[#This Row],[_AlapShift]],WorkWeek,Holidays)))</f>
        <v/>
      </c>
      <c r="FK83" s="88">
        <f>IF(Tasks[[#This Row],[Task Name]]="","",IF(Tasks[[#This Row],[_IsSummary]],MIN(INDEX(Tasks[_ShownCalcStart],Tasks[[#This Row],[_Row]]+1):INDEX(Tasks[_ShownCalcStart],Tasks[[#This Row],[_Row]]+Tasks[[#This Row],[_Descendants]])),Tasks[[#This Row],[_ShownCalcStart]]))</f>
        <v/>
      </c>
      <c r="FL83" s="88">
        <f>IF(Tasks[[#This Row],[Task Name]]="","",IF(Tasks[[#This Row],[_IsSummary]],MAX(INDEX(Tasks[_ShownCalcFinish],Tasks[[#This Row],[_Row]]+1):INDEX(Tasks[_ShownCalcFinish],Tasks[[#This Row],[_Row]]+Tasks[[#This Row],[_Descendants]])),Tasks[[#This Row],[_ShownCalcFinish]]))</f>
        <v/>
      </c>
      <c r="FM8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3" s="42">
        <f>IF(AND(Tasks[[#This Row],[_IsLeaf]]=1,Tasks[[#This Row],[_LeafTotalWork]]&gt;0),NETWORKDAYS.INTL(ProjectStart,Tasks[[#This Row],[_ShownFcstStart]],WorkWeek,Holidays),0)</f>
        <v/>
      </c>
      <c r="FZ83" s="42">
        <f>IF(AND(Tasks[[#This Row],[_IsLeaf]]=1,Tasks[[#This Row],[_LeafTotalWork]]&gt;0),MAX(Tasks[[#This Row],[_StartWorkday]],NETWORKDAYS.INTL(ProjectStart,Tasks[[#This Row],[_ShownFcstFinish]],WorkWeek,Holidays)),0)</f>
        <v/>
      </c>
      <c r="GA83" s="42">
        <f>IF(AND(Tasks[[#This Row],[_IsLeaf]]=1,Tasks[[#This Row],[_LeafTotalWork]]&gt;0),Tasks[[#This Row],[_LeafWork]]/(Tasks[[#This Row],[_FinishWorkday]]-Tasks[[#This Row],[_StartWorkday]]+1),0)</f>
        <v/>
      </c>
      <c r="GB83" s="42">
        <f>Tasks[[#This Row],[_WorkPerWorkday]]*(Tasks[[#This Row],[_StartWorkday]]-1)</f>
        <v/>
      </c>
      <c r="GC83" s="42">
        <f>IF(Tasks[[#This Row],[_IsLeaf]]=1,MAX(N(Tasks[[#This Row],[_Days]]),0.1),0)</f>
        <v/>
      </c>
      <c r="GD83" s="42">
        <f>Tasks[[#This Row],[_WeightDur]]*Tasks[[#This Row],[_LeafProgress]]</f>
        <v/>
      </c>
      <c r="GE83" s="42">
        <f>Tasks[[#This Row],[_WeightDur]]*Tasks[[#This Row],[_PlannedPct]]</f>
        <v/>
      </c>
      <c r="GF8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3" s="42">
        <f>IF(AND(Tasks[[#This Row],[_IsLeaf]]=1,N(Tasks[[#This Row],[_Days]])=0,Tasks[[#This Row],[_LeafProgress]]&lt;1),Tasks[[#This Row],[_ShownFcstFinish]]+Tasks[[#This Row],[_Row]]/100000,"")</f>
        <v/>
      </c>
      <c r="GH8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3" s="42">
        <f>IF(Tasks[[#This Row],[Task Name]]="","",LEFT(Tasks[[#This Row],[WBS]],FIND(".",Tasks[[#This Row],[WBS]]&amp;".")-1))</f>
        <v/>
      </c>
      <c r="GJ83" s="42">
        <f>IF(AND(Tasks[[#This Row],[Task Name]]&lt;&gt;"",Tasks[[#This Row],[_Level]]=1),Tasks[[#This Row],[_Row]],"")</f>
        <v/>
      </c>
      <c r="GK83" s="42">
        <f>IF(AND(Tasks[[#This Row],[_IsLeaf]]=1,N(Tasks[[#This Row],[_Days]])=0),Tasks[[#This Row],[Planned Finish]]+Tasks[[#This Row],[_Row]]/100000,"")</f>
        <v/>
      </c>
      <c r="GL83" s="42">
        <f>IF(AND(Tasks[[#This Row],[_IsLeaf]]=1,Tasks[[#This Row],[_LeafProgress]]&lt;1,OR(N(Tasks[[#This Row],[Finish Var]])&gt;0,Tasks[[#This Row],[Status]]="Late Start")),MAX(0,Tasks[[#This Row],[Finish Var]])+1-Tasks[[#This Row],[_Row]]/1000000,"")</f>
        <v/>
      </c>
      <c r="GM83" s="42">
        <f>IF(AND(Tasks[[#This Row],[_IsLeaf]]=1,N(Tasks[[#This Row],[Actual Start]])=0,Tasks[[#This Row],[_ShownFcstStart]]&gt;=StatusDate,Tasks[[#This Row],[_ShownFcstStart]]&lt;=LookaheadEnd),Tasks[[#This Row],[_ShownFcstStart]]+Tasks[[#This Row],[_Row]]/100000,"")</f>
        <v/>
      </c>
      <c r="GN83" s="42">
        <f>IF(AND(Tasks[[#This Row],[_IsLeaf]]=1,Tasks[[#This Row],[_LeafProgress]]&lt;1,Tasks[[#This Row],[_ShownFcstFinish]]&gt;=StatusDate,Tasks[[#This Row],[_ShownFcstFinish]]&lt;=LookaheadEnd),Tasks[[#This Row],[_ShownFcstFinish]]+Tasks[[#This Row],[_Row]]/100000,"")</f>
        <v/>
      </c>
      <c r="GO83" s="42">
        <f>IF(Tasks[[#This Row],[_LeafCritical]],Tasks[[#This Row],[_ShownFcstStart]]+Tasks[[#This Row],[_Row]]/100000,"")</f>
        <v/>
      </c>
      <c r="GP83" s="42">
        <f>Tasks[[#This Row],[_LeafWork]]*Tasks[[#This Row],[_LeafProgress]]</f>
        <v/>
      </c>
      <c r="GQ83" s="88">
        <f>IF(AND(Tasks[[#This Row],[_IsLeaf]]=1,Tasks[[#This Row],[_LeafProgress]]&gt;=1),IF(N(Tasks[[#This Row],[Actual Finish]])&gt;0,Tasks[[#This Row],[Actual Finish]],Tasks[[#This Row],[_ShownFcstFinish]]),"")</f>
        <v/>
      </c>
      <c r="GR83" s="42">
        <f>IF(Tasks[[#This Row],[_IsLeaf]]=1,N(Tasks[[#This Row],[Story Points]]),0)</f>
        <v/>
      </c>
      <c r="GS83" s="42">
        <f>""</f>
        <v/>
      </c>
      <c r="GT83" s="42">
        <f>IF(Tasks[[#This Row],[Task Name]]="",FALSE(),AND(Tasks[[#This Row],[_IsLeaf]]=1,N(Tasks[[#This Row],[_Days]])=0))</f>
        <v/>
      </c>
      <c r="GU83" s="88">
        <f>IF(Tasks[[#This Row],[Task Name]]="",0,IF(AND(Tasks[[#This Row],[_IsLeaf]]=1,NOT(Tasks[[#This Row],[_IsMilestone]]),N(Tasks[[#This Row],[Progress]])&gt;0),Tasks[[#This Row],[Start]],0))</f>
        <v/>
      </c>
      <c r="GV83" s="88">
        <f>IF(Tasks[[#This Row],[_DoneFrom]]=0,0,IF(Tasks[[#This Row],[Progress]]&gt;=1,Tasks[[#This Row],[Finish]],MAX(Tasks[[#This Row],[_DoneFrom]],Tasks[[#This Row],[Start]]+ROUND((Tasks[[#This Row],[Finish]]-Tasks[[#This Row],[Start]]+1)*Tasks[[#This Row],[Progress]],0)-1)))</f>
        <v/>
      </c>
      <c r="GW83" s="88">
        <f>IF(Tasks[[#This Row],[Task Name]]="",0,IF(OR(NOT(Tasks[[#This Row],[_IsLeaf]]=1),Tasks[[#This Row],[_IsMilestone]],N(Tasks[[#This Row],[Progress]])&gt;=1),0,IF(Tasks[[#This Row],[_DoneTo]]&gt;0,Tasks[[#This Row],[_DoneTo]]+1,Tasks[[#This Row],[Start]])))</f>
        <v/>
      </c>
      <c r="GX83" s="88">
        <f>IF(Tasks[[#This Row],[_RemFrom]]=0,0,Tasks[[#This Row],[Finish]])</f>
        <v/>
      </c>
      <c r="GY83" s="42">
        <f>IF(Tasks[[#This Row],[Task Name]]="",FALSE(),OR(NOT(BaselineSet),N(Tasks[[#This Row],[Baseline Start]])&gt;0))</f>
        <v/>
      </c>
      <c r="GZ83" s="42">
        <f>IF(AND(Sandbox="Yes",L_PARSE_DURATION(Tasks[[#This Row],[Sandbox Duration]])&lt;&gt;""),L_PARSE_DURATION(Tasks[[#This Row],[Sandbox Duration]]),L_PARSE_DURATION(Tasks[[#This Row],[Duration]]))</f>
        <v/>
      </c>
      <c r="HA8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3" s="42">
        <f>IF(Tasks[[#This Row],[_IsLeaf]]=1,Tasks[[#This Row],[_Row]],"")</f>
        <v/>
      </c>
      <c r="HD83" s="42">
        <f>IFERROR(INDEX(Tasks[UID],SMALL(Tasks[_PickKey],Tasks[[#This Row],[_Row]]))&amp;" "&amp;INDEX(Tasks[Task Name],SMALL(Tasks[_PickKey],Tasks[[#This Row],[_Row]])),"")</f>
        <v/>
      </c>
      <c r="HE83" s="42">
        <f>IF(Tasks[[#This Row],[Task Name]]="","",IF(Tasks[[#This Row],[_IsSummary]],NETWORKDAYS.INTL(Tasks[[#This Row],[Start]],Tasks[[#This Row],[Finish]],WorkWeek,Holidays),N(Tasks[[#This Row],[_Days]])))</f>
        <v/>
      </c>
      <c r="HF83" s="42">
        <f>IF(Tasks[[#This Row],[Expected]]="",0,((Tasks[[#This Row],[Pessimistic]]-Tasks[[#This Row],[Optimistic]])/6)^2)</f>
        <v/>
      </c>
      <c r="HG83" s="42">
        <f>IF(Tasks[[#This Row],[Expected]]="",0,Tasks[[#This Row],[Expected]]-N(Tasks[[#This Row],[_Days]]))</f>
        <v/>
      </c>
    </row>
    <row r="84">
      <c r="A84" s="21">
        <f>IF(Tasks[[#This Row],[Task Name]]="","",COUNTA(Tasks[[#Headers],[Task Name]]:Tasks[[#This Row],[Task Name]])-1)</f>
        <v/>
      </c>
      <c r="B84" s="22" t="n">
        <v>92</v>
      </c>
      <c r="C84" s="22" t="n"/>
      <c r="D84" s="23" t="n"/>
      <c r="E84" s="22" t="n"/>
      <c r="F84" s="23" t="n"/>
      <c r="G84" s="22" t="n"/>
      <c r="H84" s="22" t="n"/>
      <c r="I84" s="23" t="n"/>
      <c r="J84" s="22" t="n"/>
      <c r="K84" s="22" t="n"/>
      <c r="L84" s="23" t="n"/>
      <c r="M84" s="22" t="n"/>
      <c r="N84" s="22" t="n"/>
      <c r="O84" s="23" t="n"/>
      <c r="P84" s="22" t="n"/>
      <c r="Q84" s="22" t="n"/>
      <c r="R84" s="23" t="n"/>
      <c r="S84" s="23" t="n"/>
      <c r="T84" s="82" t="n"/>
      <c r="U84" s="23" t="n"/>
      <c r="V84" s="82" t="n"/>
      <c r="W84" s="23" t="n"/>
      <c r="X84" s="82" t="n"/>
      <c r="Y84" s="23" t="n"/>
      <c r="Z84" s="82" t="n"/>
      <c r="AA84" s="23" t="n"/>
      <c r="AB84" s="23" t="n"/>
      <c r="AC84" s="7" t="n"/>
      <c r="AD84" s="7" t="n"/>
      <c r="AE84" s="61">
        <f>IF(Tasks[[#This Row],[Task Name]]="","",IF(Tasks[[#This Row],[_IsSummary]],MIN(INDEX(Tasks[_ShownFcstStart],Tasks[[#This Row],[_Row]]+1):INDEX(Tasks[_ShownFcstStart],Tasks[[#This Row],[_Row]]+Tasks[[#This Row],[_Descendants]])),Tasks[[#This Row],[_ShownFcstStart]]))</f>
        <v/>
      </c>
      <c r="AF84" s="61">
        <f>IF(Tasks[[#This Row],[Task Name]]="","",IF(Tasks[[#This Row],[_IsSummary]],MAX(INDEX(Tasks[_ShownFcstFinish],Tasks[[#This Row],[_Row]]+1):INDEX(Tasks[_ShownFcstFinish],Tasks[[#This Row],[_Row]]+Tasks[[#This Row],[_Descendants]])),Tasks[[#This Row],[_ShownFcstFinish]]))</f>
        <v/>
      </c>
      <c r="AG84" s="21">
        <f>""</f>
        <v/>
      </c>
      <c r="AH84" s="23" t="n"/>
      <c r="AI8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4" s="7" t="n"/>
      <c r="AK84" s="22" t="n"/>
      <c r="AL84" s="23" t="n"/>
      <c r="AM84" s="7" t="n"/>
      <c r="AN84" s="21">
        <f>IF(Tasks[[#This Row],[Task Name]]="","",IF(Tasks[[#This Row],[Finish]]&gt;=Tasks[[#This Row],[Planned Finish]],NETWORKDAYS.INTL(Tasks[[#This Row],[Planned Finish]],Tasks[[#This Row],[Finish]],WorkWeek,Holidays)-1,1-NETWORKDAYS.INTL(Tasks[[#This Row],[Finish]],Tasks[[#This Row],[Planned Finish]],WorkWeek,Holidays)))</f>
        <v/>
      </c>
      <c r="AO84" s="21">
        <f>IF(Tasks[[#This Row],[Task Name]]="","",IF(Tasks[[#This Row],[Progress]]&gt;=1,"Complete",IF(OR(N(Tasks[[#This Row],[Actual Start]])&gt;0,Tasks[[#This Row],[Progress]]&gt;0),IF(Tasks[[#This Row],[Finish Var]]&gt;0,"Behind","In Progress"),IF(Tasks[[#This Row],[Planned Start]]&lt;StatusDate,"Late Start","Not Started"))))</f>
        <v/>
      </c>
      <c r="AP84" s="21">
        <f>IF(Tasks[[#This Row],[Task Name]]="","",IF(IF(Tasks[[#This Row],[_IsSummary]],COUNTIF(INDEX(Tasks[_LeafCritical],Tasks[[#This Row],[_Row]]+1):INDEX(Tasks[_LeafCritical],Tasks[[#This Row],[_Row]]+Tasks[[#This Row],[_Descendants]]),TRUE())&gt;0,Tasks[[#This Row],[_LeafCritical]]),"Yes",""))</f>
        <v/>
      </c>
      <c r="AQ84" s="61">
        <f>IF(Tasks[[#This Row],[Task Name]]="","",IF(N(Tasks[[#This Row],[Baseline Start]])&gt;0,Tasks[[#This Row],[Baseline Start]],Tasks[[#This Row],[_CalcStart]]))</f>
        <v/>
      </c>
      <c r="AR84" s="61">
        <f>IF(Tasks[[#This Row],[Task Name]]="","",IF(N(Tasks[[#This Row],[Baseline Finish]])&gt;0,Tasks[[#This Row],[Baseline Finish]],Tasks[[#This Row],[_CalcFinish]]))</f>
        <v/>
      </c>
      <c r="AS84" s="21">
        <f>IF(Tasks[[#This Row],[Task Name]]="","",IF(Tasks[[#This Row],[Start]]&gt;=Tasks[[#This Row],[Planned Start]],NETWORKDAYS.INTL(Tasks[[#This Row],[Planned Start]],Tasks[[#This Row],[Start]],WorkWeek,Holidays)-1,1-NETWORKDAYS.INTL(Tasks[[#This Row],[Start]],Tasks[[#This Row],[Planned Start]],WorkWeek,Holidays)))</f>
        <v/>
      </c>
      <c r="AT84" s="61">
        <f>IF(Tasks[[#This Row],[Task Name]]="","",IF(Tasks[[#This Row],[_IsSummary]],MIN(INDEX(Tasks[_LeafLateStart],Tasks[[#This Row],[_Row]]+1):INDEX(Tasks[_LeafLateStart],Tasks[[#This Row],[_Row]]+Tasks[[#This Row],[_Descendants]])),Tasks[[#This Row],[_LeafLateStart]]))</f>
        <v/>
      </c>
      <c r="AU84" s="61">
        <f>IF(Tasks[[#This Row],[Task Name]]="","",IF(Tasks[[#This Row],[_IsSummary]],MAX(INDEX(Tasks[_LeafLateFinish],Tasks[[#This Row],[_Row]]+1):INDEX(Tasks[_LeafLateFinish],Tasks[[#This Row],[_Row]]+Tasks[[#This Row],[_Descendants]])),Tasks[[#This Row],[_LeafLateFinish]]))</f>
        <v/>
      </c>
      <c r="AV84" s="21">
        <f>IF(Tasks[[#This Row],[Task Name]]="","",IF(Tasks[[#This Row],[_IsSummary]],MIN(INDEX(Tasks[_LeafTotalSlack],Tasks[[#This Row],[_Row]]+1):INDEX(Tasks[_LeafTotalSlack],Tasks[[#This Row],[_Row]]+Tasks[[#This Row],[_Descendants]])),Tasks[[#This Row],[_LeafTotalSlack]]))</f>
        <v/>
      </c>
      <c r="AW8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3" t="n"/>
      <c r="BA8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f>IF(Tasks[[#This Row],[Task Name]]="","",IF(Tasks[[#This Row],[_Level]]&lt;=OutlineShowLevel,"Yes","No"))</f>
        <v/>
      </c>
      <c r="BE84" s="84">
        <f>IF(Tasks[[#This Row],[Task Name]]="","",IF(Tasks[[#This Row],[_IsSummary]],SUM(INDEX(Tasks[_LeafTotalWork],Tasks[[#This Row],[_Row]]+1):INDEX(Tasks[_LeafTotalWork],Tasks[[#This Row],[_Row]]+Tasks[[#This Row],[_Descendants]])),Tasks[[#This Row],[_LeafTotalWork]]))</f>
        <v/>
      </c>
      <c r="BF84" s="23" t="n"/>
      <c r="BG8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f>""</f>
        <v/>
      </c>
      <c r="BI84" s="85" t="n"/>
      <c r="BJ84" s="22" t="n"/>
      <c r="BK84" s="21">
        <f>IF(OR(Tasks[[#This Row],[Task Name]]="",Tasks[[#This Row],[Baseline Duration]]=""),"",Tasks[[#This Row],[_SpanDays]]-N(Tasks[[#This Row],[Baseline Duration]]))</f>
        <v/>
      </c>
      <c r="BL84" s="84">
        <f>IF(OR(Tasks[[#This Row],[Task Name]]="",Tasks[[#This Row],[Baseline Work]]=""),"",Tasks[[#This Row],[Work]]-N(Tasks[[#This Row],[Baseline Work]]))</f>
        <v/>
      </c>
      <c r="BM84" s="61">
        <f>IF(Tasks[[#This Row],[Task Name]]="","",IF(OR(TakeBaseline="Yes",N(Tasks[[#This Row],[Baseline Start]])=0),Tasks[[#This Row],[Start]],Tasks[[#This Row],[Baseline Start]]))</f>
        <v/>
      </c>
      <c r="BN84" s="61">
        <f>IF(Tasks[[#This Row],[Task Name]]="","",IF(OR(TakeBaseline="Yes",N(Tasks[[#This Row],[Baseline Finish]])=0),Tasks[[#This Row],[Finish]],Tasks[[#This Row],[Baseline Finish]]))</f>
        <v/>
      </c>
      <c r="BO84" s="21">
        <f>IF(Tasks[[#This Row],[Task Name]]="","",IF(OR(TakeBaseline="Yes",N(Tasks[[#This Row],[Baseline Duration]])=0),Tasks[[#This Row],[_SpanDays]],Tasks[[#This Row],[Baseline Duration]]))</f>
        <v/>
      </c>
      <c r="BP84" s="84">
        <f>IF(Tasks[[#This Row],[Task Name]]="","",IF(OR(TakeBaseline="Yes",N(Tasks[[#This Row],[Baseline Work]])=0),Tasks[[#This Row],[Work]],Tasks[[#This Row],[Baseline Work]]))</f>
        <v/>
      </c>
      <c r="BQ84" s="7" t="n"/>
      <c r="BR84" s="7" t="n"/>
      <c r="BS84" s="22" t="n"/>
      <c r="BT84" s="86" t="n"/>
      <c r="BU84" s="23" t="n"/>
      <c r="BV84" s="23" t="n"/>
      <c r="BW84" s="23" t="n"/>
      <c r="BX84" s="87">
        <f>IF(AND(Tasks[[#This Row],[_IsLeaf]]=1,ISNUMBER(Tasks[[#This Row],[Optimistic]]),ISNUMBER(Tasks[[#This Row],[Pessimistic]])),ROUND((Tasks[[#This Row],[Optimistic]]+4*N(Tasks[[#This Row],[_Days]])+Tasks[[#This Row],[Pessimistic]])/6,1),"")</f>
        <v/>
      </c>
      <c r="BY84" s="85" t="n"/>
      <c r="BZ84" s="85" t="n"/>
      <c r="CA84" s="22" t="n"/>
      <c r="CB84" s="42">
        <f>IF(Tasks[[#This Row],[Task Name]]="","",MAX(1,N(Tasks[[#This Row],[Level]])))</f>
        <v/>
      </c>
      <c r="CC84" s="42">
        <f>ROW()-ROW(Tasks[[#Headers],[ID]])</f>
        <v/>
      </c>
      <c r="CD84" s="42">
        <f>IF(OR(Tasks[[#This Row],[Task Name]]="",Tasks[[#This Row],[_Level]]&lt;=1),0,IFERROR(LOOKUP(2,1/(Tasks[[#Headers],[_Level]]:Tasks[[#This Row],[_Level]]=Tasks[[#This Row],[_Level]]-1),ROW(Tasks[[#Headers],[_Level]]:Tasks[[#This Row],[_Level]])),0))</f>
        <v/>
      </c>
      <c r="CE84" s="42">
        <f>IFERROR(N(INDEX(Tasks[_Level],Tasks[[#This Row],[_Row]]+1)),0)</f>
        <v/>
      </c>
      <c r="CF84" s="42">
        <f>AND(Tasks[[#This Row],[Task Name]]&lt;&gt;"",Tasks[[#This Row],[_NextLevel]]&gt;Tasks[[#This Row],[_Level]])</f>
        <v/>
      </c>
      <c r="CG84" s="42">
        <f>IF(Tasks[[#This Row],[_IsSummary]],COUNTIF(Tasks[WBS],Tasks[[#This Row],[WBS]]&amp;".*"),0)</f>
        <v/>
      </c>
      <c r="CH84" s="42">
        <f>IF(AND(Tasks[[#This Row],[Task Name]]&lt;&gt;"",NOT(Tasks[[#This Row],[_IsSummary]])),1,0)</f>
        <v/>
      </c>
      <c r="CI84" s="42">
        <f>IF(N(Tasks[[#This Row],[_Pred1UID]])=0,0,IFERROR(MATCH(Tasks[[#This Row],[_Pred1UID]],Tasks[UID],0),-1))</f>
        <v/>
      </c>
      <c r="CJ84" s="42">
        <f>IF(N(Tasks[[#This Row],[_Pred2UID]])=0,0,IFERROR(MATCH(Tasks[[#This Row],[_Pred2UID]],Tasks[UID],0),-1))</f>
        <v/>
      </c>
      <c r="CK84" s="42">
        <f>IF(N(Tasks[[#This Row],[_Pred3UID]])=0,0,IFERROR(MATCH(Tasks[[#This Row],[_Pred3UID]],Tasks[UID],0),-1))</f>
        <v/>
      </c>
      <c r="CL84" s="42">
        <f>IF(N(Tasks[[#This Row],[_Pred4UID]])=0,0,IFERROR(MATCH(Tasks[[#This Row],[_Pred4UID]],Tasks[UID],0),-1))</f>
        <v/>
      </c>
      <c r="CM8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4" s="88">
        <f>IF(N(Tasks[[#This Row],[Constraint Date]])=0,0,IF(AND(OR(Tasks[[#This Row],[_ConstraintCode]]=3,Tasks[[#This Row],[_ConstraintCode]]=6,Tasks[[#This Row],[_ConstraintCode]]=7),N(Tasks[[#This Row],[_Days]])&gt;1),WORKDAY.INTL(N(Tasks[[#This Row],[Constraint Date]]),-(N(Tasks[[#This Row],[_Days]])-1),WorkWeek,Holidays),N(Tasks[[#This Row],[Constraint Date]])))</f>
        <v/>
      </c>
      <c r="CO84" s="88">
        <f>IF(OR(Tasks[[#This Row],[_ConstraintCode]]=2,Tasks[[#This Row],[_ConstraintCode]]=3,Tasks[[#This Row],[_ConstraintCode]]=4,Tasks[[#This Row],[_ConstraintCode]]=6),Tasks[[#This Row],[_ConstraintStart]],0)</f>
        <v/>
      </c>
      <c r="CP84" s="88">
        <f>IF(OR(Tasks[[#This Row],[_ConstraintCode]]=2,Tasks[[#This Row],[_ConstraintCode]]=3,Tasks[[#This Row],[_ConstraintCode]]=5,Tasks[[#This Row],[_ConstraintCode]]=7),Tasks[[#This Row],[_ConstraintStart]],2958465)</f>
        <v/>
      </c>
      <c r="CQ8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4" s="88">
        <f>IF(NOT(Tasks[[#This Row],[_IsLeaf]]=1),"",IF(N(Tasks[[#This Row],[_Days]])&lt;=0,Tasks[[#This Row],[_LeafCalcStart]],WORKDAY.INTL(Tasks[[#This Row],[_LeafCalcStart]],Tasks[[#This Row],[_Days]]-1,WorkWeek,Holidays)))</f>
        <v/>
      </c>
      <c r="CS8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4" s="42">
        <f>IF(Tasks[[#This Row],[_Predecessors]]="","",TRIM(MID(SUBSTITUTE(SUBSTITUTE(SUBSTITUTE(UPPER(Tasks[[#This Row],[_Predecessors]]),";",",")," ",""),",",REPT(" ",99)),1,99)))</f>
        <v/>
      </c>
      <c r="CV84" s="42">
        <f>IF(Tasks[[#This Row],[_Pred1Text]]="","",IFERROR(VALUE(LEFT(Tasks[[#This Row],[_Pred1Text]],MIN(FIND("F",Tasks[[#This Row],[_Pred1Text]]&amp;"F"),FIND("S",Tasks[[#This Row],[_Pred1Text]]&amp;"S"),FIND("+",Tasks[[#This Row],[_Pred1Text]]&amp;"+"),FIND("-",Tasks[[#This Row],[_Pred1Text]]&amp;"-"))-1)),""))</f>
        <v/>
      </c>
      <c r="CW8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4" s="42">
        <f>IF(Tasks[[#This Row],[_Pred1Text]]="","",TRIM(MID(SUBSTITUTE(SUBSTITUTE(SUBSTITUTE(UPPER(Tasks[[#This Row],[_Predecessors]]),";",",")," ",""),",",REPT(" ",99)),100,99)))</f>
        <v/>
      </c>
      <c r="CZ84" s="42">
        <f>IF(Tasks[[#This Row],[_Pred2Text]]="","",IFERROR(VALUE(LEFT(Tasks[[#This Row],[_Pred2Text]],MIN(FIND("F",Tasks[[#This Row],[_Pred2Text]]&amp;"F"),FIND("S",Tasks[[#This Row],[_Pred2Text]]&amp;"S"),FIND("+",Tasks[[#This Row],[_Pred2Text]]&amp;"+"),FIND("-",Tasks[[#This Row],[_Pred2Text]]&amp;"-"))-1)),""))</f>
        <v/>
      </c>
      <c r="DA8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4" s="42">
        <f>IF(Tasks[[#This Row],[_Pred2Text]]="","",TRIM(MID(SUBSTITUTE(SUBSTITUTE(SUBSTITUTE(UPPER(Tasks[[#This Row],[_Predecessors]]),";",",")," ",""),",",REPT(" ",99)),199,99)))</f>
        <v/>
      </c>
      <c r="DD84" s="42">
        <f>IF(Tasks[[#This Row],[_Pred3Text]]="","",IFERROR(VALUE(LEFT(Tasks[[#This Row],[_Pred3Text]],MIN(FIND("F",Tasks[[#This Row],[_Pred3Text]]&amp;"F"),FIND("S",Tasks[[#This Row],[_Pred3Text]]&amp;"S"),FIND("+",Tasks[[#This Row],[_Pred3Text]]&amp;"+"),FIND("-",Tasks[[#This Row],[_Pred3Text]]&amp;"-"))-1)),""))</f>
        <v/>
      </c>
      <c r="DE8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4" s="42">
        <f>IF(Tasks[[#This Row],[_Pred3Text]]="","",TRIM(MID(SUBSTITUTE(SUBSTITUTE(SUBSTITUTE(UPPER(Tasks[[#This Row],[_Predecessors]]),";",",")," ",""),",",REPT(" ",99)),298,99)))</f>
        <v/>
      </c>
      <c r="DH84" s="42">
        <f>IF(Tasks[[#This Row],[_Pred4Text]]="","",IFERROR(VALUE(LEFT(Tasks[[#This Row],[_Pred4Text]],MIN(FIND("F",Tasks[[#This Row],[_Pred4Text]]&amp;"F"),FIND("S",Tasks[[#This Row],[_Pred4Text]]&amp;"S"),FIND("+",Tasks[[#This Row],[_Pred4Text]]&amp;"+"),FIND("-",Tasks[[#This Row],[_Pred4Text]]&amp;"-"))-1)),""))</f>
        <v/>
      </c>
      <c r="DI8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4" s="42">
        <f>IF(OR(Tasks[[#This Row],[Task Name]]="",Tasks[[#This Row],[_Resources]]=""),"",TRIM(MID(SUBSTITUTE(Tasks[[#This Row],[_Resources]],",",REPT(" ",99)),1,99)))</f>
        <v/>
      </c>
      <c r="DL84" s="42">
        <f>IF(Tasks[[#This Row],[_Res1Text]]="","",TRIM(MID(SUBSTITUTE(Tasks[[#This Row],[_Resources]],",",REPT(" ",99)),100,99)))</f>
        <v/>
      </c>
      <c r="DM84" s="42">
        <f>IF(Tasks[[#This Row],[_Res2Text]]="","",TRIM(MID(SUBSTITUTE(Tasks[[#This Row],[_Resources]],",",REPT(" ",99)),199,99)))</f>
        <v/>
      </c>
      <c r="DN84" s="42">
        <f>IF(Tasks[[#This Row],[_Res3Text]]="","",TRIM(MID(SUBSTITUTE(Tasks[[#This Row],[_Resources]],",",REPT(" ",99)),298,99)))</f>
        <v/>
      </c>
      <c r="DO84" s="42">
        <f>IF(Tasks[[#This Row],[_Res1Text]]="",0,IFERROR(MATCH(TRIM(LEFT(Tasks[[#This Row],[_Res1Text]],FIND("[",Tasks[[#This Row],[_Res1Text]]&amp;"[")-1)),res_Name,0),IFERROR(MATCH(TRIM(LEFT(Tasks[[#This Row],[_Res1Text]],FIND("[",Tasks[[#This Row],[_Res1Text]]&amp;"[")-1)),res_Initials,0),0)))</f>
        <v/>
      </c>
      <c r="DP84" s="42">
        <f>IF(Tasks[[#This Row],[_Res2Text]]="",0,IFERROR(MATCH(TRIM(LEFT(Tasks[[#This Row],[_Res2Text]],FIND("[",Tasks[[#This Row],[_Res2Text]]&amp;"[")-1)),res_Name,0),IFERROR(MATCH(TRIM(LEFT(Tasks[[#This Row],[_Res2Text]],FIND("[",Tasks[[#This Row],[_Res2Text]]&amp;"[")-1)),res_Initials,0),0)))</f>
        <v/>
      </c>
      <c r="DQ84" s="42">
        <f>IF(Tasks[[#This Row],[_Res3Text]]="",0,IFERROR(MATCH(TRIM(LEFT(Tasks[[#This Row],[_Res3Text]],FIND("[",Tasks[[#This Row],[_Res3Text]]&amp;"[")-1)),res_Name,0),IFERROR(MATCH(TRIM(LEFT(Tasks[[#This Row],[_Res3Text]],FIND("[",Tasks[[#This Row],[_Res3Text]]&amp;"[")-1)),res_Initials,0),0)))</f>
        <v/>
      </c>
      <c r="DR84" s="42">
        <f>IF(Tasks[[#This Row],[_Res4Text]]="",0,IFERROR(MATCH(TRIM(LEFT(Tasks[[#This Row],[_Res4Text]],FIND("[",Tasks[[#This Row],[_Res4Text]]&amp;"[")-1)),res_Name,0),IFERROR(MATCH(TRIM(LEFT(Tasks[[#This Row],[_Res4Text]],FIND("[",Tasks[[#This Row],[_Res4Text]]&amp;"[")-1)),res_Initials,0),0)))</f>
        <v/>
      </c>
      <c r="DS84" s="42">
        <f>IF(Tasks[[#This Row],[_Res1Text]]="","",IF(Tasks[[#This Row],[_Res1Row]]&gt;0,INDEX(res_Name,Tasks[[#This Row],[_Res1Row]]),TRIM(LEFT(Tasks[[#This Row],[_Res1Text]],FIND("[",Tasks[[#This Row],[_Res1Text]]&amp;"[")-1))))</f>
        <v/>
      </c>
      <c r="DT8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4" s="42">
        <f>IF(NOT(Tasks[[#This Row],[_IsLeaf]]=1),0,(Tasks[[#This Row],[_Resource1]]&lt;&gt;"")+(Tasks[[#This Row],[_Res2]]&lt;&gt;"")+(Tasks[[#This Row],[_Res3]]&lt;&gt;"")+(Tasks[[#This Row],[_Res4]]&lt;&gt;""))</f>
        <v/>
      </c>
      <c r="DV84" s="42">
        <f>IF(Tasks[[#This Row],[_Res2Text]]="","",IF(Tasks[[#This Row],[_Res2Row]]&gt;0,INDEX(res_Name,Tasks[[#This Row],[_Res2Row]]),TRIM(LEFT(Tasks[[#This Row],[_Res2Text]],FIND("[",Tasks[[#This Row],[_Res2Text]]&amp;"[")-1))))</f>
        <v/>
      </c>
      <c r="DW8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4" s="42">
        <f>IF(OR(NOT(Tasks[[#This Row],[_IsLeaf]]=1),Tasks[[#This Row],[_Res2Row]]=0),0,N(Tasks[[#This Row],[_Days]])*HoursPerDay*IF(Tasks[[#This Row],[_Res2Units]]="",DefaultUnits,Tasks[[#This Row],[_Res2Units]]))</f>
        <v/>
      </c>
      <c r="DY84" s="42">
        <f>IF(AND(AND(Tasks[[#This Row],[_IsLeaf]]=1,Tasks[[#This Row],[_LeafTotalWork]]&gt;0),Tasks[[#This Row],[_Res2Work]]&gt;0),Tasks[[#This Row],[_Res2Work]]/(Tasks[[#This Row],[_FinishWorkday]]-Tasks[[#This Row],[_StartWorkday]]+1),0)</f>
        <v/>
      </c>
      <c r="DZ84" s="42">
        <f>Tasks[[#This Row],[_Res2WorkPerWD]]*MAX(0,Tasks[[#This Row],[_StartWorkday]]-1)</f>
        <v/>
      </c>
      <c r="EA84" s="42">
        <f>Tasks[[#This Row],[_Res2Work]]*Tasks[[#This Row],[_LeafProgress]]</f>
        <v/>
      </c>
      <c r="EB84" s="42">
        <f>IF(Tasks[[#This Row],[_Res3Text]]="","",IF(Tasks[[#This Row],[_Res3Row]]&gt;0,INDEX(res_Name,Tasks[[#This Row],[_Res3Row]]),TRIM(LEFT(Tasks[[#This Row],[_Res3Text]],FIND("[",Tasks[[#This Row],[_Res3Text]]&amp;"[")-1))))</f>
        <v/>
      </c>
      <c r="EC8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4" s="42">
        <f>IF(OR(NOT(Tasks[[#This Row],[_IsLeaf]]=1),Tasks[[#This Row],[_Res3Row]]=0),0,N(Tasks[[#This Row],[_Days]])*HoursPerDay*IF(Tasks[[#This Row],[_Res3Units]]="",DefaultUnits,Tasks[[#This Row],[_Res3Units]]))</f>
        <v/>
      </c>
      <c r="EE84" s="42">
        <f>IF(AND(AND(Tasks[[#This Row],[_IsLeaf]]=1,Tasks[[#This Row],[_LeafTotalWork]]&gt;0),Tasks[[#This Row],[_Res3Work]]&gt;0),Tasks[[#This Row],[_Res3Work]]/(Tasks[[#This Row],[_FinishWorkday]]-Tasks[[#This Row],[_StartWorkday]]+1),0)</f>
        <v/>
      </c>
      <c r="EF84" s="42">
        <f>Tasks[[#This Row],[_Res3WorkPerWD]]*MAX(0,Tasks[[#This Row],[_StartWorkday]]-1)</f>
        <v/>
      </c>
      <c r="EG84" s="42">
        <f>Tasks[[#This Row],[_Res3Work]]*Tasks[[#This Row],[_LeafProgress]]</f>
        <v/>
      </c>
      <c r="EH84" s="42">
        <f>IF(Tasks[[#This Row],[_Res4Text]]="","",IF(Tasks[[#This Row],[_Res4Row]]&gt;0,INDEX(res_Name,Tasks[[#This Row],[_Res4Row]]),TRIM(LEFT(Tasks[[#This Row],[_Res4Text]],FIND("[",Tasks[[#This Row],[_Res4Text]]&amp;"[")-1))))</f>
        <v/>
      </c>
      <c r="EI8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4" s="42">
        <f>IF(OR(NOT(Tasks[[#This Row],[_IsLeaf]]=1),Tasks[[#This Row],[_Res4Row]]=0),0,N(Tasks[[#This Row],[_Days]])*HoursPerDay*IF(Tasks[[#This Row],[_Res4Units]]="",DefaultUnits,Tasks[[#This Row],[_Res4Units]]))</f>
        <v/>
      </c>
      <c r="EK84" s="42">
        <f>IF(AND(AND(Tasks[[#This Row],[_IsLeaf]]=1,Tasks[[#This Row],[_LeafTotalWork]]&gt;0),Tasks[[#This Row],[_Res4Work]]&gt;0),Tasks[[#This Row],[_Res4Work]]/(Tasks[[#This Row],[_FinishWorkday]]-Tasks[[#This Row],[_StartWorkday]]+1),0)</f>
        <v/>
      </c>
      <c r="EL84" s="42">
        <f>Tasks[[#This Row],[_Res4WorkPerWD]]*MAX(0,Tasks[[#This Row],[_StartWorkday]]-1)</f>
        <v/>
      </c>
      <c r="EM84" s="42">
        <f>Tasks[[#This Row],[_Res4Work]]*Tasks[[#This Row],[_LeafProgress]]</f>
        <v/>
      </c>
      <c r="EN84" s="42">
        <f>IF(ISNUMBER(Tasks[[#This Row],[% Complete]]),Tasks[[#This Row],[% Complete]],IF(Tasks[[#This Row],[Stage]]="",0,IFERROR(INDEX(stg_Pct,MATCH(Tasks[[#This Row],[Stage]],stg_Name,0)),0)))</f>
        <v/>
      </c>
      <c r="EO84" s="42">
        <f>IF(NOT(Tasks[[#This Row],[_IsLeaf]]=1),0,IF(N(Tasks[[#This Row],[Actual Finish]])&gt;0,1,MIN(1,Tasks[[#This Row],[_Pct]])))</f>
        <v/>
      </c>
      <c r="EP84" s="42">
        <f>IF(OR(NOT(Tasks[[#This Row],[_IsLeaf]]=1),Tasks[[#This Row],[_Res1Row]]=0),0,N(Tasks[[#This Row],[_Days]])*HoursPerDay*IF(Tasks[[#This Row],[_Units1]]="",DefaultUnits,Tasks[[#This Row],[_Units1]]))</f>
        <v/>
      </c>
      <c r="EQ84" s="42">
        <f>Tasks[[#This Row],[_LeafWork]]+Tasks[[#This Row],[_Res2Work]]+Tasks[[#This Row],[_Res3Work]]+Tasks[[#This Row],[_Res4Work]]</f>
        <v/>
      </c>
      <c r="ER8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4" s="42">
        <f>IF(NOT(Tasks[[#This Row],[_IsLeaf]]=1),0,MAX(_xlfn.MAXIFS(Tasks[_Row],Tasks[_Pred1UID],Tasks[[#This Row],[UID]]),_xlfn.MAXIFS(Tasks[_Row],Tasks[_Pred2UID],Tasks[[#This Row],[UID]]),_xlfn.MAXIFS(Tasks[_Row],Tasks[_Pred3UID],Tasks[[#This Row],[UID]]),_xlfn.MAXIFS(Tasks[_Row],Tasks[_Pred4UID],Tasks[[#This Row],[UID]])))</f>
        <v/>
      </c>
      <c r="FA8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4" s="88">
        <f>IF(NOT(Tasks[[#This Row],[_IsLeaf]]=1),"",IF(N(Tasks[[#This Row],[_Days]])&lt;=0,Tasks[[#This Row],[_LeafLateFinish]],WORKDAY.INTL(Tasks[[#This Row],[_LeafLateFinish]],-(Tasks[[#This Row],[_Days]]-1),WorkWeek,Holidays)))</f>
        <v/>
      </c>
      <c r="FD8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4" s="42">
        <f>AND(Tasks[[#This Row],[_IsLeaf]]=1,Tasks[[#This Row],[_LeafProgress]]&lt;1,N(Tasks[[#This Row],[_LeafTotalSlack]])&lt;=CriticalSlackDays)</f>
        <v/>
      </c>
      <c r="FF84" s="42">
        <f>IF(AND(Tasks[[#This Row],[_IsLeaf]]=1,Tasks[[#This Row],[_ConstraintCode]]=1,Tasks[[#This Row],[Mode]]&lt;&gt;"Manual",N(Tasks[[#This Row],[Actual Start]])=0),MAX(0,N(Tasks[[#This Row],[Free Slack]])),0)</f>
        <v/>
      </c>
      <c r="FG84" s="88">
        <f>IF(NOT(Tasks[[#This Row],[_IsLeaf]]=1),"",IF(Tasks[[#This Row],[_AlapShift]]=0,Tasks[[#This Row],[_LeafCalcStart]],WORKDAY.INTL(Tasks[[#This Row],[_LeafCalcStart]],Tasks[[#This Row],[_AlapShift]],WorkWeek,Holidays)))</f>
        <v/>
      </c>
      <c r="FH84" s="88">
        <f>IF(NOT(Tasks[[#This Row],[_IsLeaf]]=1),"",IF(Tasks[[#This Row],[_AlapShift]]=0,Tasks[[#This Row],[_LeafCalcFinish]],WORKDAY.INTL(Tasks[[#This Row],[_LeafCalcFinish]],Tasks[[#This Row],[_AlapShift]],WorkWeek,Holidays)))</f>
        <v/>
      </c>
      <c r="FI84" s="88">
        <f>IF(NOT(Tasks[[#This Row],[_IsLeaf]]=1),"",IF(Tasks[[#This Row],[_AlapShift]]=0,Tasks[[#This Row],[_LeafFcstStart]],WORKDAY.INTL(Tasks[[#This Row],[_LeafFcstStart]],Tasks[[#This Row],[_AlapShift]],WorkWeek,Holidays)))</f>
        <v/>
      </c>
      <c r="FJ84" s="88">
        <f>IF(NOT(Tasks[[#This Row],[_IsLeaf]]=1),"",IF(Tasks[[#This Row],[_AlapShift]]=0,Tasks[[#This Row],[_LeafFcstFinish]],WORKDAY.INTL(Tasks[[#This Row],[_LeafFcstFinish]],Tasks[[#This Row],[_AlapShift]],WorkWeek,Holidays)))</f>
        <v/>
      </c>
      <c r="FK84" s="88">
        <f>IF(Tasks[[#This Row],[Task Name]]="","",IF(Tasks[[#This Row],[_IsSummary]],MIN(INDEX(Tasks[_ShownCalcStart],Tasks[[#This Row],[_Row]]+1):INDEX(Tasks[_ShownCalcStart],Tasks[[#This Row],[_Row]]+Tasks[[#This Row],[_Descendants]])),Tasks[[#This Row],[_ShownCalcStart]]))</f>
        <v/>
      </c>
      <c r="FL84" s="88">
        <f>IF(Tasks[[#This Row],[Task Name]]="","",IF(Tasks[[#This Row],[_IsSummary]],MAX(INDEX(Tasks[_ShownCalcFinish],Tasks[[#This Row],[_Row]]+1):INDEX(Tasks[_ShownCalcFinish],Tasks[[#This Row],[_Row]]+Tasks[[#This Row],[_Descendants]])),Tasks[[#This Row],[_ShownCalcFinish]]))</f>
        <v/>
      </c>
      <c r="FM8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4" s="42">
        <f>IF(AND(Tasks[[#This Row],[_IsLeaf]]=1,Tasks[[#This Row],[_LeafTotalWork]]&gt;0),NETWORKDAYS.INTL(ProjectStart,Tasks[[#This Row],[_ShownFcstStart]],WorkWeek,Holidays),0)</f>
        <v/>
      </c>
      <c r="FZ84" s="42">
        <f>IF(AND(Tasks[[#This Row],[_IsLeaf]]=1,Tasks[[#This Row],[_LeafTotalWork]]&gt;0),MAX(Tasks[[#This Row],[_StartWorkday]],NETWORKDAYS.INTL(ProjectStart,Tasks[[#This Row],[_ShownFcstFinish]],WorkWeek,Holidays)),0)</f>
        <v/>
      </c>
      <c r="GA84" s="42">
        <f>IF(AND(Tasks[[#This Row],[_IsLeaf]]=1,Tasks[[#This Row],[_LeafTotalWork]]&gt;0),Tasks[[#This Row],[_LeafWork]]/(Tasks[[#This Row],[_FinishWorkday]]-Tasks[[#This Row],[_StartWorkday]]+1),0)</f>
        <v/>
      </c>
      <c r="GB84" s="42">
        <f>Tasks[[#This Row],[_WorkPerWorkday]]*(Tasks[[#This Row],[_StartWorkday]]-1)</f>
        <v/>
      </c>
      <c r="GC84" s="42">
        <f>IF(Tasks[[#This Row],[_IsLeaf]]=1,MAX(N(Tasks[[#This Row],[_Days]]),0.1),0)</f>
        <v/>
      </c>
      <c r="GD84" s="42">
        <f>Tasks[[#This Row],[_WeightDur]]*Tasks[[#This Row],[_LeafProgress]]</f>
        <v/>
      </c>
      <c r="GE84" s="42">
        <f>Tasks[[#This Row],[_WeightDur]]*Tasks[[#This Row],[_PlannedPct]]</f>
        <v/>
      </c>
      <c r="GF8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4" s="42">
        <f>IF(AND(Tasks[[#This Row],[_IsLeaf]]=1,N(Tasks[[#This Row],[_Days]])=0,Tasks[[#This Row],[_LeafProgress]]&lt;1),Tasks[[#This Row],[_ShownFcstFinish]]+Tasks[[#This Row],[_Row]]/100000,"")</f>
        <v/>
      </c>
      <c r="GH8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4" s="42">
        <f>IF(Tasks[[#This Row],[Task Name]]="","",LEFT(Tasks[[#This Row],[WBS]],FIND(".",Tasks[[#This Row],[WBS]]&amp;".")-1))</f>
        <v/>
      </c>
      <c r="GJ84" s="42">
        <f>IF(AND(Tasks[[#This Row],[Task Name]]&lt;&gt;"",Tasks[[#This Row],[_Level]]=1),Tasks[[#This Row],[_Row]],"")</f>
        <v/>
      </c>
      <c r="GK84" s="42">
        <f>IF(AND(Tasks[[#This Row],[_IsLeaf]]=1,N(Tasks[[#This Row],[_Days]])=0),Tasks[[#This Row],[Planned Finish]]+Tasks[[#This Row],[_Row]]/100000,"")</f>
        <v/>
      </c>
      <c r="GL84" s="42">
        <f>IF(AND(Tasks[[#This Row],[_IsLeaf]]=1,Tasks[[#This Row],[_LeafProgress]]&lt;1,OR(N(Tasks[[#This Row],[Finish Var]])&gt;0,Tasks[[#This Row],[Status]]="Late Start")),MAX(0,Tasks[[#This Row],[Finish Var]])+1-Tasks[[#This Row],[_Row]]/1000000,"")</f>
        <v/>
      </c>
      <c r="GM84" s="42">
        <f>IF(AND(Tasks[[#This Row],[_IsLeaf]]=1,N(Tasks[[#This Row],[Actual Start]])=0,Tasks[[#This Row],[_ShownFcstStart]]&gt;=StatusDate,Tasks[[#This Row],[_ShownFcstStart]]&lt;=LookaheadEnd),Tasks[[#This Row],[_ShownFcstStart]]+Tasks[[#This Row],[_Row]]/100000,"")</f>
        <v/>
      </c>
      <c r="GN84" s="42">
        <f>IF(AND(Tasks[[#This Row],[_IsLeaf]]=1,Tasks[[#This Row],[_LeafProgress]]&lt;1,Tasks[[#This Row],[_ShownFcstFinish]]&gt;=StatusDate,Tasks[[#This Row],[_ShownFcstFinish]]&lt;=LookaheadEnd),Tasks[[#This Row],[_ShownFcstFinish]]+Tasks[[#This Row],[_Row]]/100000,"")</f>
        <v/>
      </c>
      <c r="GO84" s="42">
        <f>IF(Tasks[[#This Row],[_LeafCritical]],Tasks[[#This Row],[_ShownFcstStart]]+Tasks[[#This Row],[_Row]]/100000,"")</f>
        <v/>
      </c>
      <c r="GP84" s="42">
        <f>Tasks[[#This Row],[_LeafWork]]*Tasks[[#This Row],[_LeafProgress]]</f>
        <v/>
      </c>
      <c r="GQ84" s="88">
        <f>IF(AND(Tasks[[#This Row],[_IsLeaf]]=1,Tasks[[#This Row],[_LeafProgress]]&gt;=1),IF(N(Tasks[[#This Row],[Actual Finish]])&gt;0,Tasks[[#This Row],[Actual Finish]],Tasks[[#This Row],[_ShownFcstFinish]]),"")</f>
        <v/>
      </c>
      <c r="GR84" s="42">
        <f>IF(Tasks[[#This Row],[_IsLeaf]]=1,N(Tasks[[#This Row],[Story Points]]),0)</f>
        <v/>
      </c>
      <c r="GS84" s="42">
        <f>""</f>
        <v/>
      </c>
      <c r="GT84" s="42">
        <f>IF(Tasks[[#This Row],[Task Name]]="",FALSE(),AND(Tasks[[#This Row],[_IsLeaf]]=1,N(Tasks[[#This Row],[_Days]])=0))</f>
        <v/>
      </c>
      <c r="GU84" s="88">
        <f>IF(Tasks[[#This Row],[Task Name]]="",0,IF(AND(Tasks[[#This Row],[_IsLeaf]]=1,NOT(Tasks[[#This Row],[_IsMilestone]]),N(Tasks[[#This Row],[Progress]])&gt;0),Tasks[[#This Row],[Start]],0))</f>
        <v/>
      </c>
      <c r="GV84" s="88">
        <f>IF(Tasks[[#This Row],[_DoneFrom]]=0,0,IF(Tasks[[#This Row],[Progress]]&gt;=1,Tasks[[#This Row],[Finish]],MAX(Tasks[[#This Row],[_DoneFrom]],Tasks[[#This Row],[Start]]+ROUND((Tasks[[#This Row],[Finish]]-Tasks[[#This Row],[Start]]+1)*Tasks[[#This Row],[Progress]],0)-1)))</f>
        <v/>
      </c>
      <c r="GW84" s="88">
        <f>IF(Tasks[[#This Row],[Task Name]]="",0,IF(OR(NOT(Tasks[[#This Row],[_IsLeaf]]=1),Tasks[[#This Row],[_IsMilestone]],N(Tasks[[#This Row],[Progress]])&gt;=1),0,IF(Tasks[[#This Row],[_DoneTo]]&gt;0,Tasks[[#This Row],[_DoneTo]]+1,Tasks[[#This Row],[Start]])))</f>
        <v/>
      </c>
      <c r="GX84" s="88">
        <f>IF(Tasks[[#This Row],[_RemFrom]]=0,0,Tasks[[#This Row],[Finish]])</f>
        <v/>
      </c>
      <c r="GY84" s="42">
        <f>IF(Tasks[[#This Row],[Task Name]]="",FALSE(),OR(NOT(BaselineSet),N(Tasks[[#This Row],[Baseline Start]])&gt;0))</f>
        <v/>
      </c>
      <c r="GZ84" s="42">
        <f>IF(AND(Sandbox="Yes",L_PARSE_DURATION(Tasks[[#This Row],[Sandbox Duration]])&lt;&gt;""),L_PARSE_DURATION(Tasks[[#This Row],[Sandbox Duration]]),L_PARSE_DURATION(Tasks[[#This Row],[Duration]]))</f>
        <v/>
      </c>
      <c r="HA8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4" s="42">
        <f>IF(Tasks[[#This Row],[_IsLeaf]]=1,Tasks[[#This Row],[_Row]],"")</f>
        <v/>
      </c>
      <c r="HD84" s="42">
        <f>IFERROR(INDEX(Tasks[UID],SMALL(Tasks[_PickKey],Tasks[[#This Row],[_Row]]))&amp;" "&amp;INDEX(Tasks[Task Name],SMALL(Tasks[_PickKey],Tasks[[#This Row],[_Row]])),"")</f>
        <v/>
      </c>
      <c r="HE84" s="42">
        <f>IF(Tasks[[#This Row],[Task Name]]="","",IF(Tasks[[#This Row],[_IsSummary]],NETWORKDAYS.INTL(Tasks[[#This Row],[Start]],Tasks[[#This Row],[Finish]],WorkWeek,Holidays),N(Tasks[[#This Row],[_Days]])))</f>
        <v/>
      </c>
      <c r="HF84" s="42">
        <f>IF(Tasks[[#This Row],[Expected]]="",0,((Tasks[[#This Row],[Pessimistic]]-Tasks[[#This Row],[Optimistic]])/6)^2)</f>
        <v/>
      </c>
      <c r="HG84" s="42">
        <f>IF(Tasks[[#This Row],[Expected]]="",0,Tasks[[#This Row],[Expected]]-N(Tasks[[#This Row],[_Days]]))</f>
        <v/>
      </c>
    </row>
    <row r="85">
      <c r="A85" s="21">
        <f>IF(Tasks[[#This Row],[Task Name]]="","",COUNTA(Tasks[[#Headers],[Task Name]]:Tasks[[#This Row],[Task Name]])-1)</f>
        <v/>
      </c>
      <c r="B85" s="22" t="n">
        <v>93</v>
      </c>
      <c r="C85" s="22" t="n"/>
      <c r="D85" s="23" t="n"/>
      <c r="E85" s="22" t="n"/>
      <c r="F85" s="23" t="n"/>
      <c r="G85" s="22" t="n"/>
      <c r="H85" s="22" t="n"/>
      <c r="I85" s="23" t="n"/>
      <c r="J85" s="22" t="n"/>
      <c r="K85" s="22" t="n"/>
      <c r="L85" s="23" t="n"/>
      <c r="M85" s="22" t="n"/>
      <c r="N85" s="22" t="n"/>
      <c r="O85" s="23" t="n"/>
      <c r="P85" s="22" t="n"/>
      <c r="Q85" s="22" t="n"/>
      <c r="R85" s="23" t="n"/>
      <c r="S85" s="23" t="n"/>
      <c r="T85" s="82" t="n"/>
      <c r="U85" s="23" t="n"/>
      <c r="V85" s="82" t="n"/>
      <c r="W85" s="23" t="n"/>
      <c r="X85" s="82" t="n"/>
      <c r="Y85" s="23" t="n"/>
      <c r="Z85" s="82" t="n"/>
      <c r="AA85" s="23" t="n"/>
      <c r="AB85" s="23" t="n"/>
      <c r="AC85" s="7" t="n"/>
      <c r="AD85" s="7" t="n"/>
      <c r="AE85" s="61">
        <f>IF(Tasks[[#This Row],[Task Name]]="","",IF(Tasks[[#This Row],[_IsSummary]],MIN(INDEX(Tasks[_ShownFcstStart],Tasks[[#This Row],[_Row]]+1):INDEX(Tasks[_ShownFcstStart],Tasks[[#This Row],[_Row]]+Tasks[[#This Row],[_Descendants]])),Tasks[[#This Row],[_ShownFcstStart]]))</f>
        <v/>
      </c>
      <c r="AF85" s="61">
        <f>IF(Tasks[[#This Row],[Task Name]]="","",IF(Tasks[[#This Row],[_IsSummary]],MAX(INDEX(Tasks[_ShownFcstFinish],Tasks[[#This Row],[_Row]]+1):INDEX(Tasks[_ShownFcstFinish],Tasks[[#This Row],[_Row]]+Tasks[[#This Row],[_Descendants]])),Tasks[[#This Row],[_ShownFcstFinish]]))</f>
        <v/>
      </c>
      <c r="AG85" s="21">
        <f>""</f>
        <v/>
      </c>
      <c r="AH85" s="23" t="n"/>
      <c r="AI8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5" s="7" t="n"/>
      <c r="AK85" s="22" t="n"/>
      <c r="AL85" s="23" t="n"/>
      <c r="AM85" s="7" t="n"/>
      <c r="AN85" s="21">
        <f>IF(Tasks[[#This Row],[Task Name]]="","",IF(Tasks[[#This Row],[Finish]]&gt;=Tasks[[#This Row],[Planned Finish]],NETWORKDAYS.INTL(Tasks[[#This Row],[Planned Finish]],Tasks[[#This Row],[Finish]],WorkWeek,Holidays)-1,1-NETWORKDAYS.INTL(Tasks[[#This Row],[Finish]],Tasks[[#This Row],[Planned Finish]],WorkWeek,Holidays)))</f>
        <v/>
      </c>
      <c r="AO85" s="21">
        <f>IF(Tasks[[#This Row],[Task Name]]="","",IF(Tasks[[#This Row],[Progress]]&gt;=1,"Complete",IF(OR(N(Tasks[[#This Row],[Actual Start]])&gt;0,Tasks[[#This Row],[Progress]]&gt;0),IF(Tasks[[#This Row],[Finish Var]]&gt;0,"Behind","In Progress"),IF(Tasks[[#This Row],[Planned Start]]&lt;StatusDate,"Late Start","Not Started"))))</f>
        <v/>
      </c>
      <c r="AP85" s="21">
        <f>IF(Tasks[[#This Row],[Task Name]]="","",IF(IF(Tasks[[#This Row],[_IsSummary]],COUNTIF(INDEX(Tasks[_LeafCritical],Tasks[[#This Row],[_Row]]+1):INDEX(Tasks[_LeafCritical],Tasks[[#This Row],[_Row]]+Tasks[[#This Row],[_Descendants]]),TRUE())&gt;0,Tasks[[#This Row],[_LeafCritical]]),"Yes",""))</f>
        <v/>
      </c>
      <c r="AQ85" s="61">
        <f>IF(Tasks[[#This Row],[Task Name]]="","",IF(N(Tasks[[#This Row],[Baseline Start]])&gt;0,Tasks[[#This Row],[Baseline Start]],Tasks[[#This Row],[_CalcStart]]))</f>
        <v/>
      </c>
      <c r="AR85" s="61">
        <f>IF(Tasks[[#This Row],[Task Name]]="","",IF(N(Tasks[[#This Row],[Baseline Finish]])&gt;0,Tasks[[#This Row],[Baseline Finish]],Tasks[[#This Row],[_CalcFinish]]))</f>
        <v/>
      </c>
      <c r="AS85" s="21">
        <f>IF(Tasks[[#This Row],[Task Name]]="","",IF(Tasks[[#This Row],[Start]]&gt;=Tasks[[#This Row],[Planned Start]],NETWORKDAYS.INTL(Tasks[[#This Row],[Planned Start]],Tasks[[#This Row],[Start]],WorkWeek,Holidays)-1,1-NETWORKDAYS.INTL(Tasks[[#This Row],[Start]],Tasks[[#This Row],[Planned Start]],WorkWeek,Holidays)))</f>
        <v/>
      </c>
      <c r="AT85" s="61">
        <f>IF(Tasks[[#This Row],[Task Name]]="","",IF(Tasks[[#This Row],[_IsSummary]],MIN(INDEX(Tasks[_LeafLateStart],Tasks[[#This Row],[_Row]]+1):INDEX(Tasks[_LeafLateStart],Tasks[[#This Row],[_Row]]+Tasks[[#This Row],[_Descendants]])),Tasks[[#This Row],[_LeafLateStart]]))</f>
        <v/>
      </c>
      <c r="AU85" s="61">
        <f>IF(Tasks[[#This Row],[Task Name]]="","",IF(Tasks[[#This Row],[_IsSummary]],MAX(INDEX(Tasks[_LeafLateFinish],Tasks[[#This Row],[_Row]]+1):INDEX(Tasks[_LeafLateFinish],Tasks[[#This Row],[_Row]]+Tasks[[#This Row],[_Descendants]])),Tasks[[#This Row],[_LeafLateFinish]]))</f>
        <v/>
      </c>
      <c r="AV85" s="21">
        <f>IF(Tasks[[#This Row],[Task Name]]="","",IF(Tasks[[#This Row],[_IsSummary]],MIN(INDEX(Tasks[_LeafTotalSlack],Tasks[[#This Row],[_Row]]+1):INDEX(Tasks[_LeafTotalSlack],Tasks[[#This Row],[_Row]]+Tasks[[#This Row],[_Descendants]])),Tasks[[#This Row],[_LeafTotalSlack]]))</f>
        <v/>
      </c>
      <c r="AW8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3" t="n"/>
      <c r="BA8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f>IF(Tasks[[#This Row],[Task Name]]="","",IF(Tasks[[#This Row],[_Level]]&lt;=OutlineShowLevel,"Yes","No"))</f>
        <v/>
      </c>
      <c r="BE85" s="84">
        <f>IF(Tasks[[#This Row],[Task Name]]="","",IF(Tasks[[#This Row],[_IsSummary]],SUM(INDEX(Tasks[_LeafTotalWork],Tasks[[#This Row],[_Row]]+1):INDEX(Tasks[_LeafTotalWork],Tasks[[#This Row],[_Row]]+Tasks[[#This Row],[_Descendants]])),Tasks[[#This Row],[_LeafTotalWork]]))</f>
        <v/>
      </c>
      <c r="BF85" s="23" t="n"/>
      <c r="BG8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f>""</f>
        <v/>
      </c>
      <c r="BI85" s="85" t="n"/>
      <c r="BJ85" s="22" t="n"/>
      <c r="BK85" s="21">
        <f>IF(OR(Tasks[[#This Row],[Task Name]]="",Tasks[[#This Row],[Baseline Duration]]=""),"",Tasks[[#This Row],[_SpanDays]]-N(Tasks[[#This Row],[Baseline Duration]]))</f>
        <v/>
      </c>
      <c r="BL85" s="84">
        <f>IF(OR(Tasks[[#This Row],[Task Name]]="",Tasks[[#This Row],[Baseline Work]]=""),"",Tasks[[#This Row],[Work]]-N(Tasks[[#This Row],[Baseline Work]]))</f>
        <v/>
      </c>
      <c r="BM85" s="61">
        <f>IF(Tasks[[#This Row],[Task Name]]="","",IF(OR(TakeBaseline="Yes",N(Tasks[[#This Row],[Baseline Start]])=0),Tasks[[#This Row],[Start]],Tasks[[#This Row],[Baseline Start]]))</f>
        <v/>
      </c>
      <c r="BN85" s="61">
        <f>IF(Tasks[[#This Row],[Task Name]]="","",IF(OR(TakeBaseline="Yes",N(Tasks[[#This Row],[Baseline Finish]])=0),Tasks[[#This Row],[Finish]],Tasks[[#This Row],[Baseline Finish]]))</f>
        <v/>
      </c>
      <c r="BO85" s="21">
        <f>IF(Tasks[[#This Row],[Task Name]]="","",IF(OR(TakeBaseline="Yes",N(Tasks[[#This Row],[Baseline Duration]])=0),Tasks[[#This Row],[_SpanDays]],Tasks[[#This Row],[Baseline Duration]]))</f>
        <v/>
      </c>
      <c r="BP85" s="84">
        <f>IF(Tasks[[#This Row],[Task Name]]="","",IF(OR(TakeBaseline="Yes",N(Tasks[[#This Row],[Baseline Work]])=0),Tasks[[#This Row],[Work]],Tasks[[#This Row],[Baseline Work]]))</f>
        <v/>
      </c>
      <c r="BQ85" s="7" t="n"/>
      <c r="BR85" s="7" t="n"/>
      <c r="BS85" s="22" t="n"/>
      <c r="BT85" s="86" t="n"/>
      <c r="BU85" s="23" t="n"/>
      <c r="BV85" s="23" t="n"/>
      <c r="BW85" s="23" t="n"/>
      <c r="BX85" s="87">
        <f>IF(AND(Tasks[[#This Row],[_IsLeaf]]=1,ISNUMBER(Tasks[[#This Row],[Optimistic]]),ISNUMBER(Tasks[[#This Row],[Pessimistic]])),ROUND((Tasks[[#This Row],[Optimistic]]+4*N(Tasks[[#This Row],[_Days]])+Tasks[[#This Row],[Pessimistic]])/6,1),"")</f>
        <v/>
      </c>
      <c r="BY85" s="85" t="n"/>
      <c r="BZ85" s="85" t="n"/>
      <c r="CA85" s="22" t="n"/>
      <c r="CB85" s="42">
        <f>IF(Tasks[[#This Row],[Task Name]]="","",MAX(1,N(Tasks[[#This Row],[Level]])))</f>
        <v/>
      </c>
      <c r="CC85" s="42">
        <f>ROW()-ROW(Tasks[[#Headers],[ID]])</f>
        <v/>
      </c>
      <c r="CD85" s="42">
        <f>IF(OR(Tasks[[#This Row],[Task Name]]="",Tasks[[#This Row],[_Level]]&lt;=1),0,IFERROR(LOOKUP(2,1/(Tasks[[#Headers],[_Level]]:Tasks[[#This Row],[_Level]]=Tasks[[#This Row],[_Level]]-1),ROW(Tasks[[#Headers],[_Level]]:Tasks[[#This Row],[_Level]])),0))</f>
        <v/>
      </c>
      <c r="CE85" s="42">
        <f>IFERROR(N(INDEX(Tasks[_Level],Tasks[[#This Row],[_Row]]+1)),0)</f>
        <v/>
      </c>
      <c r="CF85" s="42">
        <f>AND(Tasks[[#This Row],[Task Name]]&lt;&gt;"",Tasks[[#This Row],[_NextLevel]]&gt;Tasks[[#This Row],[_Level]])</f>
        <v/>
      </c>
      <c r="CG85" s="42">
        <f>IF(Tasks[[#This Row],[_IsSummary]],COUNTIF(Tasks[WBS],Tasks[[#This Row],[WBS]]&amp;".*"),0)</f>
        <v/>
      </c>
      <c r="CH85" s="42">
        <f>IF(AND(Tasks[[#This Row],[Task Name]]&lt;&gt;"",NOT(Tasks[[#This Row],[_IsSummary]])),1,0)</f>
        <v/>
      </c>
      <c r="CI85" s="42">
        <f>IF(N(Tasks[[#This Row],[_Pred1UID]])=0,0,IFERROR(MATCH(Tasks[[#This Row],[_Pred1UID]],Tasks[UID],0),-1))</f>
        <v/>
      </c>
      <c r="CJ85" s="42">
        <f>IF(N(Tasks[[#This Row],[_Pred2UID]])=0,0,IFERROR(MATCH(Tasks[[#This Row],[_Pred2UID]],Tasks[UID],0),-1))</f>
        <v/>
      </c>
      <c r="CK85" s="42">
        <f>IF(N(Tasks[[#This Row],[_Pred3UID]])=0,0,IFERROR(MATCH(Tasks[[#This Row],[_Pred3UID]],Tasks[UID],0),-1))</f>
        <v/>
      </c>
      <c r="CL85" s="42">
        <f>IF(N(Tasks[[#This Row],[_Pred4UID]])=0,0,IFERROR(MATCH(Tasks[[#This Row],[_Pred4UID]],Tasks[UID],0),-1))</f>
        <v/>
      </c>
      <c r="CM8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5" s="88">
        <f>IF(N(Tasks[[#This Row],[Constraint Date]])=0,0,IF(AND(OR(Tasks[[#This Row],[_ConstraintCode]]=3,Tasks[[#This Row],[_ConstraintCode]]=6,Tasks[[#This Row],[_ConstraintCode]]=7),N(Tasks[[#This Row],[_Days]])&gt;1),WORKDAY.INTL(N(Tasks[[#This Row],[Constraint Date]]),-(N(Tasks[[#This Row],[_Days]])-1),WorkWeek,Holidays),N(Tasks[[#This Row],[Constraint Date]])))</f>
        <v/>
      </c>
      <c r="CO85" s="88">
        <f>IF(OR(Tasks[[#This Row],[_ConstraintCode]]=2,Tasks[[#This Row],[_ConstraintCode]]=3,Tasks[[#This Row],[_ConstraintCode]]=4,Tasks[[#This Row],[_ConstraintCode]]=6),Tasks[[#This Row],[_ConstraintStart]],0)</f>
        <v/>
      </c>
      <c r="CP85" s="88">
        <f>IF(OR(Tasks[[#This Row],[_ConstraintCode]]=2,Tasks[[#This Row],[_ConstraintCode]]=3,Tasks[[#This Row],[_ConstraintCode]]=5,Tasks[[#This Row],[_ConstraintCode]]=7),Tasks[[#This Row],[_ConstraintStart]],2958465)</f>
        <v/>
      </c>
      <c r="CQ8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5" s="88">
        <f>IF(NOT(Tasks[[#This Row],[_IsLeaf]]=1),"",IF(N(Tasks[[#This Row],[_Days]])&lt;=0,Tasks[[#This Row],[_LeafCalcStart]],WORKDAY.INTL(Tasks[[#This Row],[_LeafCalcStart]],Tasks[[#This Row],[_Days]]-1,WorkWeek,Holidays)))</f>
        <v/>
      </c>
      <c r="CS8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5" s="42">
        <f>IF(Tasks[[#This Row],[_Predecessors]]="","",TRIM(MID(SUBSTITUTE(SUBSTITUTE(SUBSTITUTE(UPPER(Tasks[[#This Row],[_Predecessors]]),";",",")," ",""),",",REPT(" ",99)),1,99)))</f>
        <v/>
      </c>
      <c r="CV85" s="42">
        <f>IF(Tasks[[#This Row],[_Pred1Text]]="","",IFERROR(VALUE(LEFT(Tasks[[#This Row],[_Pred1Text]],MIN(FIND("F",Tasks[[#This Row],[_Pred1Text]]&amp;"F"),FIND("S",Tasks[[#This Row],[_Pred1Text]]&amp;"S"),FIND("+",Tasks[[#This Row],[_Pred1Text]]&amp;"+"),FIND("-",Tasks[[#This Row],[_Pred1Text]]&amp;"-"))-1)),""))</f>
        <v/>
      </c>
      <c r="CW8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5" s="42">
        <f>IF(Tasks[[#This Row],[_Pred1Text]]="","",TRIM(MID(SUBSTITUTE(SUBSTITUTE(SUBSTITUTE(UPPER(Tasks[[#This Row],[_Predecessors]]),";",",")," ",""),",",REPT(" ",99)),100,99)))</f>
        <v/>
      </c>
      <c r="CZ85" s="42">
        <f>IF(Tasks[[#This Row],[_Pred2Text]]="","",IFERROR(VALUE(LEFT(Tasks[[#This Row],[_Pred2Text]],MIN(FIND("F",Tasks[[#This Row],[_Pred2Text]]&amp;"F"),FIND("S",Tasks[[#This Row],[_Pred2Text]]&amp;"S"),FIND("+",Tasks[[#This Row],[_Pred2Text]]&amp;"+"),FIND("-",Tasks[[#This Row],[_Pred2Text]]&amp;"-"))-1)),""))</f>
        <v/>
      </c>
      <c r="DA8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5" s="42">
        <f>IF(Tasks[[#This Row],[_Pred2Text]]="","",TRIM(MID(SUBSTITUTE(SUBSTITUTE(SUBSTITUTE(UPPER(Tasks[[#This Row],[_Predecessors]]),";",",")," ",""),",",REPT(" ",99)),199,99)))</f>
        <v/>
      </c>
      <c r="DD85" s="42">
        <f>IF(Tasks[[#This Row],[_Pred3Text]]="","",IFERROR(VALUE(LEFT(Tasks[[#This Row],[_Pred3Text]],MIN(FIND("F",Tasks[[#This Row],[_Pred3Text]]&amp;"F"),FIND("S",Tasks[[#This Row],[_Pred3Text]]&amp;"S"),FIND("+",Tasks[[#This Row],[_Pred3Text]]&amp;"+"),FIND("-",Tasks[[#This Row],[_Pred3Text]]&amp;"-"))-1)),""))</f>
        <v/>
      </c>
      <c r="DE8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5" s="42">
        <f>IF(Tasks[[#This Row],[_Pred3Text]]="","",TRIM(MID(SUBSTITUTE(SUBSTITUTE(SUBSTITUTE(UPPER(Tasks[[#This Row],[_Predecessors]]),";",",")," ",""),",",REPT(" ",99)),298,99)))</f>
        <v/>
      </c>
      <c r="DH85" s="42">
        <f>IF(Tasks[[#This Row],[_Pred4Text]]="","",IFERROR(VALUE(LEFT(Tasks[[#This Row],[_Pred4Text]],MIN(FIND("F",Tasks[[#This Row],[_Pred4Text]]&amp;"F"),FIND("S",Tasks[[#This Row],[_Pred4Text]]&amp;"S"),FIND("+",Tasks[[#This Row],[_Pred4Text]]&amp;"+"),FIND("-",Tasks[[#This Row],[_Pred4Text]]&amp;"-"))-1)),""))</f>
        <v/>
      </c>
      <c r="DI8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5" s="42">
        <f>IF(OR(Tasks[[#This Row],[Task Name]]="",Tasks[[#This Row],[_Resources]]=""),"",TRIM(MID(SUBSTITUTE(Tasks[[#This Row],[_Resources]],",",REPT(" ",99)),1,99)))</f>
        <v/>
      </c>
      <c r="DL85" s="42">
        <f>IF(Tasks[[#This Row],[_Res1Text]]="","",TRIM(MID(SUBSTITUTE(Tasks[[#This Row],[_Resources]],",",REPT(" ",99)),100,99)))</f>
        <v/>
      </c>
      <c r="DM85" s="42">
        <f>IF(Tasks[[#This Row],[_Res2Text]]="","",TRIM(MID(SUBSTITUTE(Tasks[[#This Row],[_Resources]],",",REPT(" ",99)),199,99)))</f>
        <v/>
      </c>
      <c r="DN85" s="42">
        <f>IF(Tasks[[#This Row],[_Res3Text]]="","",TRIM(MID(SUBSTITUTE(Tasks[[#This Row],[_Resources]],",",REPT(" ",99)),298,99)))</f>
        <v/>
      </c>
      <c r="DO85" s="42">
        <f>IF(Tasks[[#This Row],[_Res1Text]]="",0,IFERROR(MATCH(TRIM(LEFT(Tasks[[#This Row],[_Res1Text]],FIND("[",Tasks[[#This Row],[_Res1Text]]&amp;"[")-1)),res_Name,0),IFERROR(MATCH(TRIM(LEFT(Tasks[[#This Row],[_Res1Text]],FIND("[",Tasks[[#This Row],[_Res1Text]]&amp;"[")-1)),res_Initials,0),0)))</f>
        <v/>
      </c>
      <c r="DP85" s="42">
        <f>IF(Tasks[[#This Row],[_Res2Text]]="",0,IFERROR(MATCH(TRIM(LEFT(Tasks[[#This Row],[_Res2Text]],FIND("[",Tasks[[#This Row],[_Res2Text]]&amp;"[")-1)),res_Name,0),IFERROR(MATCH(TRIM(LEFT(Tasks[[#This Row],[_Res2Text]],FIND("[",Tasks[[#This Row],[_Res2Text]]&amp;"[")-1)),res_Initials,0),0)))</f>
        <v/>
      </c>
      <c r="DQ85" s="42">
        <f>IF(Tasks[[#This Row],[_Res3Text]]="",0,IFERROR(MATCH(TRIM(LEFT(Tasks[[#This Row],[_Res3Text]],FIND("[",Tasks[[#This Row],[_Res3Text]]&amp;"[")-1)),res_Name,0),IFERROR(MATCH(TRIM(LEFT(Tasks[[#This Row],[_Res3Text]],FIND("[",Tasks[[#This Row],[_Res3Text]]&amp;"[")-1)),res_Initials,0),0)))</f>
        <v/>
      </c>
      <c r="DR85" s="42">
        <f>IF(Tasks[[#This Row],[_Res4Text]]="",0,IFERROR(MATCH(TRIM(LEFT(Tasks[[#This Row],[_Res4Text]],FIND("[",Tasks[[#This Row],[_Res4Text]]&amp;"[")-1)),res_Name,0),IFERROR(MATCH(TRIM(LEFT(Tasks[[#This Row],[_Res4Text]],FIND("[",Tasks[[#This Row],[_Res4Text]]&amp;"[")-1)),res_Initials,0),0)))</f>
        <v/>
      </c>
      <c r="DS85" s="42">
        <f>IF(Tasks[[#This Row],[_Res1Text]]="","",IF(Tasks[[#This Row],[_Res1Row]]&gt;0,INDEX(res_Name,Tasks[[#This Row],[_Res1Row]]),TRIM(LEFT(Tasks[[#This Row],[_Res1Text]],FIND("[",Tasks[[#This Row],[_Res1Text]]&amp;"[")-1))))</f>
        <v/>
      </c>
      <c r="DT8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5" s="42">
        <f>IF(NOT(Tasks[[#This Row],[_IsLeaf]]=1),0,(Tasks[[#This Row],[_Resource1]]&lt;&gt;"")+(Tasks[[#This Row],[_Res2]]&lt;&gt;"")+(Tasks[[#This Row],[_Res3]]&lt;&gt;"")+(Tasks[[#This Row],[_Res4]]&lt;&gt;""))</f>
        <v/>
      </c>
      <c r="DV85" s="42">
        <f>IF(Tasks[[#This Row],[_Res2Text]]="","",IF(Tasks[[#This Row],[_Res2Row]]&gt;0,INDEX(res_Name,Tasks[[#This Row],[_Res2Row]]),TRIM(LEFT(Tasks[[#This Row],[_Res2Text]],FIND("[",Tasks[[#This Row],[_Res2Text]]&amp;"[")-1))))</f>
        <v/>
      </c>
      <c r="DW8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5" s="42">
        <f>IF(OR(NOT(Tasks[[#This Row],[_IsLeaf]]=1),Tasks[[#This Row],[_Res2Row]]=0),0,N(Tasks[[#This Row],[_Days]])*HoursPerDay*IF(Tasks[[#This Row],[_Res2Units]]="",DefaultUnits,Tasks[[#This Row],[_Res2Units]]))</f>
        <v/>
      </c>
      <c r="DY85" s="42">
        <f>IF(AND(AND(Tasks[[#This Row],[_IsLeaf]]=1,Tasks[[#This Row],[_LeafTotalWork]]&gt;0),Tasks[[#This Row],[_Res2Work]]&gt;0),Tasks[[#This Row],[_Res2Work]]/(Tasks[[#This Row],[_FinishWorkday]]-Tasks[[#This Row],[_StartWorkday]]+1),0)</f>
        <v/>
      </c>
      <c r="DZ85" s="42">
        <f>Tasks[[#This Row],[_Res2WorkPerWD]]*MAX(0,Tasks[[#This Row],[_StartWorkday]]-1)</f>
        <v/>
      </c>
      <c r="EA85" s="42">
        <f>Tasks[[#This Row],[_Res2Work]]*Tasks[[#This Row],[_LeafProgress]]</f>
        <v/>
      </c>
      <c r="EB85" s="42">
        <f>IF(Tasks[[#This Row],[_Res3Text]]="","",IF(Tasks[[#This Row],[_Res3Row]]&gt;0,INDEX(res_Name,Tasks[[#This Row],[_Res3Row]]),TRIM(LEFT(Tasks[[#This Row],[_Res3Text]],FIND("[",Tasks[[#This Row],[_Res3Text]]&amp;"[")-1))))</f>
        <v/>
      </c>
      <c r="EC8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5" s="42">
        <f>IF(OR(NOT(Tasks[[#This Row],[_IsLeaf]]=1),Tasks[[#This Row],[_Res3Row]]=0),0,N(Tasks[[#This Row],[_Days]])*HoursPerDay*IF(Tasks[[#This Row],[_Res3Units]]="",DefaultUnits,Tasks[[#This Row],[_Res3Units]]))</f>
        <v/>
      </c>
      <c r="EE85" s="42">
        <f>IF(AND(AND(Tasks[[#This Row],[_IsLeaf]]=1,Tasks[[#This Row],[_LeafTotalWork]]&gt;0),Tasks[[#This Row],[_Res3Work]]&gt;0),Tasks[[#This Row],[_Res3Work]]/(Tasks[[#This Row],[_FinishWorkday]]-Tasks[[#This Row],[_StartWorkday]]+1),0)</f>
        <v/>
      </c>
      <c r="EF85" s="42">
        <f>Tasks[[#This Row],[_Res3WorkPerWD]]*MAX(0,Tasks[[#This Row],[_StartWorkday]]-1)</f>
        <v/>
      </c>
      <c r="EG85" s="42">
        <f>Tasks[[#This Row],[_Res3Work]]*Tasks[[#This Row],[_LeafProgress]]</f>
        <v/>
      </c>
      <c r="EH85" s="42">
        <f>IF(Tasks[[#This Row],[_Res4Text]]="","",IF(Tasks[[#This Row],[_Res4Row]]&gt;0,INDEX(res_Name,Tasks[[#This Row],[_Res4Row]]),TRIM(LEFT(Tasks[[#This Row],[_Res4Text]],FIND("[",Tasks[[#This Row],[_Res4Text]]&amp;"[")-1))))</f>
        <v/>
      </c>
      <c r="EI8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5" s="42">
        <f>IF(OR(NOT(Tasks[[#This Row],[_IsLeaf]]=1),Tasks[[#This Row],[_Res4Row]]=0),0,N(Tasks[[#This Row],[_Days]])*HoursPerDay*IF(Tasks[[#This Row],[_Res4Units]]="",DefaultUnits,Tasks[[#This Row],[_Res4Units]]))</f>
        <v/>
      </c>
      <c r="EK85" s="42">
        <f>IF(AND(AND(Tasks[[#This Row],[_IsLeaf]]=1,Tasks[[#This Row],[_LeafTotalWork]]&gt;0),Tasks[[#This Row],[_Res4Work]]&gt;0),Tasks[[#This Row],[_Res4Work]]/(Tasks[[#This Row],[_FinishWorkday]]-Tasks[[#This Row],[_StartWorkday]]+1),0)</f>
        <v/>
      </c>
      <c r="EL85" s="42">
        <f>Tasks[[#This Row],[_Res4WorkPerWD]]*MAX(0,Tasks[[#This Row],[_StartWorkday]]-1)</f>
        <v/>
      </c>
      <c r="EM85" s="42">
        <f>Tasks[[#This Row],[_Res4Work]]*Tasks[[#This Row],[_LeafProgress]]</f>
        <v/>
      </c>
      <c r="EN85" s="42">
        <f>IF(ISNUMBER(Tasks[[#This Row],[% Complete]]),Tasks[[#This Row],[% Complete]],IF(Tasks[[#This Row],[Stage]]="",0,IFERROR(INDEX(stg_Pct,MATCH(Tasks[[#This Row],[Stage]],stg_Name,0)),0)))</f>
        <v/>
      </c>
      <c r="EO85" s="42">
        <f>IF(NOT(Tasks[[#This Row],[_IsLeaf]]=1),0,IF(N(Tasks[[#This Row],[Actual Finish]])&gt;0,1,MIN(1,Tasks[[#This Row],[_Pct]])))</f>
        <v/>
      </c>
      <c r="EP85" s="42">
        <f>IF(OR(NOT(Tasks[[#This Row],[_IsLeaf]]=1),Tasks[[#This Row],[_Res1Row]]=0),0,N(Tasks[[#This Row],[_Days]])*HoursPerDay*IF(Tasks[[#This Row],[_Units1]]="",DefaultUnits,Tasks[[#This Row],[_Units1]]))</f>
        <v/>
      </c>
      <c r="EQ85" s="42">
        <f>Tasks[[#This Row],[_LeafWork]]+Tasks[[#This Row],[_Res2Work]]+Tasks[[#This Row],[_Res3Work]]+Tasks[[#This Row],[_Res4Work]]</f>
        <v/>
      </c>
      <c r="ER8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5" s="42">
        <f>IF(NOT(Tasks[[#This Row],[_IsLeaf]]=1),0,MAX(_xlfn.MAXIFS(Tasks[_Row],Tasks[_Pred1UID],Tasks[[#This Row],[UID]]),_xlfn.MAXIFS(Tasks[_Row],Tasks[_Pred2UID],Tasks[[#This Row],[UID]]),_xlfn.MAXIFS(Tasks[_Row],Tasks[_Pred3UID],Tasks[[#This Row],[UID]]),_xlfn.MAXIFS(Tasks[_Row],Tasks[_Pred4UID],Tasks[[#This Row],[UID]])))</f>
        <v/>
      </c>
      <c r="FA8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5" s="88">
        <f>IF(NOT(Tasks[[#This Row],[_IsLeaf]]=1),"",IF(N(Tasks[[#This Row],[_Days]])&lt;=0,Tasks[[#This Row],[_LeafLateFinish]],WORKDAY.INTL(Tasks[[#This Row],[_LeafLateFinish]],-(Tasks[[#This Row],[_Days]]-1),WorkWeek,Holidays)))</f>
        <v/>
      </c>
      <c r="FD8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5" s="42">
        <f>AND(Tasks[[#This Row],[_IsLeaf]]=1,Tasks[[#This Row],[_LeafProgress]]&lt;1,N(Tasks[[#This Row],[_LeafTotalSlack]])&lt;=CriticalSlackDays)</f>
        <v/>
      </c>
      <c r="FF85" s="42">
        <f>IF(AND(Tasks[[#This Row],[_IsLeaf]]=1,Tasks[[#This Row],[_ConstraintCode]]=1,Tasks[[#This Row],[Mode]]&lt;&gt;"Manual",N(Tasks[[#This Row],[Actual Start]])=0),MAX(0,N(Tasks[[#This Row],[Free Slack]])),0)</f>
        <v/>
      </c>
      <c r="FG85" s="88">
        <f>IF(NOT(Tasks[[#This Row],[_IsLeaf]]=1),"",IF(Tasks[[#This Row],[_AlapShift]]=0,Tasks[[#This Row],[_LeafCalcStart]],WORKDAY.INTL(Tasks[[#This Row],[_LeafCalcStart]],Tasks[[#This Row],[_AlapShift]],WorkWeek,Holidays)))</f>
        <v/>
      </c>
      <c r="FH85" s="88">
        <f>IF(NOT(Tasks[[#This Row],[_IsLeaf]]=1),"",IF(Tasks[[#This Row],[_AlapShift]]=0,Tasks[[#This Row],[_LeafCalcFinish]],WORKDAY.INTL(Tasks[[#This Row],[_LeafCalcFinish]],Tasks[[#This Row],[_AlapShift]],WorkWeek,Holidays)))</f>
        <v/>
      </c>
      <c r="FI85" s="88">
        <f>IF(NOT(Tasks[[#This Row],[_IsLeaf]]=1),"",IF(Tasks[[#This Row],[_AlapShift]]=0,Tasks[[#This Row],[_LeafFcstStart]],WORKDAY.INTL(Tasks[[#This Row],[_LeafFcstStart]],Tasks[[#This Row],[_AlapShift]],WorkWeek,Holidays)))</f>
        <v/>
      </c>
      <c r="FJ85" s="88">
        <f>IF(NOT(Tasks[[#This Row],[_IsLeaf]]=1),"",IF(Tasks[[#This Row],[_AlapShift]]=0,Tasks[[#This Row],[_LeafFcstFinish]],WORKDAY.INTL(Tasks[[#This Row],[_LeafFcstFinish]],Tasks[[#This Row],[_AlapShift]],WorkWeek,Holidays)))</f>
        <v/>
      </c>
      <c r="FK85" s="88">
        <f>IF(Tasks[[#This Row],[Task Name]]="","",IF(Tasks[[#This Row],[_IsSummary]],MIN(INDEX(Tasks[_ShownCalcStart],Tasks[[#This Row],[_Row]]+1):INDEX(Tasks[_ShownCalcStart],Tasks[[#This Row],[_Row]]+Tasks[[#This Row],[_Descendants]])),Tasks[[#This Row],[_ShownCalcStart]]))</f>
        <v/>
      </c>
      <c r="FL85" s="88">
        <f>IF(Tasks[[#This Row],[Task Name]]="","",IF(Tasks[[#This Row],[_IsSummary]],MAX(INDEX(Tasks[_ShownCalcFinish],Tasks[[#This Row],[_Row]]+1):INDEX(Tasks[_ShownCalcFinish],Tasks[[#This Row],[_Row]]+Tasks[[#This Row],[_Descendants]])),Tasks[[#This Row],[_ShownCalcFinish]]))</f>
        <v/>
      </c>
      <c r="FM8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5" s="42">
        <f>IF(AND(Tasks[[#This Row],[_IsLeaf]]=1,Tasks[[#This Row],[_LeafTotalWork]]&gt;0),NETWORKDAYS.INTL(ProjectStart,Tasks[[#This Row],[_ShownFcstStart]],WorkWeek,Holidays),0)</f>
        <v/>
      </c>
      <c r="FZ85" s="42">
        <f>IF(AND(Tasks[[#This Row],[_IsLeaf]]=1,Tasks[[#This Row],[_LeafTotalWork]]&gt;0),MAX(Tasks[[#This Row],[_StartWorkday]],NETWORKDAYS.INTL(ProjectStart,Tasks[[#This Row],[_ShownFcstFinish]],WorkWeek,Holidays)),0)</f>
        <v/>
      </c>
      <c r="GA85" s="42">
        <f>IF(AND(Tasks[[#This Row],[_IsLeaf]]=1,Tasks[[#This Row],[_LeafTotalWork]]&gt;0),Tasks[[#This Row],[_LeafWork]]/(Tasks[[#This Row],[_FinishWorkday]]-Tasks[[#This Row],[_StartWorkday]]+1),0)</f>
        <v/>
      </c>
      <c r="GB85" s="42">
        <f>Tasks[[#This Row],[_WorkPerWorkday]]*(Tasks[[#This Row],[_StartWorkday]]-1)</f>
        <v/>
      </c>
      <c r="GC85" s="42">
        <f>IF(Tasks[[#This Row],[_IsLeaf]]=1,MAX(N(Tasks[[#This Row],[_Days]]),0.1),0)</f>
        <v/>
      </c>
      <c r="GD85" s="42">
        <f>Tasks[[#This Row],[_WeightDur]]*Tasks[[#This Row],[_LeafProgress]]</f>
        <v/>
      </c>
      <c r="GE85" s="42">
        <f>Tasks[[#This Row],[_WeightDur]]*Tasks[[#This Row],[_PlannedPct]]</f>
        <v/>
      </c>
      <c r="GF8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5" s="42">
        <f>IF(AND(Tasks[[#This Row],[_IsLeaf]]=1,N(Tasks[[#This Row],[_Days]])=0,Tasks[[#This Row],[_LeafProgress]]&lt;1),Tasks[[#This Row],[_ShownFcstFinish]]+Tasks[[#This Row],[_Row]]/100000,"")</f>
        <v/>
      </c>
      <c r="GH8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5" s="42">
        <f>IF(Tasks[[#This Row],[Task Name]]="","",LEFT(Tasks[[#This Row],[WBS]],FIND(".",Tasks[[#This Row],[WBS]]&amp;".")-1))</f>
        <v/>
      </c>
      <c r="GJ85" s="42">
        <f>IF(AND(Tasks[[#This Row],[Task Name]]&lt;&gt;"",Tasks[[#This Row],[_Level]]=1),Tasks[[#This Row],[_Row]],"")</f>
        <v/>
      </c>
      <c r="GK85" s="42">
        <f>IF(AND(Tasks[[#This Row],[_IsLeaf]]=1,N(Tasks[[#This Row],[_Days]])=0),Tasks[[#This Row],[Planned Finish]]+Tasks[[#This Row],[_Row]]/100000,"")</f>
        <v/>
      </c>
      <c r="GL85" s="42">
        <f>IF(AND(Tasks[[#This Row],[_IsLeaf]]=1,Tasks[[#This Row],[_LeafProgress]]&lt;1,OR(N(Tasks[[#This Row],[Finish Var]])&gt;0,Tasks[[#This Row],[Status]]="Late Start")),MAX(0,Tasks[[#This Row],[Finish Var]])+1-Tasks[[#This Row],[_Row]]/1000000,"")</f>
        <v/>
      </c>
      <c r="GM85" s="42">
        <f>IF(AND(Tasks[[#This Row],[_IsLeaf]]=1,N(Tasks[[#This Row],[Actual Start]])=0,Tasks[[#This Row],[_ShownFcstStart]]&gt;=StatusDate,Tasks[[#This Row],[_ShownFcstStart]]&lt;=LookaheadEnd),Tasks[[#This Row],[_ShownFcstStart]]+Tasks[[#This Row],[_Row]]/100000,"")</f>
        <v/>
      </c>
      <c r="GN85" s="42">
        <f>IF(AND(Tasks[[#This Row],[_IsLeaf]]=1,Tasks[[#This Row],[_LeafProgress]]&lt;1,Tasks[[#This Row],[_ShownFcstFinish]]&gt;=StatusDate,Tasks[[#This Row],[_ShownFcstFinish]]&lt;=LookaheadEnd),Tasks[[#This Row],[_ShownFcstFinish]]+Tasks[[#This Row],[_Row]]/100000,"")</f>
        <v/>
      </c>
      <c r="GO85" s="42">
        <f>IF(Tasks[[#This Row],[_LeafCritical]],Tasks[[#This Row],[_ShownFcstStart]]+Tasks[[#This Row],[_Row]]/100000,"")</f>
        <v/>
      </c>
      <c r="GP85" s="42">
        <f>Tasks[[#This Row],[_LeafWork]]*Tasks[[#This Row],[_LeafProgress]]</f>
        <v/>
      </c>
      <c r="GQ85" s="88">
        <f>IF(AND(Tasks[[#This Row],[_IsLeaf]]=1,Tasks[[#This Row],[_LeafProgress]]&gt;=1),IF(N(Tasks[[#This Row],[Actual Finish]])&gt;0,Tasks[[#This Row],[Actual Finish]],Tasks[[#This Row],[_ShownFcstFinish]]),"")</f>
        <v/>
      </c>
      <c r="GR85" s="42">
        <f>IF(Tasks[[#This Row],[_IsLeaf]]=1,N(Tasks[[#This Row],[Story Points]]),0)</f>
        <v/>
      </c>
      <c r="GS85" s="42">
        <f>""</f>
        <v/>
      </c>
      <c r="GT85" s="42">
        <f>IF(Tasks[[#This Row],[Task Name]]="",FALSE(),AND(Tasks[[#This Row],[_IsLeaf]]=1,N(Tasks[[#This Row],[_Days]])=0))</f>
        <v/>
      </c>
      <c r="GU85" s="88">
        <f>IF(Tasks[[#This Row],[Task Name]]="",0,IF(AND(Tasks[[#This Row],[_IsLeaf]]=1,NOT(Tasks[[#This Row],[_IsMilestone]]),N(Tasks[[#This Row],[Progress]])&gt;0),Tasks[[#This Row],[Start]],0))</f>
        <v/>
      </c>
      <c r="GV85" s="88">
        <f>IF(Tasks[[#This Row],[_DoneFrom]]=0,0,IF(Tasks[[#This Row],[Progress]]&gt;=1,Tasks[[#This Row],[Finish]],MAX(Tasks[[#This Row],[_DoneFrom]],Tasks[[#This Row],[Start]]+ROUND((Tasks[[#This Row],[Finish]]-Tasks[[#This Row],[Start]]+1)*Tasks[[#This Row],[Progress]],0)-1)))</f>
        <v/>
      </c>
      <c r="GW85" s="88">
        <f>IF(Tasks[[#This Row],[Task Name]]="",0,IF(OR(NOT(Tasks[[#This Row],[_IsLeaf]]=1),Tasks[[#This Row],[_IsMilestone]],N(Tasks[[#This Row],[Progress]])&gt;=1),0,IF(Tasks[[#This Row],[_DoneTo]]&gt;0,Tasks[[#This Row],[_DoneTo]]+1,Tasks[[#This Row],[Start]])))</f>
        <v/>
      </c>
      <c r="GX85" s="88">
        <f>IF(Tasks[[#This Row],[_RemFrom]]=0,0,Tasks[[#This Row],[Finish]])</f>
        <v/>
      </c>
      <c r="GY85" s="42">
        <f>IF(Tasks[[#This Row],[Task Name]]="",FALSE(),OR(NOT(BaselineSet),N(Tasks[[#This Row],[Baseline Start]])&gt;0))</f>
        <v/>
      </c>
      <c r="GZ85" s="42">
        <f>IF(AND(Sandbox="Yes",L_PARSE_DURATION(Tasks[[#This Row],[Sandbox Duration]])&lt;&gt;""),L_PARSE_DURATION(Tasks[[#This Row],[Sandbox Duration]]),L_PARSE_DURATION(Tasks[[#This Row],[Duration]]))</f>
        <v/>
      </c>
      <c r="HA8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5" s="42">
        <f>IF(Tasks[[#This Row],[_IsLeaf]]=1,Tasks[[#This Row],[_Row]],"")</f>
        <v/>
      </c>
      <c r="HD85" s="42">
        <f>IFERROR(INDEX(Tasks[UID],SMALL(Tasks[_PickKey],Tasks[[#This Row],[_Row]]))&amp;" "&amp;INDEX(Tasks[Task Name],SMALL(Tasks[_PickKey],Tasks[[#This Row],[_Row]])),"")</f>
        <v/>
      </c>
      <c r="HE85" s="42">
        <f>IF(Tasks[[#This Row],[Task Name]]="","",IF(Tasks[[#This Row],[_IsSummary]],NETWORKDAYS.INTL(Tasks[[#This Row],[Start]],Tasks[[#This Row],[Finish]],WorkWeek,Holidays),N(Tasks[[#This Row],[_Days]])))</f>
        <v/>
      </c>
      <c r="HF85" s="42">
        <f>IF(Tasks[[#This Row],[Expected]]="",0,((Tasks[[#This Row],[Pessimistic]]-Tasks[[#This Row],[Optimistic]])/6)^2)</f>
        <v/>
      </c>
      <c r="HG85" s="42">
        <f>IF(Tasks[[#This Row],[Expected]]="",0,Tasks[[#This Row],[Expected]]-N(Tasks[[#This Row],[_Days]]))</f>
        <v/>
      </c>
    </row>
    <row r="86">
      <c r="A86" s="21">
        <f>IF(Tasks[[#This Row],[Task Name]]="","",COUNTA(Tasks[[#Headers],[Task Name]]:Tasks[[#This Row],[Task Name]])-1)</f>
        <v/>
      </c>
      <c r="B86" s="22" t="n">
        <v>94</v>
      </c>
      <c r="C86" s="22" t="n"/>
      <c r="D86" s="23" t="n"/>
      <c r="E86" s="22" t="n"/>
      <c r="F86" s="23" t="n"/>
      <c r="G86" s="22" t="n"/>
      <c r="H86" s="22" t="n"/>
      <c r="I86" s="23" t="n"/>
      <c r="J86" s="22" t="n"/>
      <c r="K86" s="22" t="n"/>
      <c r="L86" s="23" t="n"/>
      <c r="M86" s="22" t="n"/>
      <c r="N86" s="22" t="n"/>
      <c r="O86" s="23" t="n"/>
      <c r="P86" s="22" t="n"/>
      <c r="Q86" s="22" t="n"/>
      <c r="R86" s="23" t="n"/>
      <c r="S86" s="23" t="n"/>
      <c r="T86" s="82" t="n"/>
      <c r="U86" s="23" t="n"/>
      <c r="V86" s="82" t="n"/>
      <c r="W86" s="23" t="n"/>
      <c r="X86" s="82" t="n"/>
      <c r="Y86" s="23" t="n"/>
      <c r="Z86" s="82" t="n"/>
      <c r="AA86" s="23" t="n"/>
      <c r="AB86" s="23" t="n"/>
      <c r="AC86" s="7" t="n"/>
      <c r="AD86" s="7" t="n"/>
      <c r="AE86" s="61">
        <f>IF(Tasks[[#This Row],[Task Name]]="","",IF(Tasks[[#This Row],[_IsSummary]],MIN(INDEX(Tasks[_ShownFcstStart],Tasks[[#This Row],[_Row]]+1):INDEX(Tasks[_ShownFcstStart],Tasks[[#This Row],[_Row]]+Tasks[[#This Row],[_Descendants]])),Tasks[[#This Row],[_ShownFcstStart]]))</f>
        <v/>
      </c>
      <c r="AF86" s="61">
        <f>IF(Tasks[[#This Row],[Task Name]]="","",IF(Tasks[[#This Row],[_IsSummary]],MAX(INDEX(Tasks[_ShownFcstFinish],Tasks[[#This Row],[_Row]]+1):INDEX(Tasks[_ShownFcstFinish],Tasks[[#This Row],[_Row]]+Tasks[[#This Row],[_Descendants]])),Tasks[[#This Row],[_ShownFcstFinish]]))</f>
        <v/>
      </c>
      <c r="AG86" s="21">
        <f>""</f>
        <v/>
      </c>
      <c r="AH86" s="23" t="n"/>
      <c r="AI8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6" s="7" t="n"/>
      <c r="AK86" s="22" t="n"/>
      <c r="AL86" s="23" t="n"/>
      <c r="AM86" s="7" t="n"/>
      <c r="AN86" s="21">
        <f>IF(Tasks[[#This Row],[Task Name]]="","",IF(Tasks[[#This Row],[Finish]]&gt;=Tasks[[#This Row],[Planned Finish]],NETWORKDAYS.INTL(Tasks[[#This Row],[Planned Finish]],Tasks[[#This Row],[Finish]],WorkWeek,Holidays)-1,1-NETWORKDAYS.INTL(Tasks[[#This Row],[Finish]],Tasks[[#This Row],[Planned Finish]],WorkWeek,Holidays)))</f>
        <v/>
      </c>
      <c r="AO86" s="21">
        <f>IF(Tasks[[#This Row],[Task Name]]="","",IF(Tasks[[#This Row],[Progress]]&gt;=1,"Complete",IF(OR(N(Tasks[[#This Row],[Actual Start]])&gt;0,Tasks[[#This Row],[Progress]]&gt;0),IF(Tasks[[#This Row],[Finish Var]]&gt;0,"Behind","In Progress"),IF(Tasks[[#This Row],[Planned Start]]&lt;StatusDate,"Late Start","Not Started"))))</f>
        <v/>
      </c>
      <c r="AP86" s="21">
        <f>IF(Tasks[[#This Row],[Task Name]]="","",IF(IF(Tasks[[#This Row],[_IsSummary]],COUNTIF(INDEX(Tasks[_LeafCritical],Tasks[[#This Row],[_Row]]+1):INDEX(Tasks[_LeafCritical],Tasks[[#This Row],[_Row]]+Tasks[[#This Row],[_Descendants]]),TRUE())&gt;0,Tasks[[#This Row],[_LeafCritical]]),"Yes",""))</f>
        <v/>
      </c>
      <c r="AQ86" s="61">
        <f>IF(Tasks[[#This Row],[Task Name]]="","",IF(N(Tasks[[#This Row],[Baseline Start]])&gt;0,Tasks[[#This Row],[Baseline Start]],Tasks[[#This Row],[_CalcStart]]))</f>
        <v/>
      </c>
      <c r="AR86" s="61">
        <f>IF(Tasks[[#This Row],[Task Name]]="","",IF(N(Tasks[[#This Row],[Baseline Finish]])&gt;0,Tasks[[#This Row],[Baseline Finish]],Tasks[[#This Row],[_CalcFinish]]))</f>
        <v/>
      </c>
      <c r="AS86" s="21">
        <f>IF(Tasks[[#This Row],[Task Name]]="","",IF(Tasks[[#This Row],[Start]]&gt;=Tasks[[#This Row],[Planned Start]],NETWORKDAYS.INTL(Tasks[[#This Row],[Planned Start]],Tasks[[#This Row],[Start]],WorkWeek,Holidays)-1,1-NETWORKDAYS.INTL(Tasks[[#This Row],[Start]],Tasks[[#This Row],[Planned Start]],WorkWeek,Holidays)))</f>
        <v/>
      </c>
      <c r="AT86" s="61">
        <f>IF(Tasks[[#This Row],[Task Name]]="","",IF(Tasks[[#This Row],[_IsSummary]],MIN(INDEX(Tasks[_LeafLateStart],Tasks[[#This Row],[_Row]]+1):INDEX(Tasks[_LeafLateStart],Tasks[[#This Row],[_Row]]+Tasks[[#This Row],[_Descendants]])),Tasks[[#This Row],[_LeafLateStart]]))</f>
        <v/>
      </c>
      <c r="AU86" s="61">
        <f>IF(Tasks[[#This Row],[Task Name]]="","",IF(Tasks[[#This Row],[_IsSummary]],MAX(INDEX(Tasks[_LeafLateFinish],Tasks[[#This Row],[_Row]]+1):INDEX(Tasks[_LeafLateFinish],Tasks[[#This Row],[_Row]]+Tasks[[#This Row],[_Descendants]])),Tasks[[#This Row],[_LeafLateFinish]]))</f>
        <v/>
      </c>
      <c r="AV86" s="21">
        <f>IF(Tasks[[#This Row],[Task Name]]="","",IF(Tasks[[#This Row],[_IsSummary]],MIN(INDEX(Tasks[_LeafTotalSlack],Tasks[[#This Row],[_Row]]+1):INDEX(Tasks[_LeafTotalSlack],Tasks[[#This Row],[_Row]]+Tasks[[#This Row],[_Descendants]])),Tasks[[#This Row],[_LeafTotalSlack]]))</f>
        <v/>
      </c>
      <c r="AW8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3" t="n"/>
      <c r="BA8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f>IF(Tasks[[#This Row],[Task Name]]="","",IF(Tasks[[#This Row],[_Level]]&lt;=OutlineShowLevel,"Yes","No"))</f>
        <v/>
      </c>
      <c r="BE86" s="84">
        <f>IF(Tasks[[#This Row],[Task Name]]="","",IF(Tasks[[#This Row],[_IsSummary]],SUM(INDEX(Tasks[_LeafTotalWork],Tasks[[#This Row],[_Row]]+1):INDEX(Tasks[_LeafTotalWork],Tasks[[#This Row],[_Row]]+Tasks[[#This Row],[_Descendants]])),Tasks[[#This Row],[_LeafTotalWork]]))</f>
        <v/>
      </c>
      <c r="BF86" s="23" t="n"/>
      <c r="BG8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f>""</f>
        <v/>
      </c>
      <c r="BI86" s="85" t="n"/>
      <c r="BJ86" s="22" t="n"/>
      <c r="BK86" s="21">
        <f>IF(OR(Tasks[[#This Row],[Task Name]]="",Tasks[[#This Row],[Baseline Duration]]=""),"",Tasks[[#This Row],[_SpanDays]]-N(Tasks[[#This Row],[Baseline Duration]]))</f>
        <v/>
      </c>
      <c r="BL86" s="84">
        <f>IF(OR(Tasks[[#This Row],[Task Name]]="",Tasks[[#This Row],[Baseline Work]]=""),"",Tasks[[#This Row],[Work]]-N(Tasks[[#This Row],[Baseline Work]]))</f>
        <v/>
      </c>
      <c r="BM86" s="61">
        <f>IF(Tasks[[#This Row],[Task Name]]="","",IF(OR(TakeBaseline="Yes",N(Tasks[[#This Row],[Baseline Start]])=0),Tasks[[#This Row],[Start]],Tasks[[#This Row],[Baseline Start]]))</f>
        <v/>
      </c>
      <c r="BN86" s="61">
        <f>IF(Tasks[[#This Row],[Task Name]]="","",IF(OR(TakeBaseline="Yes",N(Tasks[[#This Row],[Baseline Finish]])=0),Tasks[[#This Row],[Finish]],Tasks[[#This Row],[Baseline Finish]]))</f>
        <v/>
      </c>
      <c r="BO86" s="21">
        <f>IF(Tasks[[#This Row],[Task Name]]="","",IF(OR(TakeBaseline="Yes",N(Tasks[[#This Row],[Baseline Duration]])=0),Tasks[[#This Row],[_SpanDays]],Tasks[[#This Row],[Baseline Duration]]))</f>
        <v/>
      </c>
      <c r="BP86" s="84">
        <f>IF(Tasks[[#This Row],[Task Name]]="","",IF(OR(TakeBaseline="Yes",N(Tasks[[#This Row],[Baseline Work]])=0),Tasks[[#This Row],[Work]],Tasks[[#This Row],[Baseline Work]]))</f>
        <v/>
      </c>
      <c r="BQ86" s="7" t="n"/>
      <c r="BR86" s="7" t="n"/>
      <c r="BS86" s="22" t="n"/>
      <c r="BT86" s="86" t="n"/>
      <c r="BU86" s="23" t="n"/>
      <c r="BV86" s="23" t="n"/>
      <c r="BW86" s="23" t="n"/>
      <c r="BX86" s="87">
        <f>IF(AND(Tasks[[#This Row],[_IsLeaf]]=1,ISNUMBER(Tasks[[#This Row],[Optimistic]]),ISNUMBER(Tasks[[#This Row],[Pessimistic]])),ROUND((Tasks[[#This Row],[Optimistic]]+4*N(Tasks[[#This Row],[_Days]])+Tasks[[#This Row],[Pessimistic]])/6,1),"")</f>
        <v/>
      </c>
      <c r="BY86" s="85" t="n"/>
      <c r="BZ86" s="85" t="n"/>
      <c r="CA86" s="22" t="n"/>
      <c r="CB86" s="42">
        <f>IF(Tasks[[#This Row],[Task Name]]="","",MAX(1,N(Tasks[[#This Row],[Level]])))</f>
        <v/>
      </c>
      <c r="CC86" s="42">
        <f>ROW()-ROW(Tasks[[#Headers],[ID]])</f>
        <v/>
      </c>
      <c r="CD86" s="42">
        <f>IF(OR(Tasks[[#This Row],[Task Name]]="",Tasks[[#This Row],[_Level]]&lt;=1),0,IFERROR(LOOKUP(2,1/(Tasks[[#Headers],[_Level]]:Tasks[[#This Row],[_Level]]=Tasks[[#This Row],[_Level]]-1),ROW(Tasks[[#Headers],[_Level]]:Tasks[[#This Row],[_Level]])),0))</f>
        <v/>
      </c>
      <c r="CE86" s="42">
        <f>IFERROR(N(INDEX(Tasks[_Level],Tasks[[#This Row],[_Row]]+1)),0)</f>
        <v/>
      </c>
      <c r="CF86" s="42">
        <f>AND(Tasks[[#This Row],[Task Name]]&lt;&gt;"",Tasks[[#This Row],[_NextLevel]]&gt;Tasks[[#This Row],[_Level]])</f>
        <v/>
      </c>
      <c r="CG86" s="42">
        <f>IF(Tasks[[#This Row],[_IsSummary]],COUNTIF(Tasks[WBS],Tasks[[#This Row],[WBS]]&amp;".*"),0)</f>
        <v/>
      </c>
      <c r="CH86" s="42">
        <f>IF(AND(Tasks[[#This Row],[Task Name]]&lt;&gt;"",NOT(Tasks[[#This Row],[_IsSummary]])),1,0)</f>
        <v/>
      </c>
      <c r="CI86" s="42">
        <f>IF(N(Tasks[[#This Row],[_Pred1UID]])=0,0,IFERROR(MATCH(Tasks[[#This Row],[_Pred1UID]],Tasks[UID],0),-1))</f>
        <v/>
      </c>
      <c r="CJ86" s="42">
        <f>IF(N(Tasks[[#This Row],[_Pred2UID]])=0,0,IFERROR(MATCH(Tasks[[#This Row],[_Pred2UID]],Tasks[UID],0),-1))</f>
        <v/>
      </c>
      <c r="CK86" s="42">
        <f>IF(N(Tasks[[#This Row],[_Pred3UID]])=0,0,IFERROR(MATCH(Tasks[[#This Row],[_Pred3UID]],Tasks[UID],0),-1))</f>
        <v/>
      </c>
      <c r="CL86" s="42">
        <f>IF(N(Tasks[[#This Row],[_Pred4UID]])=0,0,IFERROR(MATCH(Tasks[[#This Row],[_Pred4UID]],Tasks[UID],0),-1))</f>
        <v/>
      </c>
      <c r="CM8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6" s="88">
        <f>IF(N(Tasks[[#This Row],[Constraint Date]])=0,0,IF(AND(OR(Tasks[[#This Row],[_ConstraintCode]]=3,Tasks[[#This Row],[_ConstraintCode]]=6,Tasks[[#This Row],[_ConstraintCode]]=7),N(Tasks[[#This Row],[_Days]])&gt;1),WORKDAY.INTL(N(Tasks[[#This Row],[Constraint Date]]),-(N(Tasks[[#This Row],[_Days]])-1),WorkWeek,Holidays),N(Tasks[[#This Row],[Constraint Date]])))</f>
        <v/>
      </c>
      <c r="CO86" s="88">
        <f>IF(OR(Tasks[[#This Row],[_ConstraintCode]]=2,Tasks[[#This Row],[_ConstraintCode]]=3,Tasks[[#This Row],[_ConstraintCode]]=4,Tasks[[#This Row],[_ConstraintCode]]=6),Tasks[[#This Row],[_ConstraintStart]],0)</f>
        <v/>
      </c>
      <c r="CP86" s="88">
        <f>IF(OR(Tasks[[#This Row],[_ConstraintCode]]=2,Tasks[[#This Row],[_ConstraintCode]]=3,Tasks[[#This Row],[_ConstraintCode]]=5,Tasks[[#This Row],[_ConstraintCode]]=7),Tasks[[#This Row],[_ConstraintStart]],2958465)</f>
        <v/>
      </c>
      <c r="CQ8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6" s="88">
        <f>IF(NOT(Tasks[[#This Row],[_IsLeaf]]=1),"",IF(N(Tasks[[#This Row],[_Days]])&lt;=0,Tasks[[#This Row],[_LeafCalcStart]],WORKDAY.INTL(Tasks[[#This Row],[_LeafCalcStart]],Tasks[[#This Row],[_Days]]-1,WorkWeek,Holidays)))</f>
        <v/>
      </c>
      <c r="CS8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6" s="42">
        <f>IF(Tasks[[#This Row],[_Predecessors]]="","",TRIM(MID(SUBSTITUTE(SUBSTITUTE(SUBSTITUTE(UPPER(Tasks[[#This Row],[_Predecessors]]),";",",")," ",""),",",REPT(" ",99)),1,99)))</f>
        <v/>
      </c>
      <c r="CV86" s="42">
        <f>IF(Tasks[[#This Row],[_Pred1Text]]="","",IFERROR(VALUE(LEFT(Tasks[[#This Row],[_Pred1Text]],MIN(FIND("F",Tasks[[#This Row],[_Pred1Text]]&amp;"F"),FIND("S",Tasks[[#This Row],[_Pred1Text]]&amp;"S"),FIND("+",Tasks[[#This Row],[_Pred1Text]]&amp;"+"),FIND("-",Tasks[[#This Row],[_Pred1Text]]&amp;"-"))-1)),""))</f>
        <v/>
      </c>
      <c r="CW8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6" s="42">
        <f>IF(Tasks[[#This Row],[_Pred1Text]]="","",TRIM(MID(SUBSTITUTE(SUBSTITUTE(SUBSTITUTE(UPPER(Tasks[[#This Row],[_Predecessors]]),";",",")," ",""),",",REPT(" ",99)),100,99)))</f>
        <v/>
      </c>
      <c r="CZ86" s="42">
        <f>IF(Tasks[[#This Row],[_Pred2Text]]="","",IFERROR(VALUE(LEFT(Tasks[[#This Row],[_Pred2Text]],MIN(FIND("F",Tasks[[#This Row],[_Pred2Text]]&amp;"F"),FIND("S",Tasks[[#This Row],[_Pred2Text]]&amp;"S"),FIND("+",Tasks[[#This Row],[_Pred2Text]]&amp;"+"),FIND("-",Tasks[[#This Row],[_Pred2Text]]&amp;"-"))-1)),""))</f>
        <v/>
      </c>
      <c r="DA8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6" s="42">
        <f>IF(Tasks[[#This Row],[_Pred2Text]]="","",TRIM(MID(SUBSTITUTE(SUBSTITUTE(SUBSTITUTE(UPPER(Tasks[[#This Row],[_Predecessors]]),";",",")," ",""),",",REPT(" ",99)),199,99)))</f>
        <v/>
      </c>
      <c r="DD86" s="42">
        <f>IF(Tasks[[#This Row],[_Pred3Text]]="","",IFERROR(VALUE(LEFT(Tasks[[#This Row],[_Pred3Text]],MIN(FIND("F",Tasks[[#This Row],[_Pred3Text]]&amp;"F"),FIND("S",Tasks[[#This Row],[_Pred3Text]]&amp;"S"),FIND("+",Tasks[[#This Row],[_Pred3Text]]&amp;"+"),FIND("-",Tasks[[#This Row],[_Pred3Text]]&amp;"-"))-1)),""))</f>
        <v/>
      </c>
      <c r="DE8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6" s="42">
        <f>IF(Tasks[[#This Row],[_Pred3Text]]="","",TRIM(MID(SUBSTITUTE(SUBSTITUTE(SUBSTITUTE(UPPER(Tasks[[#This Row],[_Predecessors]]),";",",")," ",""),",",REPT(" ",99)),298,99)))</f>
        <v/>
      </c>
      <c r="DH86" s="42">
        <f>IF(Tasks[[#This Row],[_Pred4Text]]="","",IFERROR(VALUE(LEFT(Tasks[[#This Row],[_Pred4Text]],MIN(FIND("F",Tasks[[#This Row],[_Pred4Text]]&amp;"F"),FIND("S",Tasks[[#This Row],[_Pred4Text]]&amp;"S"),FIND("+",Tasks[[#This Row],[_Pred4Text]]&amp;"+"),FIND("-",Tasks[[#This Row],[_Pred4Text]]&amp;"-"))-1)),""))</f>
        <v/>
      </c>
      <c r="DI8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6" s="42">
        <f>IF(OR(Tasks[[#This Row],[Task Name]]="",Tasks[[#This Row],[_Resources]]=""),"",TRIM(MID(SUBSTITUTE(Tasks[[#This Row],[_Resources]],",",REPT(" ",99)),1,99)))</f>
        <v/>
      </c>
      <c r="DL86" s="42">
        <f>IF(Tasks[[#This Row],[_Res1Text]]="","",TRIM(MID(SUBSTITUTE(Tasks[[#This Row],[_Resources]],",",REPT(" ",99)),100,99)))</f>
        <v/>
      </c>
      <c r="DM86" s="42">
        <f>IF(Tasks[[#This Row],[_Res2Text]]="","",TRIM(MID(SUBSTITUTE(Tasks[[#This Row],[_Resources]],",",REPT(" ",99)),199,99)))</f>
        <v/>
      </c>
      <c r="DN86" s="42">
        <f>IF(Tasks[[#This Row],[_Res3Text]]="","",TRIM(MID(SUBSTITUTE(Tasks[[#This Row],[_Resources]],",",REPT(" ",99)),298,99)))</f>
        <v/>
      </c>
      <c r="DO86" s="42">
        <f>IF(Tasks[[#This Row],[_Res1Text]]="",0,IFERROR(MATCH(TRIM(LEFT(Tasks[[#This Row],[_Res1Text]],FIND("[",Tasks[[#This Row],[_Res1Text]]&amp;"[")-1)),res_Name,0),IFERROR(MATCH(TRIM(LEFT(Tasks[[#This Row],[_Res1Text]],FIND("[",Tasks[[#This Row],[_Res1Text]]&amp;"[")-1)),res_Initials,0),0)))</f>
        <v/>
      </c>
      <c r="DP86" s="42">
        <f>IF(Tasks[[#This Row],[_Res2Text]]="",0,IFERROR(MATCH(TRIM(LEFT(Tasks[[#This Row],[_Res2Text]],FIND("[",Tasks[[#This Row],[_Res2Text]]&amp;"[")-1)),res_Name,0),IFERROR(MATCH(TRIM(LEFT(Tasks[[#This Row],[_Res2Text]],FIND("[",Tasks[[#This Row],[_Res2Text]]&amp;"[")-1)),res_Initials,0),0)))</f>
        <v/>
      </c>
      <c r="DQ86" s="42">
        <f>IF(Tasks[[#This Row],[_Res3Text]]="",0,IFERROR(MATCH(TRIM(LEFT(Tasks[[#This Row],[_Res3Text]],FIND("[",Tasks[[#This Row],[_Res3Text]]&amp;"[")-1)),res_Name,0),IFERROR(MATCH(TRIM(LEFT(Tasks[[#This Row],[_Res3Text]],FIND("[",Tasks[[#This Row],[_Res3Text]]&amp;"[")-1)),res_Initials,0),0)))</f>
        <v/>
      </c>
      <c r="DR86" s="42">
        <f>IF(Tasks[[#This Row],[_Res4Text]]="",0,IFERROR(MATCH(TRIM(LEFT(Tasks[[#This Row],[_Res4Text]],FIND("[",Tasks[[#This Row],[_Res4Text]]&amp;"[")-1)),res_Name,0),IFERROR(MATCH(TRIM(LEFT(Tasks[[#This Row],[_Res4Text]],FIND("[",Tasks[[#This Row],[_Res4Text]]&amp;"[")-1)),res_Initials,0),0)))</f>
        <v/>
      </c>
      <c r="DS86" s="42">
        <f>IF(Tasks[[#This Row],[_Res1Text]]="","",IF(Tasks[[#This Row],[_Res1Row]]&gt;0,INDEX(res_Name,Tasks[[#This Row],[_Res1Row]]),TRIM(LEFT(Tasks[[#This Row],[_Res1Text]],FIND("[",Tasks[[#This Row],[_Res1Text]]&amp;"[")-1))))</f>
        <v/>
      </c>
      <c r="DT8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6" s="42">
        <f>IF(NOT(Tasks[[#This Row],[_IsLeaf]]=1),0,(Tasks[[#This Row],[_Resource1]]&lt;&gt;"")+(Tasks[[#This Row],[_Res2]]&lt;&gt;"")+(Tasks[[#This Row],[_Res3]]&lt;&gt;"")+(Tasks[[#This Row],[_Res4]]&lt;&gt;""))</f>
        <v/>
      </c>
      <c r="DV86" s="42">
        <f>IF(Tasks[[#This Row],[_Res2Text]]="","",IF(Tasks[[#This Row],[_Res2Row]]&gt;0,INDEX(res_Name,Tasks[[#This Row],[_Res2Row]]),TRIM(LEFT(Tasks[[#This Row],[_Res2Text]],FIND("[",Tasks[[#This Row],[_Res2Text]]&amp;"[")-1))))</f>
        <v/>
      </c>
      <c r="DW8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6" s="42">
        <f>IF(OR(NOT(Tasks[[#This Row],[_IsLeaf]]=1),Tasks[[#This Row],[_Res2Row]]=0),0,N(Tasks[[#This Row],[_Days]])*HoursPerDay*IF(Tasks[[#This Row],[_Res2Units]]="",DefaultUnits,Tasks[[#This Row],[_Res2Units]]))</f>
        <v/>
      </c>
      <c r="DY86" s="42">
        <f>IF(AND(AND(Tasks[[#This Row],[_IsLeaf]]=1,Tasks[[#This Row],[_LeafTotalWork]]&gt;0),Tasks[[#This Row],[_Res2Work]]&gt;0),Tasks[[#This Row],[_Res2Work]]/(Tasks[[#This Row],[_FinishWorkday]]-Tasks[[#This Row],[_StartWorkday]]+1),0)</f>
        <v/>
      </c>
      <c r="DZ86" s="42">
        <f>Tasks[[#This Row],[_Res2WorkPerWD]]*MAX(0,Tasks[[#This Row],[_StartWorkday]]-1)</f>
        <v/>
      </c>
      <c r="EA86" s="42">
        <f>Tasks[[#This Row],[_Res2Work]]*Tasks[[#This Row],[_LeafProgress]]</f>
        <v/>
      </c>
      <c r="EB86" s="42">
        <f>IF(Tasks[[#This Row],[_Res3Text]]="","",IF(Tasks[[#This Row],[_Res3Row]]&gt;0,INDEX(res_Name,Tasks[[#This Row],[_Res3Row]]),TRIM(LEFT(Tasks[[#This Row],[_Res3Text]],FIND("[",Tasks[[#This Row],[_Res3Text]]&amp;"[")-1))))</f>
        <v/>
      </c>
      <c r="EC8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6" s="42">
        <f>IF(OR(NOT(Tasks[[#This Row],[_IsLeaf]]=1),Tasks[[#This Row],[_Res3Row]]=0),0,N(Tasks[[#This Row],[_Days]])*HoursPerDay*IF(Tasks[[#This Row],[_Res3Units]]="",DefaultUnits,Tasks[[#This Row],[_Res3Units]]))</f>
        <v/>
      </c>
      <c r="EE86" s="42">
        <f>IF(AND(AND(Tasks[[#This Row],[_IsLeaf]]=1,Tasks[[#This Row],[_LeafTotalWork]]&gt;0),Tasks[[#This Row],[_Res3Work]]&gt;0),Tasks[[#This Row],[_Res3Work]]/(Tasks[[#This Row],[_FinishWorkday]]-Tasks[[#This Row],[_StartWorkday]]+1),0)</f>
        <v/>
      </c>
      <c r="EF86" s="42">
        <f>Tasks[[#This Row],[_Res3WorkPerWD]]*MAX(0,Tasks[[#This Row],[_StartWorkday]]-1)</f>
        <v/>
      </c>
      <c r="EG86" s="42">
        <f>Tasks[[#This Row],[_Res3Work]]*Tasks[[#This Row],[_LeafProgress]]</f>
        <v/>
      </c>
      <c r="EH86" s="42">
        <f>IF(Tasks[[#This Row],[_Res4Text]]="","",IF(Tasks[[#This Row],[_Res4Row]]&gt;0,INDEX(res_Name,Tasks[[#This Row],[_Res4Row]]),TRIM(LEFT(Tasks[[#This Row],[_Res4Text]],FIND("[",Tasks[[#This Row],[_Res4Text]]&amp;"[")-1))))</f>
        <v/>
      </c>
      <c r="EI8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6" s="42">
        <f>IF(OR(NOT(Tasks[[#This Row],[_IsLeaf]]=1),Tasks[[#This Row],[_Res4Row]]=0),0,N(Tasks[[#This Row],[_Days]])*HoursPerDay*IF(Tasks[[#This Row],[_Res4Units]]="",DefaultUnits,Tasks[[#This Row],[_Res4Units]]))</f>
        <v/>
      </c>
      <c r="EK86" s="42">
        <f>IF(AND(AND(Tasks[[#This Row],[_IsLeaf]]=1,Tasks[[#This Row],[_LeafTotalWork]]&gt;0),Tasks[[#This Row],[_Res4Work]]&gt;0),Tasks[[#This Row],[_Res4Work]]/(Tasks[[#This Row],[_FinishWorkday]]-Tasks[[#This Row],[_StartWorkday]]+1),0)</f>
        <v/>
      </c>
      <c r="EL86" s="42">
        <f>Tasks[[#This Row],[_Res4WorkPerWD]]*MAX(0,Tasks[[#This Row],[_StartWorkday]]-1)</f>
        <v/>
      </c>
      <c r="EM86" s="42">
        <f>Tasks[[#This Row],[_Res4Work]]*Tasks[[#This Row],[_LeafProgress]]</f>
        <v/>
      </c>
      <c r="EN86" s="42">
        <f>IF(ISNUMBER(Tasks[[#This Row],[% Complete]]),Tasks[[#This Row],[% Complete]],IF(Tasks[[#This Row],[Stage]]="",0,IFERROR(INDEX(stg_Pct,MATCH(Tasks[[#This Row],[Stage]],stg_Name,0)),0)))</f>
        <v/>
      </c>
      <c r="EO86" s="42">
        <f>IF(NOT(Tasks[[#This Row],[_IsLeaf]]=1),0,IF(N(Tasks[[#This Row],[Actual Finish]])&gt;0,1,MIN(1,Tasks[[#This Row],[_Pct]])))</f>
        <v/>
      </c>
      <c r="EP86" s="42">
        <f>IF(OR(NOT(Tasks[[#This Row],[_IsLeaf]]=1),Tasks[[#This Row],[_Res1Row]]=0),0,N(Tasks[[#This Row],[_Days]])*HoursPerDay*IF(Tasks[[#This Row],[_Units1]]="",DefaultUnits,Tasks[[#This Row],[_Units1]]))</f>
        <v/>
      </c>
      <c r="EQ86" s="42">
        <f>Tasks[[#This Row],[_LeafWork]]+Tasks[[#This Row],[_Res2Work]]+Tasks[[#This Row],[_Res3Work]]+Tasks[[#This Row],[_Res4Work]]</f>
        <v/>
      </c>
      <c r="ER8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6" s="42">
        <f>IF(NOT(Tasks[[#This Row],[_IsLeaf]]=1),0,MAX(_xlfn.MAXIFS(Tasks[_Row],Tasks[_Pred1UID],Tasks[[#This Row],[UID]]),_xlfn.MAXIFS(Tasks[_Row],Tasks[_Pred2UID],Tasks[[#This Row],[UID]]),_xlfn.MAXIFS(Tasks[_Row],Tasks[_Pred3UID],Tasks[[#This Row],[UID]]),_xlfn.MAXIFS(Tasks[_Row],Tasks[_Pred4UID],Tasks[[#This Row],[UID]])))</f>
        <v/>
      </c>
      <c r="FA8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6" s="88">
        <f>IF(NOT(Tasks[[#This Row],[_IsLeaf]]=1),"",IF(N(Tasks[[#This Row],[_Days]])&lt;=0,Tasks[[#This Row],[_LeafLateFinish]],WORKDAY.INTL(Tasks[[#This Row],[_LeafLateFinish]],-(Tasks[[#This Row],[_Days]]-1),WorkWeek,Holidays)))</f>
        <v/>
      </c>
      <c r="FD8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6" s="42">
        <f>AND(Tasks[[#This Row],[_IsLeaf]]=1,Tasks[[#This Row],[_LeafProgress]]&lt;1,N(Tasks[[#This Row],[_LeafTotalSlack]])&lt;=CriticalSlackDays)</f>
        <v/>
      </c>
      <c r="FF86" s="42">
        <f>IF(AND(Tasks[[#This Row],[_IsLeaf]]=1,Tasks[[#This Row],[_ConstraintCode]]=1,Tasks[[#This Row],[Mode]]&lt;&gt;"Manual",N(Tasks[[#This Row],[Actual Start]])=0),MAX(0,N(Tasks[[#This Row],[Free Slack]])),0)</f>
        <v/>
      </c>
      <c r="FG86" s="88">
        <f>IF(NOT(Tasks[[#This Row],[_IsLeaf]]=1),"",IF(Tasks[[#This Row],[_AlapShift]]=0,Tasks[[#This Row],[_LeafCalcStart]],WORKDAY.INTL(Tasks[[#This Row],[_LeafCalcStart]],Tasks[[#This Row],[_AlapShift]],WorkWeek,Holidays)))</f>
        <v/>
      </c>
      <c r="FH86" s="88">
        <f>IF(NOT(Tasks[[#This Row],[_IsLeaf]]=1),"",IF(Tasks[[#This Row],[_AlapShift]]=0,Tasks[[#This Row],[_LeafCalcFinish]],WORKDAY.INTL(Tasks[[#This Row],[_LeafCalcFinish]],Tasks[[#This Row],[_AlapShift]],WorkWeek,Holidays)))</f>
        <v/>
      </c>
      <c r="FI86" s="88">
        <f>IF(NOT(Tasks[[#This Row],[_IsLeaf]]=1),"",IF(Tasks[[#This Row],[_AlapShift]]=0,Tasks[[#This Row],[_LeafFcstStart]],WORKDAY.INTL(Tasks[[#This Row],[_LeafFcstStart]],Tasks[[#This Row],[_AlapShift]],WorkWeek,Holidays)))</f>
        <v/>
      </c>
      <c r="FJ86" s="88">
        <f>IF(NOT(Tasks[[#This Row],[_IsLeaf]]=1),"",IF(Tasks[[#This Row],[_AlapShift]]=0,Tasks[[#This Row],[_LeafFcstFinish]],WORKDAY.INTL(Tasks[[#This Row],[_LeafFcstFinish]],Tasks[[#This Row],[_AlapShift]],WorkWeek,Holidays)))</f>
        <v/>
      </c>
      <c r="FK86" s="88">
        <f>IF(Tasks[[#This Row],[Task Name]]="","",IF(Tasks[[#This Row],[_IsSummary]],MIN(INDEX(Tasks[_ShownCalcStart],Tasks[[#This Row],[_Row]]+1):INDEX(Tasks[_ShownCalcStart],Tasks[[#This Row],[_Row]]+Tasks[[#This Row],[_Descendants]])),Tasks[[#This Row],[_ShownCalcStart]]))</f>
        <v/>
      </c>
      <c r="FL86" s="88">
        <f>IF(Tasks[[#This Row],[Task Name]]="","",IF(Tasks[[#This Row],[_IsSummary]],MAX(INDEX(Tasks[_ShownCalcFinish],Tasks[[#This Row],[_Row]]+1):INDEX(Tasks[_ShownCalcFinish],Tasks[[#This Row],[_Row]]+Tasks[[#This Row],[_Descendants]])),Tasks[[#This Row],[_ShownCalcFinish]]))</f>
        <v/>
      </c>
      <c r="FM8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6" s="42">
        <f>IF(AND(Tasks[[#This Row],[_IsLeaf]]=1,Tasks[[#This Row],[_LeafTotalWork]]&gt;0),NETWORKDAYS.INTL(ProjectStart,Tasks[[#This Row],[_ShownFcstStart]],WorkWeek,Holidays),0)</f>
        <v/>
      </c>
      <c r="FZ86" s="42">
        <f>IF(AND(Tasks[[#This Row],[_IsLeaf]]=1,Tasks[[#This Row],[_LeafTotalWork]]&gt;0),MAX(Tasks[[#This Row],[_StartWorkday]],NETWORKDAYS.INTL(ProjectStart,Tasks[[#This Row],[_ShownFcstFinish]],WorkWeek,Holidays)),0)</f>
        <v/>
      </c>
      <c r="GA86" s="42">
        <f>IF(AND(Tasks[[#This Row],[_IsLeaf]]=1,Tasks[[#This Row],[_LeafTotalWork]]&gt;0),Tasks[[#This Row],[_LeafWork]]/(Tasks[[#This Row],[_FinishWorkday]]-Tasks[[#This Row],[_StartWorkday]]+1),0)</f>
        <v/>
      </c>
      <c r="GB86" s="42">
        <f>Tasks[[#This Row],[_WorkPerWorkday]]*(Tasks[[#This Row],[_StartWorkday]]-1)</f>
        <v/>
      </c>
      <c r="GC86" s="42">
        <f>IF(Tasks[[#This Row],[_IsLeaf]]=1,MAX(N(Tasks[[#This Row],[_Days]]),0.1),0)</f>
        <v/>
      </c>
      <c r="GD86" s="42">
        <f>Tasks[[#This Row],[_WeightDur]]*Tasks[[#This Row],[_LeafProgress]]</f>
        <v/>
      </c>
      <c r="GE86" s="42">
        <f>Tasks[[#This Row],[_WeightDur]]*Tasks[[#This Row],[_PlannedPct]]</f>
        <v/>
      </c>
      <c r="GF8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6" s="42">
        <f>IF(AND(Tasks[[#This Row],[_IsLeaf]]=1,N(Tasks[[#This Row],[_Days]])=0,Tasks[[#This Row],[_LeafProgress]]&lt;1),Tasks[[#This Row],[_ShownFcstFinish]]+Tasks[[#This Row],[_Row]]/100000,"")</f>
        <v/>
      </c>
      <c r="GH8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6" s="42">
        <f>IF(Tasks[[#This Row],[Task Name]]="","",LEFT(Tasks[[#This Row],[WBS]],FIND(".",Tasks[[#This Row],[WBS]]&amp;".")-1))</f>
        <v/>
      </c>
      <c r="GJ86" s="42">
        <f>IF(AND(Tasks[[#This Row],[Task Name]]&lt;&gt;"",Tasks[[#This Row],[_Level]]=1),Tasks[[#This Row],[_Row]],"")</f>
        <v/>
      </c>
      <c r="GK86" s="42">
        <f>IF(AND(Tasks[[#This Row],[_IsLeaf]]=1,N(Tasks[[#This Row],[_Days]])=0),Tasks[[#This Row],[Planned Finish]]+Tasks[[#This Row],[_Row]]/100000,"")</f>
        <v/>
      </c>
      <c r="GL86" s="42">
        <f>IF(AND(Tasks[[#This Row],[_IsLeaf]]=1,Tasks[[#This Row],[_LeafProgress]]&lt;1,OR(N(Tasks[[#This Row],[Finish Var]])&gt;0,Tasks[[#This Row],[Status]]="Late Start")),MAX(0,Tasks[[#This Row],[Finish Var]])+1-Tasks[[#This Row],[_Row]]/1000000,"")</f>
        <v/>
      </c>
      <c r="GM86" s="42">
        <f>IF(AND(Tasks[[#This Row],[_IsLeaf]]=1,N(Tasks[[#This Row],[Actual Start]])=0,Tasks[[#This Row],[_ShownFcstStart]]&gt;=StatusDate,Tasks[[#This Row],[_ShownFcstStart]]&lt;=LookaheadEnd),Tasks[[#This Row],[_ShownFcstStart]]+Tasks[[#This Row],[_Row]]/100000,"")</f>
        <v/>
      </c>
      <c r="GN86" s="42">
        <f>IF(AND(Tasks[[#This Row],[_IsLeaf]]=1,Tasks[[#This Row],[_LeafProgress]]&lt;1,Tasks[[#This Row],[_ShownFcstFinish]]&gt;=StatusDate,Tasks[[#This Row],[_ShownFcstFinish]]&lt;=LookaheadEnd),Tasks[[#This Row],[_ShownFcstFinish]]+Tasks[[#This Row],[_Row]]/100000,"")</f>
        <v/>
      </c>
      <c r="GO86" s="42">
        <f>IF(Tasks[[#This Row],[_LeafCritical]],Tasks[[#This Row],[_ShownFcstStart]]+Tasks[[#This Row],[_Row]]/100000,"")</f>
        <v/>
      </c>
      <c r="GP86" s="42">
        <f>Tasks[[#This Row],[_LeafWork]]*Tasks[[#This Row],[_LeafProgress]]</f>
        <v/>
      </c>
      <c r="GQ86" s="88">
        <f>IF(AND(Tasks[[#This Row],[_IsLeaf]]=1,Tasks[[#This Row],[_LeafProgress]]&gt;=1),IF(N(Tasks[[#This Row],[Actual Finish]])&gt;0,Tasks[[#This Row],[Actual Finish]],Tasks[[#This Row],[_ShownFcstFinish]]),"")</f>
        <v/>
      </c>
      <c r="GR86" s="42">
        <f>IF(Tasks[[#This Row],[_IsLeaf]]=1,N(Tasks[[#This Row],[Story Points]]),0)</f>
        <v/>
      </c>
      <c r="GS86" s="42">
        <f>""</f>
        <v/>
      </c>
      <c r="GT86" s="42">
        <f>IF(Tasks[[#This Row],[Task Name]]="",FALSE(),AND(Tasks[[#This Row],[_IsLeaf]]=1,N(Tasks[[#This Row],[_Days]])=0))</f>
        <v/>
      </c>
      <c r="GU86" s="88">
        <f>IF(Tasks[[#This Row],[Task Name]]="",0,IF(AND(Tasks[[#This Row],[_IsLeaf]]=1,NOT(Tasks[[#This Row],[_IsMilestone]]),N(Tasks[[#This Row],[Progress]])&gt;0),Tasks[[#This Row],[Start]],0))</f>
        <v/>
      </c>
      <c r="GV86" s="88">
        <f>IF(Tasks[[#This Row],[_DoneFrom]]=0,0,IF(Tasks[[#This Row],[Progress]]&gt;=1,Tasks[[#This Row],[Finish]],MAX(Tasks[[#This Row],[_DoneFrom]],Tasks[[#This Row],[Start]]+ROUND((Tasks[[#This Row],[Finish]]-Tasks[[#This Row],[Start]]+1)*Tasks[[#This Row],[Progress]],0)-1)))</f>
        <v/>
      </c>
      <c r="GW86" s="88">
        <f>IF(Tasks[[#This Row],[Task Name]]="",0,IF(OR(NOT(Tasks[[#This Row],[_IsLeaf]]=1),Tasks[[#This Row],[_IsMilestone]],N(Tasks[[#This Row],[Progress]])&gt;=1),0,IF(Tasks[[#This Row],[_DoneTo]]&gt;0,Tasks[[#This Row],[_DoneTo]]+1,Tasks[[#This Row],[Start]])))</f>
        <v/>
      </c>
      <c r="GX86" s="88">
        <f>IF(Tasks[[#This Row],[_RemFrom]]=0,0,Tasks[[#This Row],[Finish]])</f>
        <v/>
      </c>
      <c r="GY86" s="42">
        <f>IF(Tasks[[#This Row],[Task Name]]="",FALSE(),OR(NOT(BaselineSet),N(Tasks[[#This Row],[Baseline Start]])&gt;0))</f>
        <v/>
      </c>
      <c r="GZ86" s="42">
        <f>IF(AND(Sandbox="Yes",L_PARSE_DURATION(Tasks[[#This Row],[Sandbox Duration]])&lt;&gt;""),L_PARSE_DURATION(Tasks[[#This Row],[Sandbox Duration]]),L_PARSE_DURATION(Tasks[[#This Row],[Duration]]))</f>
        <v/>
      </c>
      <c r="HA8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6" s="42">
        <f>IF(Tasks[[#This Row],[_IsLeaf]]=1,Tasks[[#This Row],[_Row]],"")</f>
        <v/>
      </c>
      <c r="HD86" s="42">
        <f>IFERROR(INDEX(Tasks[UID],SMALL(Tasks[_PickKey],Tasks[[#This Row],[_Row]]))&amp;" "&amp;INDEX(Tasks[Task Name],SMALL(Tasks[_PickKey],Tasks[[#This Row],[_Row]])),"")</f>
        <v/>
      </c>
      <c r="HE86" s="42">
        <f>IF(Tasks[[#This Row],[Task Name]]="","",IF(Tasks[[#This Row],[_IsSummary]],NETWORKDAYS.INTL(Tasks[[#This Row],[Start]],Tasks[[#This Row],[Finish]],WorkWeek,Holidays),N(Tasks[[#This Row],[_Days]])))</f>
        <v/>
      </c>
      <c r="HF86" s="42">
        <f>IF(Tasks[[#This Row],[Expected]]="",0,((Tasks[[#This Row],[Pessimistic]]-Tasks[[#This Row],[Optimistic]])/6)^2)</f>
        <v/>
      </c>
      <c r="HG86" s="42">
        <f>IF(Tasks[[#This Row],[Expected]]="",0,Tasks[[#This Row],[Expected]]-N(Tasks[[#This Row],[_Days]]))</f>
        <v/>
      </c>
    </row>
    <row r="87">
      <c r="A87" s="21">
        <f>IF(Tasks[[#This Row],[Task Name]]="","",COUNTA(Tasks[[#Headers],[Task Name]]:Tasks[[#This Row],[Task Name]])-1)</f>
        <v/>
      </c>
      <c r="B87" s="22" t="n">
        <v>95</v>
      </c>
      <c r="C87" s="22" t="n"/>
      <c r="D87" s="23" t="n"/>
      <c r="E87" s="22" t="n"/>
      <c r="F87" s="23" t="n"/>
      <c r="G87" s="22" t="n"/>
      <c r="H87" s="22" t="n"/>
      <c r="I87" s="23" t="n"/>
      <c r="J87" s="22" t="n"/>
      <c r="K87" s="22" t="n"/>
      <c r="L87" s="23" t="n"/>
      <c r="M87" s="22" t="n"/>
      <c r="N87" s="22" t="n"/>
      <c r="O87" s="23" t="n"/>
      <c r="P87" s="22" t="n"/>
      <c r="Q87" s="22" t="n"/>
      <c r="R87" s="23" t="n"/>
      <c r="S87" s="23" t="n"/>
      <c r="T87" s="82" t="n"/>
      <c r="U87" s="23" t="n"/>
      <c r="V87" s="82" t="n"/>
      <c r="W87" s="23" t="n"/>
      <c r="X87" s="82" t="n"/>
      <c r="Y87" s="23" t="n"/>
      <c r="Z87" s="82" t="n"/>
      <c r="AA87" s="23" t="n"/>
      <c r="AB87" s="23" t="n"/>
      <c r="AC87" s="7" t="n"/>
      <c r="AD87" s="7" t="n"/>
      <c r="AE87" s="61">
        <f>IF(Tasks[[#This Row],[Task Name]]="","",IF(Tasks[[#This Row],[_IsSummary]],MIN(INDEX(Tasks[_ShownFcstStart],Tasks[[#This Row],[_Row]]+1):INDEX(Tasks[_ShownFcstStart],Tasks[[#This Row],[_Row]]+Tasks[[#This Row],[_Descendants]])),Tasks[[#This Row],[_ShownFcstStart]]))</f>
        <v/>
      </c>
      <c r="AF87" s="61">
        <f>IF(Tasks[[#This Row],[Task Name]]="","",IF(Tasks[[#This Row],[_IsSummary]],MAX(INDEX(Tasks[_ShownFcstFinish],Tasks[[#This Row],[_Row]]+1):INDEX(Tasks[_ShownFcstFinish],Tasks[[#This Row],[_Row]]+Tasks[[#This Row],[_Descendants]])),Tasks[[#This Row],[_ShownFcstFinish]]))</f>
        <v/>
      </c>
      <c r="AG87" s="21">
        <f>""</f>
        <v/>
      </c>
      <c r="AH87" s="23" t="n"/>
      <c r="AI8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7" s="7" t="n"/>
      <c r="AK87" s="22" t="n"/>
      <c r="AL87" s="23" t="n"/>
      <c r="AM87" s="7" t="n"/>
      <c r="AN87" s="21">
        <f>IF(Tasks[[#This Row],[Task Name]]="","",IF(Tasks[[#This Row],[Finish]]&gt;=Tasks[[#This Row],[Planned Finish]],NETWORKDAYS.INTL(Tasks[[#This Row],[Planned Finish]],Tasks[[#This Row],[Finish]],WorkWeek,Holidays)-1,1-NETWORKDAYS.INTL(Tasks[[#This Row],[Finish]],Tasks[[#This Row],[Planned Finish]],WorkWeek,Holidays)))</f>
        <v/>
      </c>
      <c r="AO87" s="21">
        <f>IF(Tasks[[#This Row],[Task Name]]="","",IF(Tasks[[#This Row],[Progress]]&gt;=1,"Complete",IF(OR(N(Tasks[[#This Row],[Actual Start]])&gt;0,Tasks[[#This Row],[Progress]]&gt;0),IF(Tasks[[#This Row],[Finish Var]]&gt;0,"Behind","In Progress"),IF(Tasks[[#This Row],[Planned Start]]&lt;StatusDate,"Late Start","Not Started"))))</f>
        <v/>
      </c>
      <c r="AP87" s="21">
        <f>IF(Tasks[[#This Row],[Task Name]]="","",IF(IF(Tasks[[#This Row],[_IsSummary]],COUNTIF(INDEX(Tasks[_LeafCritical],Tasks[[#This Row],[_Row]]+1):INDEX(Tasks[_LeafCritical],Tasks[[#This Row],[_Row]]+Tasks[[#This Row],[_Descendants]]),TRUE())&gt;0,Tasks[[#This Row],[_LeafCritical]]),"Yes",""))</f>
        <v/>
      </c>
      <c r="AQ87" s="61">
        <f>IF(Tasks[[#This Row],[Task Name]]="","",IF(N(Tasks[[#This Row],[Baseline Start]])&gt;0,Tasks[[#This Row],[Baseline Start]],Tasks[[#This Row],[_CalcStart]]))</f>
        <v/>
      </c>
      <c r="AR87" s="61">
        <f>IF(Tasks[[#This Row],[Task Name]]="","",IF(N(Tasks[[#This Row],[Baseline Finish]])&gt;0,Tasks[[#This Row],[Baseline Finish]],Tasks[[#This Row],[_CalcFinish]]))</f>
        <v/>
      </c>
      <c r="AS87" s="21">
        <f>IF(Tasks[[#This Row],[Task Name]]="","",IF(Tasks[[#This Row],[Start]]&gt;=Tasks[[#This Row],[Planned Start]],NETWORKDAYS.INTL(Tasks[[#This Row],[Planned Start]],Tasks[[#This Row],[Start]],WorkWeek,Holidays)-1,1-NETWORKDAYS.INTL(Tasks[[#This Row],[Start]],Tasks[[#This Row],[Planned Start]],WorkWeek,Holidays)))</f>
        <v/>
      </c>
      <c r="AT87" s="61">
        <f>IF(Tasks[[#This Row],[Task Name]]="","",IF(Tasks[[#This Row],[_IsSummary]],MIN(INDEX(Tasks[_LeafLateStart],Tasks[[#This Row],[_Row]]+1):INDEX(Tasks[_LeafLateStart],Tasks[[#This Row],[_Row]]+Tasks[[#This Row],[_Descendants]])),Tasks[[#This Row],[_LeafLateStart]]))</f>
        <v/>
      </c>
      <c r="AU87" s="61">
        <f>IF(Tasks[[#This Row],[Task Name]]="","",IF(Tasks[[#This Row],[_IsSummary]],MAX(INDEX(Tasks[_LeafLateFinish],Tasks[[#This Row],[_Row]]+1):INDEX(Tasks[_LeafLateFinish],Tasks[[#This Row],[_Row]]+Tasks[[#This Row],[_Descendants]])),Tasks[[#This Row],[_LeafLateFinish]]))</f>
        <v/>
      </c>
      <c r="AV87" s="21">
        <f>IF(Tasks[[#This Row],[Task Name]]="","",IF(Tasks[[#This Row],[_IsSummary]],MIN(INDEX(Tasks[_LeafTotalSlack],Tasks[[#This Row],[_Row]]+1):INDEX(Tasks[_LeafTotalSlack],Tasks[[#This Row],[_Row]]+Tasks[[#This Row],[_Descendants]])),Tasks[[#This Row],[_LeafTotalSlack]]))</f>
        <v/>
      </c>
      <c r="AW8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3" t="n"/>
      <c r="BA8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f>IF(Tasks[[#This Row],[Task Name]]="","",IF(Tasks[[#This Row],[_Level]]&lt;=OutlineShowLevel,"Yes","No"))</f>
        <v/>
      </c>
      <c r="BE87" s="84">
        <f>IF(Tasks[[#This Row],[Task Name]]="","",IF(Tasks[[#This Row],[_IsSummary]],SUM(INDEX(Tasks[_LeafTotalWork],Tasks[[#This Row],[_Row]]+1):INDEX(Tasks[_LeafTotalWork],Tasks[[#This Row],[_Row]]+Tasks[[#This Row],[_Descendants]])),Tasks[[#This Row],[_LeafTotalWork]]))</f>
        <v/>
      </c>
      <c r="BF87" s="23" t="n"/>
      <c r="BG8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f>""</f>
        <v/>
      </c>
      <c r="BI87" s="85" t="n"/>
      <c r="BJ87" s="22" t="n"/>
      <c r="BK87" s="21">
        <f>IF(OR(Tasks[[#This Row],[Task Name]]="",Tasks[[#This Row],[Baseline Duration]]=""),"",Tasks[[#This Row],[_SpanDays]]-N(Tasks[[#This Row],[Baseline Duration]]))</f>
        <v/>
      </c>
      <c r="BL87" s="84">
        <f>IF(OR(Tasks[[#This Row],[Task Name]]="",Tasks[[#This Row],[Baseline Work]]=""),"",Tasks[[#This Row],[Work]]-N(Tasks[[#This Row],[Baseline Work]]))</f>
        <v/>
      </c>
      <c r="BM87" s="61">
        <f>IF(Tasks[[#This Row],[Task Name]]="","",IF(OR(TakeBaseline="Yes",N(Tasks[[#This Row],[Baseline Start]])=0),Tasks[[#This Row],[Start]],Tasks[[#This Row],[Baseline Start]]))</f>
        <v/>
      </c>
      <c r="BN87" s="61">
        <f>IF(Tasks[[#This Row],[Task Name]]="","",IF(OR(TakeBaseline="Yes",N(Tasks[[#This Row],[Baseline Finish]])=0),Tasks[[#This Row],[Finish]],Tasks[[#This Row],[Baseline Finish]]))</f>
        <v/>
      </c>
      <c r="BO87" s="21">
        <f>IF(Tasks[[#This Row],[Task Name]]="","",IF(OR(TakeBaseline="Yes",N(Tasks[[#This Row],[Baseline Duration]])=0),Tasks[[#This Row],[_SpanDays]],Tasks[[#This Row],[Baseline Duration]]))</f>
        <v/>
      </c>
      <c r="BP87" s="84">
        <f>IF(Tasks[[#This Row],[Task Name]]="","",IF(OR(TakeBaseline="Yes",N(Tasks[[#This Row],[Baseline Work]])=0),Tasks[[#This Row],[Work]],Tasks[[#This Row],[Baseline Work]]))</f>
        <v/>
      </c>
      <c r="BQ87" s="7" t="n"/>
      <c r="BR87" s="7" t="n"/>
      <c r="BS87" s="22" t="n"/>
      <c r="BT87" s="86" t="n"/>
      <c r="BU87" s="23" t="n"/>
      <c r="BV87" s="23" t="n"/>
      <c r="BW87" s="23" t="n"/>
      <c r="BX87" s="87">
        <f>IF(AND(Tasks[[#This Row],[_IsLeaf]]=1,ISNUMBER(Tasks[[#This Row],[Optimistic]]),ISNUMBER(Tasks[[#This Row],[Pessimistic]])),ROUND((Tasks[[#This Row],[Optimistic]]+4*N(Tasks[[#This Row],[_Days]])+Tasks[[#This Row],[Pessimistic]])/6,1),"")</f>
        <v/>
      </c>
      <c r="BY87" s="85" t="n"/>
      <c r="BZ87" s="85" t="n"/>
      <c r="CA87" s="22" t="n"/>
      <c r="CB87" s="42">
        <f>IF(Tasks[[#This Row],[Task Name]]="","",MAX(1,N(Tasks[[#This Row],[Level]])))</f>
        <v/>
      </c>
      <c r="CC87" s="42">
        <f>ROW()-ROW(Tasks[[#Headers],[ID]])</f>
        <v/>
      </c>
      <c r="CD87" s="42">
        <f>IF(OR(Tasks[[#This Row],[Task Name]]="",Tasks[[#This Row],[_Level]]&lt;=1),0,IFERROR(LOOKUP(2,1/(Tasks[[#Headers],[_Level]]:Tasks[[#This Row],[_Level]]=Tasks[[#This Row],[_Level]]-1),ROW(Tasks[[#Headers],[_Level]]:Tasks[[#This Row],[_Level]])),0))</f>
        <v/>
      </c>
      <c r="CE87" s="42">
        <f>IFERROR(N(INDEX(Tasks[_Level],Tasks[[#This Row],[_Row]]+1)),0)</f>
        <v/>
      </c>
      <c r="CF87" s="42">
        <f>AND(Tasks[[#This Row],[Task Name]]&lt;&gt;"",Tasks[[#This Row],[_NextLevel]]&gt;Tasks[[#This Row],[_Level]])</f>
        <v/>
      </c>
      <c r="CG87" s="42">
        <f>IF(Tasks[[#This Row],[_IsSummary]],COUNTIF(Tasks[WBS],Tasks[[#This Row],[WBS]]&amp;".*"),0)</f>
        <v/>
      </c>
      <c r="CH87" s="42">
        <f>IF(AND(Tasks[[#This Row],[Task Name]]&lt;&gt;"",NOT(Tasks[[#This Row],[_IsSummary]])),1,0)</f>
        <v/>
      </c>
      <c r="CI87" s="42">
        <f>IF(N(Tasks[[#This Row],[_Pred1UID]])=0,0,IFERROR(MATCH(Tasks[[#This Row],[_Pred1UID]],Tasks[UID],0),-1))</f>
        <v/>
      </c>
      <c r="CJ87" s="42">
        <f>IF(N(Tasks[[#This Row],[_Pred2UID]])=0,0,IFERROR(MATCH(Tasks[[#This Row],[_Pred2UID]],Tasks[UID],0),-1))</f>
        <v/>
      </c>
      <c r="CK87" s="42">
        <f>IF(N(Tasks[[#This Row],[_Pred3UID]])=0,0,IFERROR(MATCH(Tasks[[#This Row],[_Pred3UID]],Tasks[UID],0),-1))</f>
        <v/>
      </c>
      <c r="CL87" s="42">
        <f>IF(N(Tasks[[#This Row],[_Pred4UID]])=0,0,IFERROR(MATCH(Tasks[[#This Row],[_Pred4UID]],Tasks[UID],0),-1))</f>
        <v/>
      </c>
      <c r="CM8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7" s="88">
        <f>IF(N(Tasks[[#This Row],[Constraint Date]])=0,0,IF(AND(OR(Tasks[[#This Row],[_ConstraintCode]]=3,Tasks[[#This Row],[_ConstraintCode]]=6,Tasks[[#This Row],[_ConstraintCode]]=7),N(Tasks[[#This Row],[_Days]])&gt;1),WORKDAY.INTL(N(Tasks[[#This Row],[Constraint Date]]),-(N(Tasks[[#This Row],[_Days]])-1),WorkWeek,Holidays),N(Tasks[[#This Row],[Constraint Date]])))</f>
        <v/>
      </c>
      <c r="CO87" s="88">
        <f>IF(OR(Tasks[[#This Row],[_ConstraintCode]]=2,Tasks[[#This Row],[_ConstraintCode]]=3,Tasks[[#This Row],[_ConstraintCode]]=4,Tasks[[#This Row],[_ConstraintCode]]=6),Tasks[[#This Row],[_ConstraintStart]],0)</f>
        <v/>
      </c>
      <c r="CP87" s="88">
        <f>IF(OR(Tasks[[#This Row],[_ConstraintCode]]=2,Tasks[[#This Row],[_ConstraintCode]]=3,Tasks[[#This Row],[_ConstraintCode]]=5,Tasks[[#This Row],[_ConstraintCode]]=7),Tasks[[#This Row],[_ConstraintStart]],2958465)</f>
        <v/>
      </c>
      <c r="CQ8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7" s="88">
        <f>IF(NOT(Tasks[[#This Row],[_IsLeaf]]=1),"",IF(N(Tasks[[#This Row],[_Days]])&lt;=0,Tasks[[#This Row],[_LeafCalcStart]],WORKDAY.INTL(Tasks[[#This Row],[_LeafCalcStart]],Tasks[[#This Row],[_Days]]-1,WorkWeek,Holidays)))</f>
        <v/>
      </c>
      <c r="CS8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7" s="42">
        <f>IF(Tasks[[#This Row],[_Predecessors]]="","",TRIM(MID(SUBSTITUTE(SUBSTITUTE(SUBSTITUTE(UPPER(Tasks[[#This Row],[_Predecessors]]),";",",")," ",""),",",REPT(" ",99)),1,99)))</f>
        <v/>
      </c>
      <c r="CV87" s="42">
        <f>IF(Tasks[[#This Row],[_Pred1Text]]="","",IFERROR(VALUE(LEFT(Tasks[[#This Row],[_Pred1Text]],MIN(FIND("F",Tasks[[#This Row],[_Pred1Text]]&amp;"F"),FIND("S",Tasks[[#This Row],[_Pred1Text]]&amp;"S"),FIND("+",Tasks[[#This Row],[_Pred1Text]]&amp;"+"),FIND("-",Tasks[[#This Row],[_Pred1Text]]&amp;"-"))-1)),""))</f>
        <v/>
      </c>
      <c r="CW8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7" s="42">
        <f>IF(Tasks[[#This Row],[_Pred1Text]]="","",TRIM(MID(SUBSTITUTE(SUBSTITUTE(SUBSTITUTE(UPPER(Tasks[[#This Row],[_Predecessors]]),";",",")," ",""),",",REPT(" ",99)),100,99)))</f>
        <v/>
      </c>
      <c r="CZ87" s="42">
        <f>IF(Tasks[[#This Row],[_Pred2Text]]="","",IFERROR(VALUE(LEFT(Tasks[[#This Row],[_Pred2Text]],MIN(FIND("F",Tasks[[#This Row],[_Pred2Text]]&amp;"F"),FIND("S",Tasks[[#This Row],[_Pred2Text]]&amp;"S"),FIND("+",Tasks[[#This Row],[_Pred2Text]]&amp;"+"),FIND("-",Tasks[[#This Row],[_Pred2Text]]&amp;"-"))-1)),""))</f>
        <v/>
      </c>
      <c r="DA8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7" s="42">
        <f>IF(Tasks[[#This Row],[_Pred2Text]]="","",TRIM(MID(SUBSTITUTE(SUBSTITUTE(SUBSTITUTE(UPPER(Tasks[[#This Row],[_Predecessors]]),";",",")," ",""),",",REPT(" ",99)),199,99)))</f>
        <v/>
      </c>
      <c r="DD87" s="42">
        <f>IF(Tasks[[#This Row],[_Pred3Text]]="","",IFERROR(VALUE(LEFT(Tasks[[#This Row],[_Pred3Text]],MIN(FIND("F",Tasks[[#This Row],[_Pred3Text]]&amp;"F"),FIND("S",Tasks[[#This Row],[_Pred3Text]]&amp;"S"),FIND("+",Tasks[[#This Row],[_Pred3Text]]&amp;"+"),FIND("-",Tasks[[#This Row],[_Pred3Text]]&amp;"-"))-1)),""))</f>
        <v/>
      </c>
      <c r="DE8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7" s="42">
        <f>IF(Tasks[[#This Row],[_Pred3Text]]="","",TRIM(MID(SUBSTITUTE(SUBSTITUTE(SUBSTITUTE(UPPER(Tasks[[#This Row],[_Predecessors]]),";",",")," ",""),",",REPT(" ",99)),298,99)))</f>
        <v/>
      </c>
      <c r="DH87" s="42">
        <f>IF(Tasks[[#This Row],[_Pred4Text]]="","",IFERROR(VALUE(LEFT(Tasks[[#This Row],[_Pred4Text]],MIN(FIND("F",Tasks[[#This Row],[_Pred4Text]]&amp;"F"),FIND("S",Tasks[[#This Row],[_Pred4Text]]&amp;"S"),FIND("+",Tasks[[#This Row],[_Pred4Text]]&amp;"+"),FIND("-",Tasks[[#This Row],[_Pred4Text]]&amp;"-"))-1)),""))</f>
        <v/>
      </c>
      <c r="DI8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7" s="42">
        <f>IF(OR(Tasks[[#This Row],[Task Name]]="",Tasks[[#This Row],[_Resources]]=""),"",TRIM(MID(SUBSTITUTE(Tasks[[#This Row],[_Resources]],",",REPT(" ",99)),1,99)))</f>
        <v/>
      </c>
      <c r="DL87" s="42">
        <f>IF(Tasks[[#This Row],[_Res1Text]]="","",TRIM(MID(SUBSTITUTE(Tasks[[#This Row],[_Resources]],",",REPT(" ",99)),100,99)))</f>
        <v/>
      </c>
      <c r="DM87" s="42">
        <f>IF(Tasks[[#This Row],[_Res2Text]]="","",TRIM(MID(SUBSTITUTE(Tasks[[#This Row],[_Resources]],",",REPT(" ",99)),199,99)))</f>
        <v/>
      </c>
      <c r="DN87" s="42">
        <f>IF(Tasks[[#This Row],[_Res3Text]]="","",TRIM(MID(SUBSTITUTE(Tasks[[#This Row],[_Resources]],",",REPT(" ",99)),298,99)))</f>
        <v/>
      </c>
      <c r="DO87" s="42">
        <f>IF(Tasks[[#This Row],[_Res1Text]]="",0,IFERROR(MATCH(TRIM(LEFT(Tasks[[#This Row],[_Res1Text]],FIND("[",Tasks[[#This Row],[_Res1Text]]&amp;"[")-1)),res_Name,0),IFERROR(MATCH(TRIM(LEFT(Tasks[[#This Row],[_Res1Text]],FIND("[",Tasks[[#This Row],[_Res1Text]]&amp;"[")-1)),res_Initials,0),0)))</f>
        <v/>
      </c>
      <c r="DP87" s="42">
        <f>IF(Tasks[[#This Row],[_Res2Text]]="",0,IFERROR(MATCH(TRIM(LEFT(Tasks[[#This Row],[_Res2Text]],FIND("[",Tasks[[#This Row],[_Res2Text]]&amp;"[")-1)),res_Name,0),IFERROR(MATCH(TRIM(LEFT(Tasks[[#This Row],[_Res2Text]],FIND("[",Tasks[[#This Row],[_Res2Text]]&amp;"[")-1)),res_Initials,0),0)))</f>
        <v/>
      </c>
      <c r="DQ87" s="42">
        <f>IF(Tasks[[#This Row],[_Res3Text]]="",0,IFERROR(MATCH(TRIM(LEFT(Tasks[[#This Row],[_Res3Text]],FIND("[",Tasks[[#This Row],[_Res3Text]]&amp;"[")-1)),res_Name,0),IFERROR(MATCH(TRIM(LEFT(Tasks[[#This Row],[_Res3Text]],FIND("[",Tasks[[#This Row],[_Res3Text]]&amp;"[")-1)),res_Initials,0),0)))</f>
        <v/>
      </c>
      <c r="DR87" s="42">
        <f>IF(Tasks[[#This Row],[_Res4Text]]="",0,IFERROR(MATCH(TRIM(LEFT(Tasks[[#This Row],[_Res4Text]],FIND("[",Tasks[[#This Row],[_Res4Text]]&amp;"[")-1)),res_Name,0),IFERROR(MATCH(TRIM(LEFT(Tasks[[#This Row],[_Res4Text]],FIND("[",Tasks[[#This Row],[_Res4Text]]&amp;"[")-1)),res_Initials,0),0)))</f>
        <v/>
      </c>
      <c r="DS87" s="42">
        <f>IF(Tasks[[#This Row],[_Res1Text]]="","",IF(Tasks[[#This Row],[_Res1Row]]&gt;0,INDEX(res_Name,Tasks[[#This Row],[_Res1Row]]),TRIM(LEFT(Tasks[[#This Row],[_Res1Text]],FIND("[",Tasks[[#This Row],[_Res1Text]]&amp;"[")-1))))</f>
        <v/>
      </c>
      <c r="DT8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7" s="42">
        <f>IF(NOT(Tasks[[#This Row],[_IsLeaf]]=1),0,(Tasks[[#This Row],[_Resource1]]&lt;&gt;"")+(Tasks[[#This Row],[_Res2]]&lt;&gt;"")+(Tasks[[#This Row],[_Res3]]&lt;&gt;"")+(Tasks[[#This Row],[_Res4]]&lt;&gt;""))</f>
        <v/>
      </c>
      <c r="DV87" s="42">
        <f>IF(Tasks[[#This Row],[_Res2Text]]="","",IF(Tasks[[#This Row],[_Res2Row]]&gt;0,INDEX(res_Name,Tasks[[#This Row],[_Res2Row]]),TRIM(LEFT(Tasks[[#This Row],[_Res2Text]],FIND("[",Tasks[[#This Row],[_Res2Text]]&amp;"[")-1))))</f>
        <v/>
      </c>
      <c r="DW8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7" s="42">
        <f>IF(OR(NOT(Tasks[[#This Row],[_IsLeaf]]=1),Tasks[[#This Row],[_Res2Row]]=0),0,N(Tasks[[#This Row],[_Days]])*HoursPerDay*IF(Tasks[[#This Row],[_Res2Units]]="",DefaultUnits,Tasks[[#This Row],[_Res2Units]]))</f>
        <v/>
      </c>
      <c r="DY87" s="42">
        <f>IF(AND(AND(Tasks[[#This Row],[_IsLeaf]]=1,Tasks[[#This Row],[_LeafTotalWork]]&gt;0),Tasks[[#This Row],[_Res2Work]]&gt;0),Tasks[[#This Row],[_Res2Work]]/(Tasks[[#This Row],[_FinishWorkday]]-Tasks[[#This Row],[_StartWorkday]]+1),0)</f>
        <v/>
      </c>
      <c r="DZ87" s="42">
        <f>Tasks[[#This Row],[_Res2WorkPerWD]]*MAX(0,Tasks[[#This Row],[_StartWorkday]]-1)</f>
        <v/>
      </c>
      <c r="EA87" s="42">
        <f>Tasks[[#This Row],[_Res2Work]]*Tasks[[#This Row],[_LeafProgress]]</f>
        <v/>
      </c>
      <c r="EB87" s="42">
        <f>IF(Tasks[[#This Row],[_Res3Text]]="","",IF(Tasks[[#This Row],[_Res3Row]]&gt;0,INDEX(res_Name,Tasks[[#This Row],[_Res3Row]]),TRIM(LEFT(Tasks[[#This Row],[_Res3Text]],FIND("[",Tasks[[#This Row],[_Res3Text]]&amp;"[")-1))))</f>
        <v/>
      </c>
      <c r="EC8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7" s="42">
        <f>IF(OR(NOT(Tasks[[#This Row],[_IsLeaf]]=1),Tasks[[#This Row],[_Res3Row]]=0),0,N(Tasks[[#This Row],[_Days]])*HoursPerDay*IF(Tasks[[#This Row],[_Res3Units]]="",DefaultUnits,Tasks[[#This Row],[_Res3Units]]))</f>
        <v/>
      </c>
      <c r="EE87" s="42">
        <f>IF(AND(AND(Tasks[[#This Row],[_IsLeaf]]=1,Tasks[[#This Row],[_LeafTotalWork]]&gt;0),Tasks[[#This Row],[_Res3Work]]&gt;0),Tasks[[#This Row],[_Res3Work]]/(Tasks[[#This Row],[_FinishWorkday]]-Tasks[[#This Row],[_StartWorkday]]+1),0)</f>
        <v/>
      </c>
      <c r="EF87" s="42">
        <f>Tasks[[#This Row],[_Res3WorkPerWD]]*MAX(0,Tasks[[#This Row],[_StartWorkday]]-1)</f>
        <v/>
      </c>
      <c r="EG87" s="42">
        <f>Tasks[[#This Row],[_Res3Work]]*Tasks[[#This Row],[_LeafProgress]]</f>
        <v/>
      </c>
      <c r="EH87" s="42">
        <f>IF(Tasks[[#This Row],[_Res4Text]]="","",IF(Tasks[[#This Row],[_Res4Row]]&gt;0,INDEX(res_Name,Tasks[[#This Row],[_Res4Row]]),TRIM(LEFT(Tasks[[#This Row],[_Res4Text]],FIND("[",Tasks[[#This Row],[_Res4Text]]&amp;"[")-1))))</f>
        <v/>
      </c>
      <c r="EI8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7" s="42">
        <f>IF(OR(NOT(Tasks[[#This Row],[_IsLeaf]]=1),Tasks[[#This Row],[_Res4Row]]=0),0,N(Tasks[[#This Row],[_Days]])*HoursPerDay*IF(Tasks[[#This Row],[_Res4Units]]="",DefaultUnits,Tasks[[#This Row],[_Res4Units]]))</f>
        <v/>
      </c>
      <c r="EK87" s="42">
        <f>IF(AND(AND(Tasks[[#This Row],[_IsLeaf]]=1,Tasks[[#This Row],[_LeafTotalWork]]&gt;0),Tasks[[#This Row],[_Res4Work]]&gt;0),Tasks[[#This Row],[_Res4Work]]/(Tasks[[#This Row],[_FinishWorkday]]-Tasks[[#This Row],[_StartWorkday]]+1),0)</f>
        <v/>
      </c>
      <c r="EL87" s="42">
        <f>Tasks[[#This Row],[_Res4WorkPerWD]]*MAX(0,Tasks[[#This Row],[_StartWorkday]]-1)</f>
        <v/>
      </c>
      <c r="EM87" s="42">
        <f>Tasks[[#This Row],[_Res4Work]]*Tasks[[#This Row],[_LeafProgress]]</f>
        <v/>
      </c>
      <c r="EN87" s="42">
        <f>IF(ISNUMBER(Tasks[[#This Row],[% Complete]]),Tasks[[#This Row],[% Complete]],IF(Tasks[[#This Row],[Stage]]="",0,IFERROR(INDEX(stg_Pct,MATCH(Tasks[[#This Row],[Stage]],stg_Name,0)),0)))</f>
        <v/>
      </c>
      <c r="EO87" s="42">
        <f>IF(NOT(Tasks[[#This Row],[_IsLeaf]]=1),0,IF(N(Tasks[[#This Row],[Actual Finish]])&gt;0,1,MIN(1,Tasks[[#This Row],[_Pct]])))</f>
        <v/>
      </c>
      <c r="EP87" s="42">
        <f>IF(OR(NOT(Tasks[[#This Row],[_IsLeaf]]=1),Tasks[[#This Row],[_Res1Row]]=0),0,N(Tasks[[#This Row],[_Days]])*HoursPerDay*IF(Tasks[[#This Row],[_Units1]]="",DefaultUnits,Tasks[[#This Row],[_Units1]]))</f>
        <v/>
      </c>
      <c r="EQ87" s="42">
        <f>Tasks[[#This Row],[_LeafWork]]+Tasks[[#This Row],[_Res2Work]]+Tasks[[#This Row],[_Res3Work]]+Tasks[[#This Row],[_Res4Work]]</f>
        <v/>
      </c>
      <c r="ER8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7" s="42">
        <f>IF(NOT(Tasks[[#This Row],[_IsLeaf]]=1),0,MAX(_xlfn.MAXIFS(Tasks[_Row],Tasks[_Pred1UID],Tasks[[#This Row],[UID]]),_xlfn.MAXIFS(Tasks[_Row],Tasks[_Pred2UID],Tasks[[#This Row],[UID]]),_xlfn.MAXIFS(Tasks[_Row],Tasks[_Pred3UID],Tasks[[#This Row],[UID]]),_xlfn.MAXIFS(Tasks[_Row],Tasks[_Pred4UID],Tasks[[#This Row],[UID]])))</f>
        <v/>
      </c>
      <c r="FA8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7" s="88">
        <f>IF(NOT(Tasks[[#This Row],[_IsLeaf]]=1),"",IF(N(Tasks[[#This Row],[_Days]])&lt;=0,Tasks[[#This Row],[_LeafLateFinish]],WORKDAY.INTL(Tasks[[#This Row],[_LeafLateFinish]],-(Tasks[[#This Row],[_Days]]-1),WorkWeek,Holidays)))</f>
        <v/>
      </c>
      <c r="FD8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7" s="42">
        <f>AND(Tasks[[#This Row],[_IsLeaf]]=1,Tasks[[#This Row],[_LeafProgress]]&lt;1,N(Tasks[[#This Row],[_LeafTotalSlack]])&lt;=CriticalSlackDays)</f>
        <v/>
      </c>
      <c r="FF87" s="42">
        <f>IF(AND(Tasks[[#This Row],[_IsLeaf]]=1,Tasks[[#This Row],[_ConstraintCode]]=1,Tasks[[#This Row],[Mode]]&lt;&gt;"Manual",N(Tasks[[#This Row],[Actual Start]])=0),MAX(0,N(Tasks[[#This Row],[Free Slack]])),0)</f>
        <v/>
      </c>
      <c r="FG87" s="88">
        <f>IF(NOT(Tasks[[#This Row],[_IsLeaf]]=1),"",IF(Tasks[[#This Row],[_AlapShift]]=0,Tasks[[#This Row],[_LeafCalcStart]],WORKDAY.INTL(Tasks[[#This Row],[_LeafCalcStart]],Tasks[[#This Row],[_AlapShift]],WorkWeek,Holidays)))</f>
        <v/>
      </c>
      <c r="FH87" s="88">
        <f>IF(NOT(Tasks[[#This Row],[_IsLeaf]]=1),"",IF(Tasks[[#This Row],[_AlapShift]]=0,Tasks[[#This Row],[_LeafCalcFinish]],WORKDAY.INTL(Tasks[[#This Row],[_LeafCalcFinish]],Tasks[[#This Row],[_AlapShift]],WorkWeek,Holidays)))</f>
        <v/>
      </c>
      <c r="FI87" s="88">
        <f>IF(NOT(Tasks[[#This Row],[_IsLeaf]]=1),"",IF(Tasks[[#This Row],[_AlapShift]]=0,Tasks[[#This Row],[_LeafFcstStart]],WORKDAY.INTL(Tasks[[#This Row],[_LeafFcstStart]],Tasks[[#This Row],[_AlapShift]],WorkWeek,Holidays)))</f>
        <v/>
      </c>
      <c r="FJ87" s="88">
        <f>IF(NOT(Tasks[[#This Row],[_IsLeaf]]=1),"",IF(Tasks[[#This Row],[_AlapShift]]=0,Tasks[[#This Row],[_LeafFcstFinish]],WORKDAY.INTL(Tasks[[#This Row],[_LeafFcstFinish]],Tasks[[#This Row],[_AlapShift]],WorkWeek,Holidays)))</f>
        <v/>
      </c>
      <c r="FK87" s="88">
        <f>IF(Tasks[[#This Row],[Task Name]]="","",IF(Tasks[[#This Row],[_IsSummary]],MIN(INDEX(Tasks[_ShownCalcStart],Tasks[[#This Row],[_Row]]+1):INDEX(Tasks[_ShownCalcStart],Tasks[[#This Row],[_Row]]+Tasks[[#This Row],[_Descendants]])),Tasks[[#This Row],[_ShownCalcStart]]))</f>
        <v/>
      </c>
      <c r="FL87" s="88">
        <f>IF(Tasks[[#This Row],[Task Name]]="","",IF(Tasks[[#This Row],[_IsSummary]],MAX(INDEX(Tasks[_ShownCalcFinish],Tasks[[#This Row],[_Row]]+1):INDEX(Tasks[_ShownCalcFinish],Tasks[[#This Row],[_Row]]+Tasks[[#This Row],[_Descendants]])),Tasks[[#This Row],[_ShownCalcFinish]]))</f>
        <v/>
      </c>
      <c r="FM8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7" s="42">
        <f>IF(AND(Tasks[[#This Row],[_IsLeaf]]=1,Tasks[[#This Row],[_LeafTotalWork]]&gt;0),NETWORKDAYS.INTL(ProjectStart,Tasks[[#This Row],[_ShownFcstStart]],WorkWeek,Holidays),0)</f>
        <v/>
      </c>
      <c r="FZ87" s="42">
        <f>IF(AND(Tasks[[#This Row],[_IsLeaf]]=1,Tasks[[#This Row],[_LeafTotalWork]]&gt;0),MAX(Tasks[[#This Row],[_StartWorkday]],NETWORKDAYS.INTL(ProjectStart,Tasks[[#This Row],[_ShownFcstFinish]],WorkWeek,Holidays)),0)</f>
        <v/>
      </c>
      <c r="GA87" s="42">
        <f>IF(AND(Tasks[[#This Row],[_IsLeaf]]=1,Tasks[[#This Row],[_LeafTotalWork]]&gt;0),Tasks[[#This Row],[_LeafWork]]/(Tasks[[#This Row],[_FinishWorkday]]-Tasks[[#This Row],[_StartWorkday]]+1),0)</f>
        <v/>
      </c>
      <c r="GB87" s="42">
        <f>Tasks[[#This Row],[_WorkPerWorkday]]*(Tasks[[#This Row],[_StartWorkday]]-1)</f>
        <v/>
      </c>
      <c r="GC87" s="42">
        <f>IF(Tasks[[#This Row],[_IsLeaf]]=1,MAX(N(Tasks[[#This Row],[_Days]]),0.1),0)</f>
        <v/>
      </c>
      <c r="GD87" s="42">
        <f>Tasks[[#This Row],[_WeightDur]]*Tasks[[#This Row],[_LeafProgress]]</f>
        <v/>
      </c>
      <c r="GE87" s="42">
        <f>Tasks[[#This Row],[_WeightDur]]*Tasks[[#This Row],[_PlannedPct]]</f>
        <v/>
      </c>
      <c r="GF8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7" s="42">
        <f>IF(AND(Tasks[[#This Row],[_IsLeaf]]=1,N(Tasks[[#This Row],[_Days]])=0,Tasks[[#This Row],[_LeafProgress]]&lt;1),Tasks[[#This Row],[_ShownFcstFinish]]+Tasks[[#This Row],[_Row]]/100000,"")</f>
        <v/>
      </c>
      <c r="GH8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7" s="42">
        <f>IF(Tasks[[#This Row],[Task Name]]="","",LEFT(Tasks[[#This Row],[WBS]],FIND(".",Tasks[[#This Row],[WBS]]&amp;".")-1))</f>
        <v/>
      </c>
      <c r="GJ87" s="42">
        <f>IF(AND(Tasks[[#This Row],[Task Name]]&lt;&gt;"",Tasks[[#This Row],[_Level]]=1),Tasks[[#This Row],[_Row]],"")</f>
        <v/>
      </c>
      <c r="GK87" s="42">
        <f>IF(AND(Tasks[[#This Row],[_IsLeaf]]=1,N(Tasks[[#This Row],[_Days]])=0),Tasks[[#This Row],[Planned Finish]]+Tasks[[#This Row],[_Row]]/100000,"")</f>
        <v/>
      </c>
      <c r="GL87" s="42">
        <f>IF(AND(Tasks[[#This Row],[_IsLeaf]]=1,Tasks[[#This Row],[_LeafProgress]]&lt;1,OR(N(Tasks[[#This Row],[Finish Var]])&gt;0,Tasks[[#This Row],[Status]]="Late Start")),MAX(0,Tasks[[#This Row],[Finish Var]])+1-Tasks[[#This Row],[_Row]]/1000000,"")</f>
        <v/>
      </c>
      <c r="GM87" s="42">
        <f>IF(AND(Tasks[[#This Row],[_IsLeaf]]=1,N(Tasks[[#This Row],[Actual Start]])=0,Tasks[[#This Row],[_ShownFcstStart]]&gt;=StatusDate,Tasks[[#This Row],[_ShownFcstStart]]&lt;=LookaheadEnd),Tasks[[#This Row],[_ShownFcstStart]]+Tasks[[#This Row],[_Row]]/100000,"")</f>
        <v/>
      </c>
      <c r="GN87" s="42">
        <f>IF(AND(Tasks[[#This Row],[_IsLeaf]]=1,Tasks[[#This Row],[_LeafProgress]]&lt;1,Tasks[[#This Row],[_ShownFcstFinish]]&gt;=StatusDate,Tasks[[#This Row],[_ShownFcstFinish]]&lt;=LookaheadEnd),Tasks[[#This Row],[_ShownFcstFinish]]+Tasks[[#This Row],[_Row]]/100000,"")</f>
        <v/>
      </c>
      <c r="GO87" s="42">
        <f>IF(Tasks[[#This Row],[_LeafCritical]],Tasks[[#This Row],[_ShownFcstStart]]+Tasks[[#This Row],[_Row]]/100000,"")</f>
        <v/>
      </c>
      <c r="GP87" s="42">
        <f>Tasks[[#This Row],[_LeafWork]]*Tasks[[#This Row],[_LeafProgress]]</f>
        <v/>
      </c>
      <c r="GQ87" s="88">
        <f>IF(AND(Tasks[[#This Row],[_IsLeaf]]=1,Tasks[[#This Row],[_LeafProgress]]&gt;=1),IF(N(Tasks[[#This Row],[Actual Finish]])&gt;0,Tasks[[#This Row],[Actual Finish]],Tasks[[#This Row],[_ShownFcstFinish]]),"")</f>
        <v/>
      </c>
      <c r="GR87" s="42">
        <f>IF(Tasks[[#This Row],[_IsLeaf]]=1,N(Tasks[[#This Row],[Story Points]]),0)</f>
        <v/>
      </c>
      <c r="GS87" s="42">
        <f>""</f>
        <v/>
      </c>
      <c r="GT87" s="42">
        <f>IF(Tasks[[#This Row],[Task Name]]="",FALSE(),AND(Tasks[[#This Row],[_IsLeaf]]=1,N(Tasks[[#This Row],[_Days]])=0))</f>
        <v/>
      </c>
      <c r="GU87" s="88">
        <f>IF(Tasks[[#This Row],[Task Name]]="",0,IF(AND(Tasks[[#This Row],[_IsLeaf]]=1,NOT(Tasks[[#This Row],[_IsMilestone]]),N(Tasks[[#This Row],[Progress]])&gt;0),Tasks[[#This Row],[Start]],0))</f>
        <v/>
      </c>
      <c r="GV87" s="88">
        <f>IF(Tasks[[#This Row],[_DoneFrom]]=0,0,IF(Tasks[[#This Row],[Progress]]&gt;=1,Tasks[[#This Row],[Finish]],MAX(Tasks[[#This Row],[_DoneFrom]],Tasks[[#This Row],[Start]]+ROUND((Tasks[[#This Row],[Finish]]-Tasks[[#This Row],[Start]]+1)*Tasks[[#This Row],[Progress]],0)-1)))</f>
        <v/>
      </c>
      <c r="GW87" s="88">
        <f>IF(Tasks[[#This Row],[Task Name]]="",0,IF(OR(NOT(Tasks[[#This Row],[_IsLeaf]]=1),Tasks[[#This Row],[_IsMilestone]],N(Tasks[[#This Row],[Progress]])&gt;=1),0,IF(Tasks[[#This Row],[_DoneTo]]&gt;0,Tasks[[#This Row],[_DoneTo]]+1,Tasks[[#This Row],[Start]])))</f>
        <v/>
      </c>
      <c r="GX87" s="88">
        <f>IF(Tasks[[#This Row],[_RemFrom]]=0,0,Tasks[[#This Row],[Finish]])</f>
        <v/>
      </c>
      <c r="GY87" s="42">
        <f>IF(Tasks[[#This Row],[Task Name]]="",FALSE(),OR(NOT(BaselineSet),N(Tasks[[#This Row],[Baseline Start]])&gt;0))</f>
        <v/>
      </c>
      <c r="GZ87" s="42">
        <f>IF(AND(Sandbox="Yes",L_PARSE_DURATION(Tasks[[#This Row],[Sandbox Duration]])&lt;&gt;""),L_PARSE_DURATION(Tasks[[#This Row],[Sandbox Duration]]),L_PARSE_DURATION(Tasks[[#This Row],[Duration]]))</f>
        <v/>
      </c>
      <c r="HA8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7" s="42">
        <f>IF(Tasks[[#This Row],[_IsLeaf]]=1,Tasks[[#This Row],[_Row]],"")</f>
        <v/>
      </c>
      <c r="HD87" s="42">
        <f>IFERROR(INDEX(Tasks[UID],SMALL(Tasks[_PickKey],Tasks[[#This Row],[_Row]]))&amp;" "&amp;INDEX(Tasks[Task Name],SMALL(Tasks[_PickKey],Tasks[[#This Row],[_Row]])),"")</f>
        <v/>
      </c>
      <c r="HE87" s="42">
        <f>IF(Tasks[[#This Row],[Task Name]]="","",IF(Tasks[[#This Row],[_IsSummary]],NETWORKDAYS.INTL(Tasks[[#This Row],[Start]],Tasks[[#This Row],[Finish]],WorkWeek,Holidays),N(Tasks[[#This Row],[_Days]])))</f>
        <v/>
      </c>
      <c r="HF87" s="42">
        <f>IF(Tasks[[#This Row],[Expected]]="",0,((Tasks[[#This Row],[Pessimistic]]-Tasks[[#This Row],[Optimistic]])/6)^2)</f>
        <v/>
      </c>
      <c r="HG87" s="42">
        <f>IF(Tasks[[#This Row],[Expected]]="",0,Tasks[[#This Row],[Expected]]-N(Tasks[[#This Row],[_Days]]))</f>
        <v/>
      </c>
    </row>
    <row r="88">
      <c r="A88" s="21">
        <f>IF(Tasks[[#This Row],[Task Name]]="","",COUNTA(Tasks[[#Headers],[Task Name]]:Tasks[[#This Row],[Task Name]])-1)</f>
        <v/>
      </c>
      <c r="B88" s="22" t="n">
        <v>96</v>
      </c>
      <c r="C88" s="22" t="n"/>
      <c r="D88" s="23" t="n"/>
      <c r="E88" s="22" t="n"/>
      <c r="F88" s="23" t="n"/>
      <c r="G88" s="22" t="n"/>
      <c r="H88" s="22" t="n"/>
      <c r="I88" s="23" t="n"/>
      <c r="J88" s="22" t="n"/>
      <c r="K88" s="22" t="n"/>
      <c r="L88" s="23" t="n"/>
      <c r="M88" s="22" t="n"/>
      <c r="N88" s="22" t="n"/>
      <c r="O88" s="23" t="n"/>
      <c r="P88" s="22" t="n"/>
      <c r="Q88" s="22" t="n"/>
      <c r="R88" s="23" t="n"/>
      <c r="S88" s="23" t="n"/>
      <c r="T88" s="82" t="n"/>
      <c r="U88" s="23" t="n"/>
      <c r="V88" s="82" t="n"/>
      <c r="W88" s="23" t="n"/>
      <c r="X88" s="82" t="n"/>
      <c r="Y88" s="23" t="n"/>
      <c r="Z88" s="82" t="n"/>
      <c r="AA88" s="23" t="n"/>
      <c r="AB88" s="23" t="n"/>
      <c r="AC88" s="7" t="n"/>
      <c r="AD88" s="7" t="n"/>
      <c r="AE88" s="61">
        <f>IF(Tasks[[#This Row],[Task Name]]="","",IF(Tasks[[#This Row],[_IsSummary]],MIN(INDEX(Tasks[_ShownFcstStart],Tasks[[#This Row],[_Row]]+1):INDEX(Tasks[_ShownFcstStart],Tasks[[#This Row],[_Row]]+Tasks[[#This Row],[_Descendants]])),Tasks[[#This Row],[_ShownFcstStart]]))</f>
        <v/>
      </c>
      <c r="AF88" s="61">
        <f>IF(Tasks[[#This Row],[Task Name]]="","",IF(Tasks[[#This Row],[_IsSummary]],MAX(INDEX(Tasks[_ShownFcstFinish],Tasks[[#This Row],[_Row]]+1):INDEX(Tasks[_ShownFcstFinish],Tasks[[#This Row],[_Row]]+Tasks[[#This Row],[_Descendants]])),Tasks[[#This Row],[_ShownFcstFinish]]))</f>
        <v/>
      </c>
      <c r="AG88" s="21">
        <f>""</f>
        <v/>
      </c>
      <c r="AH88" s="23" t="n"/>
      <c r="AI8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8" s="7" t="n"/>
      <c r="AK88" s="22" t="n"/>
      <c r="AL88" s="23" t="n"/>
      <c r="AM88" s="7" t="n"/>
      <c r="AN88" s="21">
        <f>IF(Tasks[[#This Row],[Task Name]]="","",IF(Tasks[[#This Row],[Finish]]&gt;=Tasks[[#This Row],[Planned Finish]],NETWORKDAYS.INTL(Tasks[[#This Row],[Planned Finish]],Tasks[[#This Row],[Finish]],WorkWeek,Holidays)-1,1-NETWORKDAYS.INTL(Tasks[[#This Row],[Finish]],Tasks[[#This Row],[Planned Finish]],WorkWeek,Holidays)))</f>
        <v/>
      </c>
      <c r="AO88" s="21">
        <f>IF(Tasks[[#This Row],[Task Name]]="","",IF(Tasks[[#This Row],[Progress]]&gt;=1,"Complete",IF(OR(N(Tasks[[#This Row],[Actual Start]])&gt;0,Tasks[[#This Row],[Progress]]&gt;0),IF(Tasks[[#This Row],[Finish Var]]&gt;0,"Behind","In Progress"),IF(Tasks[[#This Row],[Planned Start]]&lt;StatusDate,"Late Start","Not Started"))))</f>
        <v/>
      </c>
      <c r="AP88" s="21">
        <f>IF(Tasks[[#This Row],[Task Name]]="","",IF(IF(Tasks[[#This Row],[_IsSummary]],COUNTIF(INDEX(Tasks[_LeafCritical],Tasks[[#This Row],[_Row]]+1):INDEX(Tasks[_LeafCritical],Tasks[[#This Row],[_Row]]+Tasks[[#This Row],[_Descendants]]),TRUE())&gt;0,Tasks[[#This Row],[_LeafCritical]]),"Yes",""))</f>
        <v/>
      </c>
      <c r="AQ88" s="61">
        <f>IF(Tasks[[#This Row],[Task Name]]="","",IF(N(Tasks[[#This Row],[Baseline Start]])&gt;0,Tasks[[#This Row],[Baseline Start]],Tasks[[#This Row],[_CalcStart]]))</f>
        <v/>
      </c>
      <c r="AR88" s="61">
        <f>IF(Tasks[[#This Row],[Task Name]]="","",IF(N(Tasks[[#This Row],[Baseline Finish]])&gt;0,Tasks[[#This Row],[Baseline Finish]],Tasks[[#This Row],[_CalcFinish]]))</f>
        <v/>
      </c>
      <c r="AS88" s="21">
        <f>IF(Tasks[[#This Row],[Task Name]]="","",IF(Tasks[[#This Row],[Start]]&gt;=Tasks[[#This Row],[Planned Start]],NETWORKDAYS.INTL(Tasks[[#This Row],[Planned Start]],Tasks[[#This Row],[Start]],WorkWeek,Holidays)-1,1-NETWORKDAYS.INTL(Tasks[[#This Row],[Start]],Tasks[[#This Row],[Planned Start]],WorkWeek,Holidays)))</f>
        <v/>
      </c>
      <c r="AT88" s="61">
        <f>IF(Tasks[[#This Row],[Task Name]]="","",IF(Tasks[[#This Row],[_IsSummary]],MIN(INDEX(Tasks[_LeafLateStart],Tasks[[#This Row],[_Row]]+1):INDEX(Tasks[_LeafLateStart],Tasks[[#This Row],[_Row]]+Tasks[[#This Row],[_Descendants]])),Tasks[[#This Row],[_LeafLateStart]]))</f>
        <v/>
      </c>
      <c r="AU88" s="61">
        <f>IF(Tasks[[#This Row],[Task Name]]="","",IF(Tasks[[#This Row],[_IsSummary]],MAX(INDEX(Tasks[_LeafLateFinish],Tasks[[#This Row],[_Row]]+1):INDEX(Tasks[_LeafLateFinish],Tasks[[#This Row],[_Row]]+Tasks[[#This Row],[_Descendants]])),Tasks[[#This Row],[_LeafLateFinish]]))</f>
        <v/>
      </c>
      <c r="AV88" s="21">
        <f>IF(Tasks[[#This Row],[Task Name]]="","",IF(Tasks[[#This Row],[_IsSummary]],MIN(INDEX(Tasks[_LeafTotalSlack],Tasks[[#This Row],[_Row]]+1):INDEX(Tasks[_LeafTotalSlack],Tasks[[#This Row],[_Row]]+Tasks[[#This Row],[_Descendants]])),Tasks[[#This Row],[_LeafTotalSlack]]))</f>
        <v/>
      </c>
      <c r="AW8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3" t="n"/>
      <c r="BA8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f>IF(Tasks[[#This Row],[Task Name]]="","",IF(Tasks[[#This Row],[_Level]]&lt;=OutlineShowLevel,"Yes","No"))</f>
        <v/>
      </c>
      <c r="BE88" s="84">
        <f>IF(Tasks[[#This Row],[Task Name]]="","",IF(Tasks[[#This Row],[_IsSummary]],SUM(INDEX(Tasks[_LeafTotalWork],Tasks[[#This Row],[_Row]]+1):INDEX(Tasks[_LeafTotalWork],Tasks[[#This Row],[_Row]]+Tasks[[#This Row],[_Descendants]])),Tasks[[#This Row],[_LeafTotalWork]]))</f>
        <v/>
      </c>
      <c r="BF88" s="23" t="n"/>
      <c r="BG8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f>""</f>
        <v/>
      </c>
      <c r="BI88" s="85" t="n"/>
      <c r="BJ88" s="22" t="n"/>
      <c r="BK88" s="21">
        <f>IF(OR(Tasks[[#This Row],[Task Name]]="",Tasks[[#This Row],[Baseline Duration]]=""),"",Tasks[[#This Row],[_SpanDays]]-N(Tasks[[#This Row],[Baseline Duration]]))</f>
        <v/>
      </c>
      <c r="BL88" s="84">
        <f>IF(OR(Tasks[[#This Row],[Task Name]]="",Tasks[[#This Row],[Baseline Work]]=""),"",Tasks[[#This Row],[Work]]-N(Tasks[[#This Row],[Baseline Work]]))</f>
        <v/>
      </c>
      <c r="BM88" s="61">
        <f>IF(Tasks[[#This Row],[Task Name]]="","",IF(OR(TakeBaseline="Yes",N(Tasks[[#This Row],[Baseline Start]])=0),Tasks[[#This Row],[Start]],Tasks[[#This Row],[Baseline Start]]))</f>
        <v/>
      </c>
      <c r="BN88" s="61">
        <f>IF(Tasks[[#This Row],[Task Name]]="","",IF(OR(TakeBaseline="Yes",N(Tasks[[#This Row],[Baseline Finish]])=0),Tasks[[#This Row],[Finish]],Tasks[[#This Row],[Baseline Finish]]))</f>
        <v/>
      </c>
      <c r="BO88" s="21">
        <f>IF(Tasks[[#This Row],[Task Name]]="","",IF(OR(TakeBaseline="Yes",N(Tasks[[#This Row],[Baseline Duration]])=0),Tasks[[#This Row],[_SpanDays]],Tasks[[#This Row],[Baseline Duration]]))</f>
        <v/>
      </c>
      <c r="BP88" s="84">
        <f>IF(Tasks[[#This Row],[Task Name]]="","",IF(OR(TakeBaseline="Yes",N(Tasks[[#This Row],[Baseline Work]])=0),Tasks[[#This Row],[Work]],Tasks[[#This Row],[Baseline Work]]))</f>
        <v/>
      </c>
      <c r="BQ88" s="7" t="n"/>
      <c r="BR88" s="7" t="n"/>
      <c r="BS88" s="22" t="n"/>
      <c r="BT88" s="86" t="n"/>
      <c r="BU88" s="23" t="n"/>
      <c r="BV88" s="23" t="n"/>
      <c r="BW88" s="23" t="n"/>
      <c r="BX88" s="87">
        <f>IF(AND(Tasks[[#This Row],[_IsLeaf]]=1,ISNUMBER(Tasks[[#This Row],[Optimistic]]),ISNUMBER(Tasks[[#This Row],[Pessimistic]])),ROUND((Tasks[[#This Row],[Optimistic]]+4*N(Tasks[[#This Row],[_Days]])+Tasks[[#This Row],[Pessimistic]])/6,1),"")</f>
        <v/>
      </c>
      <c r="BY88" s="85" t="n"/>
      <c r="BZ88" s="85" t="n"/>
      <c r="CA88" s="22" t="n"/>
      <c r="CB88" s="42">
        <f>IF(Tasks[[#This Row],[Task Name]]="","",MAX(1,N(Tasks[[#This Row],[Level]])))</f>
        <v/>
      </c>
      <c r="CC88" s="42">
        <f>ROW()-ROW(Tasks[[#Headers],[ID]])</f>
        <v/>
      </c>
      <c r="CD88" s="42">
        <f>IF(OR(Tasks[[#This Row],[Task Name]]="",Tasks[[#This Row],[_Level]]&lt;=1),0,IFERROR(LOOKUP(2,1/(Tasks[[#Headers],[_Level]]:Tasks[[#This Row],[_Level]]=Tasks[[#This Row],[_Level]]-1),ROW(Tasks[[#Headers],[_Level]]:Tasks[[#This Row],[_Level]])),0))</f>
        <v/>
      </c>
      <c r="CE88" s="42">
        <f>IFERROR(N(INDEX(Tasks[_Level],Tasks[[#This Row],[_Row]]+1)),0)</f>
        <v/>
      </c>
      <c r="CF88" s="42">
        <f>AND(Tasks[[#This Row],[Task Name]]&lt;&gt;"",Tasks[[#This Row],[_NextLevel]]&gt;Tasks[[#This Row],[_Level]])</f>
        <v/>
      </c>
      <c r="CG88" s="42">
        <f>IF(Tasks[[#This Row],[_IsSummary]],COUNTIF(Tasks[WBS],Tasks[[#This Row],[WBS]]&amp;".*"),0)</f>
        <v/>
      </c>
      <c r="CH88" s="42">
        <f>IF(AND(Tasks[[#This Row],[Task Name]]&lt;&gt;"",NOT(Tasks[[#This Row],[_IsSummary]])),1,0)</f>
        <v/>
      </c>
      <c r="CI88" s="42">
        <f>IF(N(Tasks[[#This Row],[_Pred1UID]])=0,0,IFERROR(MATCH(Tasks[[#This Row],[_Pred1UID]],Tasks[UID],0),-1))</f>
        <v/>
      </c>
      <c r="CJ88" s="42">
        <f>IF(N(Tasks[[#This Row],[_Pred2UID]])=0,0,IFERROR(MATCH(Tasks[[#This Row],[_Pred2UID]],Tasks[UID],0),-1))</f>
        <v/>
      </c>
      <c r="CK88" s="42">
        <f>IF(N(Tasks[[#This Row],[_Pred3UID]])=0,0,IFERROR(MATCH(Tasks[[#This Row],[_Pred3UID]],Tasks[UID],0),-1))</f>
        <v/>
      </c>
      <c r="CL88" s="42">
        <f>IF(N(Tasks[[#This Row],[_Pred4UID]])=0,0,IFERROR(MATCH(Tasks[[#This Row],[_Pred4UID]],Tasks[UID],0),-1))</f>
        <v/>
      </c>
      <c r="CM8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8" s="88">
        <f>IF(N(Tasks[[#This Row],[Constraint Date]])=0,0,IF(AND(OR(Tasks[[#This Row],[_ConstraintCode]]=3,Tasks[[#This Row],[_ConstraintCode]]=6,Tasks[[#This Row],[_ConstraintCode]]=7),N(Tasks[[#This Row],[_Days]])&gt;1),WORKDAY.INTL(N(Tasks[[#This Row],[Constraint Date]]),-(N(Tasks[[#This Row],[_Days]])-1),WorkWeek,Holidays),N(Tasks[[#This Row],[Constraint Date]])))</f>
        <v/>
      </c>
      <c r="CO88" s="88">
        <f>IF(OR(Tasks[[#This Row],[_ConstraintCode]]=2,Tasks[[#This Row],[_ConstraintCode]]=3,Tasks[[#This Row],[_ConstraintCode]]=4,Tasks[[#This Row],[_ConstraintCode]]=6),Tasks[[#This Row],[_ConstraintStart]],0)</f>
        <v/>
      </c>
      <c r="CP88" s="88">
        <f>IF(OR(Tasks[[#This Row],[_ConstraintCode]]=2,Tasks[[#This Row],[_ConstraintCode]]=3,Tasks[[#This Row],[_ConstraintCode]]=5,Tasks[[#This Row],[_ConstraintCode]]=7),Tasks[[#This Row],[_ConstraintStart]],2958465)</f>
        <v/>
      </c>
      <c r="CQ8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8" s="88">
        <f>IF(NOT(Tasks[[#This Row],[_IsLeaf]]=1),"",IF(N(Tasks[[#This Row],[_Days]])&lt;=0,Tasks[[#This Row],[_LeafCalcStart]],WORKDAY.INTL(Tasks[[#This Row],[_LeafCalcStart]],Tasks[[#This Row],[_Days]]-1,WorkWeek,Holidays)))</f>
        <v/>
      </c>
      <c r="CS8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8" s="42">
        <f>IF(Tasks[[#This Row],[_Predecessors]]="","",TRIM(MID(SUBSTITUTE(SUBSTITUTE(SUBSTITUTE(UPPER(Tasks[[#This Row],[_Predecessors]]),";",",")," ",""),",",REPT(" ",99)),1,99)))</f>
        <v/>
      </c>
      <c r="CV88" s="42">
        <f>IF(Tasks[[#This Row],[_Pred1Text]]="","",IFERROR(VALUE(LEFT(Tasks[[#This Row],[_Pred1Text]],MIN(FIND("F",Tasks[[#This Row],[_Pred1Text]]&amp;"F"),FIND("S",Tasks[[#This Row],[_Pred1Text]]&amp;"S"),FIND("+",Tasks[[#This Row],[_Pred1Text]]&amp;"+"),FIND("-",Tasks[[#This Row],[_Pred1Text]]&amp;"-"))-1)),""))</f>
        <v/>
      </c>
      <c r="CW8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8" s="42">
        <f>IF(Tasks[[#This Row],[_Pred1Text]]="","",TRIM(MID(SUBSTITUTE(SUBSTITUTE(SUBSTITUTE(UPPER(Tasks[[#This Row],[_Predecessors]]),";",",")," ",""),",",REPT(" ",99)),100,99)))</f>
        <v/>
      </c>
      <c r="CZ88" s="42">
        <f>IF(Tasks[[#This Row],[_Pred2Text]]="","",IFERROR(VALUE(LEFT(Tasks[[#This Row],[_Pred2Text]],MIN(FIND("F",Tasks[[#This Row],[_Pred2Text]]&amp;"F"),FIND("S",Tasks[[#This Row],[_Pred2Text]]&amp;"S"),FIND("+",Tasks[[#This Row],[_Pred2Text]]&amp;"+"),FIND("-",Tasks[[#This Row],[_Pred2Text]]&amp;"-"))-1)),""))</f>
        <v/>
      </c>
      <c r="DA8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8" s="42">
        <f>IF(Tasks[[#This Row],[_Pred2Text]]="","",TRIM(MID(SUBSTITUTE(SUBSTITUTE(SUBSTITUTE(UPPER(Tasks[[#This Row],[_Predecessors]]),";",",")," ",""),",",REPT(" ",99)),199,99)))</f>
        <v/>
      </c>
      <c r="DD88" s="42">
        <f>IF(Tasks[[#This Row],[_Pred3Text]]="","",IFERROR(VALUE(LEFT(Tasks[[#This Row],[_Pred3Text]],MIN(FIND("F",Tasks[[#This Row],[_Pred3Text]]&amp;"F"),FIND("S",Tasks[[#This Row],[_Pred3Text]]&amp;"S"),FIND("+",Tasks[[#This Row],[_Pred3Text]]&amp;"+"),FIND("-",Tasks[[#This Row],[_Pred3Text]]&amp;"-"))-1)),""))</f>
        <v/>
      </c>
      <c r="DE8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8" s="42">
        <f>IF(Tasks[[#This Row],[_Pred3Text]]="","",TRIM(MID(SUBSTITUTE(SUBSTITUTE(SUBSTITUTE(UPPER(Tasks[[#This Row],[_Predecessors]]),";",",")," ",""),",",REPT(" ",99)),298,99)))</f>
        <v/>
      </c>
      <c r="DH88" s="42">
        <f>IF(Tasks[[#This Row],[_Pred4Text]]="","",IFERROR(VALUE(LEFT(Tasks[[#This Row],[_Pred4Text]],MIN(FIND("F",Tasks[[#This Row],[_Pred4Text]]&amp;"F"),FIND("S",Tasks[[#This Row],[_Pred4Text]]&amp;"S"),FIND("+",Tasks[[#This Row],[_Pred4Text]]&amp;"+"),FIND("-",Tasks[[#This Row],[_Pred4Text]]&amp;"-"))-1)),""))</f>
        <v/>
      </c>
      <c r="DI8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8" s="42">
        <f>IF(OR(Tasks[[#This Row],[Task Name]]="",Tasks[[#This Row],[_Resources]]=""),"",TRIM(MID(SUBSTITUTE(Tasks[[#This Row],[_Resources]],",",REPT(" ",99)),1,99)))</f>
        <v/>
      </c>
      <c r="DL88" s="42">
        <f>IF(Tasks[[#This Row],[_Res1Text]]="","",TRIM(MID(SUBSTITUTE(Tasks[[#This Row],[_Resources]],",",REPT(" ",99)),100,99)))</f>
        <v/>
      </c>
      <c r="DM88" s="42">
        <f>IF(Tasks[[#This Row],[_Res2Text]]="","",TRIM(MID(SUBSTITUTE(Tasks[[#This Row],[_Resources]],",",REPT(" ",99)),199,99)))</f>
        <v/>
      </c>
      <c r="DN88" s="42">
        <f>IF(Tasks[[#This Row],[_Res3Text]]="","",TRIM(MID(SUBSTITUTE(Tasks[[#This Row],[_Resources]],",",REPT(" ",99)),298,99)))</f>
        <v/>
      </c>
      <c r="DO88" s="42">
        <f>IF(Tasks[[#This Row],[_Res1Text]]="",0,IFERROR(MATCH(TRIM(LEFT(Tasks[[#This Row],[_Res1Text]],FIND("[",Tasks[[#This Row],[_Res1Text]]&amp;"[")-1)),res_Name,0),IFERROR(MATCH(TRIM(LEFT(Tasks[[#This Row],[_Res1Text]],FIND("[",Tasks[[#This Row],[_Res1Text]]&amp;"[")-1)),res_Initials,0),0)))</f>
        <v/>
      </c>
      <c r="DP88" s="42">
        <f>IF(Tasks[[#This Row],[_Res2Text]]="",0,IFERROR(MATCH(TRIM(LEFT(Tasks[[#This Row],[_Res2Text]],FIND("[",Tasks[[#This Row],[_Res2Text]]&amp;"[")-1)),res_Name,0),IFERROR(MATCH(TRIM(LEFT(Tasks[[#This Row],[_Res2Text]],FIND("[",Tasks[[#This Row],[_Res2Text]]&amp;"[")-1)),res_Initials,0),0)))</f>
        <v/>
      </c>
      <c r="DQ88" s="42">
        <f>IF(Tasks[[#This Row],[_Res3Text]]="",0,IFERROR(MATCH(TRIM(LEFT(Tasks[[#This Row],[_Res3Text]],FIND("[",Tasks[[#This Row],[_Res3Text]]&amp;"[")-1)),res_Name,0),IFERROR(MATCH(TRIM(LEFT(Tasks[[#This Row],[_Res3Text]],FIND("[",Tasks[[#This Row],[_Res3Text]]&amp;"[")-1)),res_Initials,0),0)))</f>
        <v/>
      </c>
      <c r="DR88" s="42">
        <f>IF(Tasks[[#This Row],[_Res4Text]]="",0,IFERROR(MATCH(TRIM(LEFT(Tasks[[#This Row],[_Res4Text]],FIND("[",Tasks[[#This Row],[_Res4Text]]&amp;"[")-1)),res_Name,0),IFERROR(MATCH(TRIM(LEFT(Tasks[[#This Row],[_Res4Text]],FIND("[",Tasks[[#This Row],[_Res4Text]]&amp;"[")-1)),res_Initials,0),0)))</f>
        <v/>
      </c>
      <c r="DS88" s="42">
        <f>IF(Tasks[[#This Row],[_Res1Text]]="","",IF(Tasks[[#This Row],[_Res1Row]]&gt;0,INDEX(res_Name,Tasks[[#This Row],[_Res1Row]]),TRIM(LEFT(Tasks[[#This Row],[_Res1Text]],FIND("[",Tasks[[#This Row],[_Res1Text]]&amp;"[")-1))))</f>
        <v/>
      </c>
      <c r="DT8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8" s="42">
        <f>IF(NOT(Tasks[[#This Row],[_IsLeaf]]=1),0,(Tasks[[#This Row],[_Resource1]]&lt;&gt;"")+(Tasks[[#This Row],[_Res2]]&lt;&gt;"")+(Tasks[[#This Row],[_Res3]]&lt;&gt;"")+(Tasks[[#This Row],[_Res4]]&lt;&gt;""))</f>
        <v/>
      </c>
      <c r="DV88" s="42">
        <f>IF(Tasks[[#This Row],[_Res2Text]]="","",IF(Tasks[[#This Row],[_Res2Row]]&gt;0,INDEX(res_Name,Tasks[[#This Row],[_Res2Row]]),TRIM(LEFT(Tasks[[#This Row],[_Res2Text]],FIND("[",Tasks[[#This Row],[_Res2Text]]&amp;"[")-1))))</f>
        <v/>
      </c>
      <c r="DW8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8" s="42">
        <f>IF(OR(NOT(Tasks[[#This Row],[_IsLeaf]]=1),Tasks[[#This Row],[_Res2Row]]=0),0,N(Tasks[[#This Row],[_Days]])*HoursPerDay*IF(Tasks[[#This Row],[_Res2Units]]="",DefaultUnits,Tasks[[#This Row],[_Res2Units]]))</f>
        <v/>
      </c>
      <c r="DY88" s="42">
        <f>IF(AND(AND(Tasks[[#This Row],[_IsLeaf]]=1,Tasks[[#This Row],[_LeafTotalWork]]&gt;0),Tasks[[#This Row],[_Res2Work]]&gt;0),Tasks[[#This Row],[_Res2Work]]/(Tasks[[#This Row],[_FinishWorkday]]-Tasks[[#This Row],[_StartWorkday]]+1),0)</f>
        <v/>
      </c>
      <c r="DZ88" s="42">
        <f>Tasks[[#This Row],[_Res2WorkPerWD]]*MAX(0,Tasks[[#This Row],[_StartWorkday]]-1)</f>
        <v/>
      </c>
      <c r="EA88" s="42">
        <f>Tasks[[#This Row],[_Res2Work]]*Tasks[[#This Row],[_LeafProgress]]</f>
        <v/>
      </c>
      <c r="EB88" s="42">
        <f>IF(Tasks[[#This Row],[_Res3Text]]="","",IF(Tasks[[#This Row],[_Res3Row]]&gt;0,INDEX(res_Name,Tasks[[#This Row],[_Res3Row]]),TRIM(LEFT(Tasks[[#This Row],[_Res3Text]],FIND("[",Tasks[[#This Row],[_Res3Text]]&amp;"[")-1))))</f>
        <v/>
      </c>
      <c r="EC8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8" s="42">
        <f>IF(OR(NOT(Tasks[[#This Row],[_IsLeaf]]=1),Tasks[[#This Row],[_Res3Row]]=0),0,N(Tasks[[#This Row],[_Days]])*HoursPerDay*IF(Tasks[[#This Row],[_Res3Units]]="",DefaultUnits,Tasks[[#This Row],[_Res3Units]]))</f>
        <v/>
      </c>
      <c r="EE88" s="42">
        <f>IF(AND(AND(Tasks[[#This Row],[_IsLeaf]]=1,Tasks[[#This Row],[_LeafTotalWork]]&gt;0),Tasks[[#This Row],[_Res3Work]]&gt;0),Tasks[[#This Row],[_Res3Work]]/(Tasks[[#This Row],[_FinishWorkday]]-Tasks[[#This Row],[_StartWorkday]]+1),0)</f>
        <v/>
      </c>
      <c r="EF88" s="42">
        <f>Tasks[[#This Row],[_Res3WorkPerWD]]*MAX(0,Tasks[[#This Row],[_StartWorkday]]-1)</f>
        <v/>
      </c>
      <c r="EG88" s="42">
        <f>Tasks[[#This Row],[_Res3Work]]*Tasks[[#This Row],[_LeafProgress]]</f>
        <v/>
      </c>
      <c r="EH88" s="42">
        <f>IF(Tasks[[#This Row],[_Res4Text]]="","",IF(Tasks[[#This Row],[_Res4Row]]&gt;0,INDEX(res_Name,Tasks[[#This Row],[_Res4Row]]),TRIM(LEFT(Tasks[[#This Row],[_Res4Text]],FIND("[",Tasks[[#This Row],[_Res4Text]]&amp;"[")-1))))</f>
        <v/>
      </c>
      <c r="EI8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8" s="42">
        <f>IF(OR(NOT(Tasks[[#This Row],[_IsLeaf]]=1),Tasks[[#This Row],[_Res4Row]]=0),0,N(Tasks[[#This Row],[_Days]])*HoursPerDay*IF(Tasks[[#This Row],[_Res4Units]]="",DefaultUnits,Tasks[[#This Row],[_Res4Units]]))</f>
        <v/>
      </c>
      <c r="EK88" s="42">
        <f>IF(AND(AND(Tasks[[#This Row],[_IsLeaf]]=1,Tasks[[#This Row],[_LeafTotalWork]]&gt;0),Tasks[[#This Row],[_Res4Work]]&gt;0),Tasks[[#This Row],[_Res4Work]]/(Tasks[[#This Row],[_FinishWorkday]]-Tasks[[#This Row],[_StartWorkday]]+1),0)</f>
        <v/>
      </c>
      <c r="EL88" s="42">
        <f>Tasks[[#This Row],[_Res4WorkPerWD]]*MAX(0,Tasks[[#This Row],[_StartWorkday]]-1)</f>
        <v/>
      </c>
      <c r="EM88" s="42">
        <f>Tasks[[#This Row],[_Res4Work]]*Tasks[[#This Row],[_LeafProgress]]</f>
        <v/>
      </c>
      <c r="EN88" s="42">
        <f>IF(ISNUMBER(Tasks[[#This Row],[% Complete]]),Tasks[[#This Row],[% Complete]],IF(Tasks[[#This Row],[Stage]]="",0,IFERROR(INDEX(stg_Pct,MATCH(Tasks[[#This Row],[Stage]],stg_Name,0)),0)))</f>
        <v/>
      </c>
      <c r="EO88" s="42">
        <f>IF(NOT(Tasks[[#This Row],[_IsLeaf]]=1),0,IF(N(Tasks[[#This Row],[Actual Finish]])&gt;0,1,MIN(1,Tasks[[#This Row],[_Pct]])))</f>
        <v/>
      </c>
      <c r="EP88" s="42">
        <f>IF(OR(NOT(Tasks[[#This Row],[_IsLeaf]]=1),Tasks[[#This Row],[_Res1Row]]=0),0,N(Tasks[[#This Row],[_Days]])*HoursPerDay*IF(Tasks[[#This Row],[_Units1]]="",DefaultUnits,Tasks[[#This Row],[_Units1]]))</f>
        <v/>
      </c>
      <c r="EQ88" s="42">
        <f>Tasks[[#This Row],[_LeafWork]]+Tasks[[#This Row],[_Res2Work]]+Tasks[[#This Row],[_Res3Work]]+Tasks[[#This Row],[_Res4Work]]</f>
        <v/>
      </c>
      <c r="ER8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8" s="42">
        <f>IF(NOT(Tasks[[#This Row],[_IsLeaf]]=1),0,MAX(_xlfn.MAXIFS(Tasks[_Row],Tasks[_Pred1UID],Tasks[[#This Row],[UID]]),_xlfn.MAXIFS(Tasks[_Row],Tasks[_Pred2UID],Tasks[[#This Row],[UID]]),_xlfn.MAXIFS(Tasks[_Row],Tasks[_Pred3UID],Tasks[[#This Row],[UID]]),_xlfn.MAXIFS(Tasks[_Row],Tasks[_Pred4UID],Tasks[[#This Row],[UID]])))</f>
        <v/>
      </c>
      <c r="FA8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8" s="88">
        <f>IF(NOT(Tasks[[#This Row],[_IsLeaf]]=1),"",IF(N(Tasks[[#This Row],[_Days]])&lt;=0,Tasks[[#This Row],[_LeafLateFinish]],WORKDAY.INTL(Tasks[[#This Row],[_LeafLateFinish]],-(Tasks[[#This Row],[_Days]]-1),WorkWeek,Holidays)))</f>
        <v/>
      </c>
      <c r="FD8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8" s="42">
        <f>AND(Tasks[[#This Row],[_IsLeaf]]=1,Tasks[[#This Row],[_LeafProgress]]&lt;1,N(Tasks[[#This Row],[_LeafTotalSlack]])&lt;=CriticalSlackDays)</f>
        <v/>
      </c>
      <c r="FF88" s="42">
        <f>IF(AND(Tasks[[#This Row],[_IsLeaf]]=1,Tasks[[#This Row],[_ConstraintCode]]=1,Tasks[[#This Row],[Mode]]&lt;&gt;"Manual",N(Tasks[[#This Row],[Actual Start]])=0),MAX(0,N(Tasks[[#This Row],[Free Slack]])),0)</f>
        <v/>
      </c>
      <c r="FG88" s="88">
        <f>IF(NOT(Tasks[[#This Row],[_IsLeaf]]=1),"",IF(Tasks[[#This Row],[_AlapShift]]=0,Tasks[[#This Row],[_LeafCalcStart]],WORKDAY.INTL(Tasks[[#This Row],[_LeafCalcStart]],Tasks[[#This Row],[_AlapShift]],WorkWeek,Holidays)))</f>
        <v/>
      </c>
      <c r="FH88" s="88">
        <f>IF(NOT(Tasks[[#This Row],[_IsLeaf]]=1),"",IF(Tasks[[#This Row],[_AlapShift]]=0,Tasks[[#This Row],[_LeafCalcFinish]],WORKDAY.INTL(Tasks[[#This Row],[_LeafCalcFinish]],Tasks[[#This Row],[_AlapShift]],WorkWeek,Holidays)))</f>
        <v/>
      </c>
      <c r="FI88" s="88">
        <f>IF(NOT(Tasks[[#This Row],[_IsLeaf]]=1),"",IF(Tasks[[#This Row],[_AlapShift]]=0,Tasks[[#This Row],[_LeafFcstStart]],WORKDAY.INTL(Tasks[[#This Row],[_LeafFcstStart]],Tasks[[#This Row],[_AlapShift]],WorkWeek,Holidays)))</f>
        <v/>
      </c>
      <c r="FJ88" s="88">
        <f>IF(NOT(Tasks[[#This Row],[_IsLeaf]]=1),"",IF(Tasks[[#This Row],[_AlapShift]]=0,Tasks[[#This Row],[_LeafFcstFinish]],WORKDAY.INTL(Tasks[[#This Row],[_LeafFcstFinish]],Tasks[[#This Row],[_AlapShift]],WorkWeek,Holidays)))</f>
        <v/>
      </c>
      <c r="FK88" s="88">
        <f>IF(Tasks[[#This Row],[Task Name]]="","",IF(Tasks[[#This Row],[_IsSummary]],MIN(INDEX(Tasks[_ShownCalcStart],Tasks[[#This Row],[_Row]]+1):INDEX(Tasks[_ShownCalcStart],Tasks[[#This Row],[_Row]]+Tasks[[#This Row],[_Descendants]])),Tasks[[#This Row],[_ShownCalcStart]]))</f>
        <v/>
      </c>
      <c r="FL88" s="88">
        <f>IF(Tasks[[#This Row],[Task Name]]="","",IF(Tasks[[#This Row],[_IsSummary]],MAX(INDEX(Tasks[_ShownCalcFinish],Tasks[[#This Row],[_Row]]+1):INDEX(Tasks[_ShownCalcFinish],Tasks[[#This Row],[_Row]]+Tasks[[#This Row],[_Descendants]])),Tasks[[#This Row],[_ShownCalcFinish]]))</f>
        <v/>
      </c>
      <c r="FM8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8" s="42">
        <f>IF(AND(Tasks[[#This Row],[_IsLeaf]]=1,Tasks[[#This Row],[_LeafTotalWork]]&gt;0),NETWORKDAYS.INTL(ProjectStart,Tasks[[#This Row],[_ShownFcstStart]],WorkWeek,Holidays),0)</f>
        <v/>
      </c>
      <c r="FZ88" s="42">
        <f>IF(AND(Tasks[[#This Row],[_IsLeaf]]=1,Tasks[[#This Row],[_LeafTotalWork]]&gt;0),MAX(Tasks[[#This Row],[_StartWorkday]],NETWORKDAYS.INTL(ProjectStart,Tasks[[#This Row],[_ShownFcstFinish]],WorkWeek,Holidays)),0)</f>
        <v/>
      </c>
      <c r="GA88" s="42">
        <f>IF(AND(Tasks[[#This Row],[_IsLeaf]]=1,Tasks[[#This Row],[_LeafTotalWork]]&gt;0),Tasks[[#This Row],[_LeafWork]]/(Tasks[[#This Row],[_FinishWorkday]]-Tasks[[#This Row],[_StartWorkday]]+1),0)</f>
        <v/>
      </c>
      <c r="GB88" s="42">
        <f>Tasks[[#This Row],[_WorkPerWorkday]]*(Tasks[[#This Row],[_StartWorkday]]-1)</f>
        <v/>
      </c>
      <c r="GC88" s="42">
        <f>IF(Tasks[[#This Row],[_IsLeaf]]=1,MAX(N(Tasks[[#This Row],[_Days]]),0.1),0)</f>
        <v/>
      </c>
      <c r="GD88" s="42">
        <f>Tasks[[#This Row],[_WeightDur]]*Tasks[[#This Row],[_LeafProgress]]</f>
        <v/>
      </c>
      <c r="GE88" s="42">
        <f>Tasks[[#This Row],[_WeightDur]]*Tasks[[#This Row],[_PlannedPct]]</f>
        <v/>
      </c>
      <c r="GF8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8" s="42">
        <f>IF(AND(Tasks[[#This Row],[_IsLeaf]]=1,N(Tasks[[#This Row],[_Days]])=0,Tasks[[#This Row],[_LeafProgress]]&lt;1),Tasks[[#This Row],[_ShownFcstFinish]]+Tasks[[#This Row],[_Row]]/100000,"")</f>
        <v/>
      </c>
      <c r="GH8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8" s="42">
        <f>IF(Tasks[[#This Row],[Task Name]]="","",LEFT(Tasks[[#This Row],[WBS]],FIND(".",Tasks[[#This Row],[WBS]]&amp;".")-1))</f>
        <v/>
      </c>
      <c r="GJ88" s="42">
        <f>IF(AND(Tasks[[#This Row],[Task Name]]&lt;&gt;"",Tasks[[#This Row],[_Level]]=1),Tasks[[#This Row],[_Row]],"")</f>
        <v/>
      </c>
      <c r="GK88" s="42">
        <f>IF(AND(Tasks[[#This Row],[_IsLeaf]]=1,N(Tasks[[#This Row],[_Days]])=0),Tasks[[#This Row],[Planned Finish]]+Tasks[[#This Row],[_Row]]/100000,"")</f>
        <v/>
      </c>
      <c r="GL88" s="42">
        <f>IF(AND(Tasks[[#This Row],[_IsLeaf]]=1,Tasks[[#This Row],[_LeafProgress]]&lt;1,OR(N(Tasks[[#This Row],[Finish Var]])&gt;0,Tasks[[#This Row],[Status]]="Late Start")),MAX(0,Tasks[[#This Row],[Finish Var]])+1-Tasks[[#This Row],[_Row]]/1000000,"")</f>
        <v/>
      </c>
      <c r="GM88" s="42">
        <f>IF(AND(Tasks[[#This Row],[_IsLeaf]]=1,N(Tasks[[#This Row],[Actual Start]])=0,Tasks[[#This Row],[_ShownFcstStart]]&gt;=StatusDate,Tasks[[#This Row],[_ShownFcstStart]]&lt;=LookaheadEnd),Tasks[[#This Row],[_ShownFcstStart]]+Tasks[[#This Row],[_Row]]/100000,"")</f>
        <v/>
      </c>
      <c r="GN88" s="42">
        <f>IF(AND(Tasks[[#This Row],[_IsLeaf]]=1,Tasks[[#This Row],[_LeafProgress]]&lt;1,Tasks[[#This Row],[_ShownFcstFinish]]&gt;=StatusDate,Tasks[[#This Row],[_ShownFcstFinish]]&lt;=LookaheadEnd),Tasks[[#This Row],[_ShownFcstFinish]]+Tasks[[#This Row],[_Row]]/100000,"")</f>
        <v/>
      </c>
      <c r="GO88" s="42">
        <f>IF(Tasks[[#This Row],[_LeafCritical]],Tasks[[#This Row],[_ShownFcstStart]]+Tasks[[#This Row],[_Row]]/100000,"")</f>
        <v/>
      </c>
      <c r="GP88" s="42">
        <f>Tasks[[#This Row],[_LeafWork]]*Tasks[[#This Row],[_LeafProgress]]</f>
        <v/>
      </c>
      <c r="GQ88" s="88">
        <f>IF(AND(Tasks[[#This Row],[_IsLeaf]]=1,Tasks[[#This Row],[_LeafProgress]]&gt;=1),IF(N(Tasks[[#This Row],[Actual Finish]])&gt;0,Tasks[[#This Row],[Actual Finish]],Tasks[[#This Row],[_ShownFcstFinish]]),"")</f>
        <v/>
      </c>
      <c r="GR88" s="42">
        <f>IF(Tasks[[#This Row],[_IsLeaf]]=1,N(Tasks[[#This Row],[Story Points]]),0)</f>
        <v/>
      </c>
      <c r="GS88" s="42">
        <f>""</f>
        <v/>
      </c>
      <c r="GT88" s="42">
        <f>IF(Tasks[[#This Row],[Task Name]]="",FALSE(),AND(Tasks[[#This Row],[_IsLeaf]]=1,N(Tasks[[#This Row],[_Days]])=0))</f>
        <v/>
      </c>
      <c r="GU88" s="88">
        <f>IF(Tasks[[#This Row],[Task Name]]="",0,IF(AND(Tasks[[#This Row],[_IsLeaf]]=1,NOT(Tasks[[#This Row],[_IsMilestone]]),N(Tasks[[#This Row],[Progress]])&gt;0),Tasks[[#This Row],[Start]],0))</f>
        <v/>
      </c>
      <c r="GV88" s="88">
        <f>IF(Tasks[[#This Row],[_DoneFrom]]=0,0,IF(Tasks[[#This Row],[Progress]]&gt;=1,Tasks[[#This Row],[Finish]],MAX(Tasks[[#This Row],[_DoneFrom]],Tasks[[#This Row],[Start]]+ROUND((Tasks[[#This Row],[Finish]]-Tasks[[#This Row],[Start]]+1)*Tasks[[#This Row],[Progress]],0)-1)))</f>
        <v/>
      </c>
      <c r="GW88" s="88">
        <f>IF(Tasks[[#This Row],[Task Name]]="",0,IF(OR(NOT(Tasks[[#This Row],[_IsLeaf]]=1),Tasks[[#This Row],[_IsMilestone]],N(Tasks[[#This Row],[Progress]])&gt;=1),0,IF(Tasks[[#This Row],[_DoneTo]]&gt;0,Tasks[[#This Row],[_DoneTo]]+1,Tasks[[#This Row],[Start]])))</f>
        <v/>
      </c>
      <c r="GX88" s="88">
        <f>IF(Tasks[[#This Row],[_RemFrom]]=0,0,Tasks[[#This Row],[Finish]])</f>
        <v/>
      </c>
      <c r="GY88" s="42">
        <f>IF(Tasks[[#This Row],[Task Name]]="",FALSE(),OR(NOT(BaselineSet),N(Tasks[[#This Row],[Baseline Start]])&gt;0))</f>
        <v/>
      </c>
      <c r="GZ88" s="42">
        <f>IF(AND(Sandbox="Yes",L_PARSE_DURATION(Tasks[[#This Row],[Sandbox Duration]])&lt;&gt;""),L_PARSE_DURATION(Tasks[[#This Row],[Sandbox Duration]]),L_PARSE_DURATION(Tasks[[#This Row],[Duration]]))</f>
        <v/>
      </c>
      <c r="HA8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8" s="42">
        <f>IF(Tasks[[#This Row],[_IsLeaf]]=1,Tasks[[#This Row],[_Row]],"")</f>
        <v/>
      </c>
      <c r="HD88" s="42">
        <f>IFERROR(INDEX(Tasks[UID],SMALL(Tasks[_PickKey],Tasks[[#This Row],[_Row]]))&amp;" "&amp;INDEX(Tasks[Task Name],SMALL(Tasks[_PickKey],Tasks[[#This Row],[_Row]])),"")</f>
        <v/>
      </c>
      <c r="HE88" s="42">
        <f>IF(Tasks[[#This Row],[Task Name]]="","",IF(Tasks[[#This Row],[_IsSummary]],NETWORKDAYS.INTL(Tasks[[#This Row],[Start]],Tasks[[#This Row],[Finish]],WorkWeek,Holidays),N(Tasks[[#This Row],[_Days]])))</f>
        <v/>
      </c>
      <c r="HF88" s="42">
        <f>IF(Tasks[[#This Row],[Expected]]="",0,((Tasks[[#This Row],[Pessimistic]]-Tasks[[#This Row],[Optimistic]])/6)^2)</f>
        <v/>
      </c>
      <c r="HG88" s="42">
        <f>IF(Tasks[[#This Row],[Expected]]="",0,Tasks[[#This Row],[Expected]]-N(Tasks[[#This Row],[_Days]]))</f>
        <v/>
      </c>
    </row>
    <row r="89">
      <c r="A89" s="21">
        <f>IF(Tasks[[#This Row],[Task Name]]="","",COUNTA(Tasks[[#Headers],[Task Name]]:Tasks[[#This Row],[Task Name]])-1)</f>
        <v/>
      </c>
      <c r="B89" s="22" t="n">
        <v>97</v>
      </c>
      <c r="C89" s="22" t="n"/>
      <c r="D89" s="23" t="n"/>
      <c r="E89" s="22" t="n"/>
      <c r="F89" s="23" t="n"/>
      <c r="G89" s="22" t="n"/>
      <c r="H89" s="22" t="n"/>
      <c r="I89" s="23" t="n"/>
      <c r="J89" s="22" t="n"/>
      <c r="K89" s="22" t="n"/>
      <c r="L89" s="23" t="n"/>
      <c r="M89" s="22" t="n"/>
      <c r="N89" s="22" t="n"/>
      <c r="O89" s="23" t="n"/>
      <c r="P89" s="22" t="n"/>
      <c r="Q89" s="22" t="n"/>
      <c r="R89" s="23" t="n"/>
      <c r="S89" s="23" t="n"/>
      <c r="T89" s="82" t="n"/>
      <c r="U89" s="23" t="n"/>
      <c r="V89" s="82" t="n"/>
      <c r="W89" s="23" t="n"/>
      <c r="X89" s="82" t="n"/>
      <c r="Y89" s="23" t="n"/>
      <c r="Z89" s="82" t="n"/>
      <c r="AA89" s="23" t="n"/>
      <c r="AB89" s="23" t="n"/>
      <c r="AC89" s="7" t="n"/>
      <c r="AD89" s="7" t="n"/>
      <c r="AE89" s="61">
        <f>IF(Tasks[[#This Row],[Task Name]]="","",IF(Tasks[[#This Row],[_IsSummary]],MIN(INDEX(Tasks[_ShownFcstStart],Tasks[[#This Row],[_Row]]+1):INDEX(Tasks[_ShownFcstStart],Tasks[[#This Row],[_Row]]+Tasks[[#This Row],[_Descendants]])),Tasks[[#This Row],[_ShownFcstStart]]))</f>
        <v/>
      </c>
      <c r="AF89" s="61">
        <f>IF(Tasks[[#This Row],[Task Name]]="","",IF(Tasks[[#This Row],[_IsSummary]],MAX(INDEX(Tasks[_ShownFcstFinish],Tasks[[#This Row],[_Row]]+1):INDEX(Tasks[_ShownFcstFinish],Tasks[[#This Row],[_Row]]+Tasks[[#This Row],[_Descendants]])),Tasks[[#This Row],[_ShownFcstFinish]]))</f>
        <v/>
      </c>
      <c r="AG89" s="21">
        <f>""</f>
        <v/>
      </c>
      <c r="AH89" s="23" t="n"/>
      <c r="AI8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89" s="7" t="n"/>
      <c r="AK89" s="22" t="n"/>
      <c r="AL89" s="23" t="n"/>
      <c r="AM89" s="7" t="n"/>
      <c r="AN89" s="21">
        <f>IF(Tasks[[#This Row],[Task Name]]="","",IF(Tasks[[#This Row],[Finish]]&gt;=Tasks[[#This Row],[Planned Finish]],NETWORKDAYS.INTL(Tasks[[#This Row],[Planned Finish]],Tasks[[#This Row],[Finish]],WorkWeek,Holidays)-1,1-NETWORKDAYS.INTL(Tasks[[#This Row],[Finish]],Tasks[[#This Row],[Planned Finish]],WorkWeek,Holidays)))</f>
        <v/>
      </c>
      <c r="AO89" s="21">
        <f>IF(Tasks[[#This Row],[Task Name]]="","",IF(Tasks[[#This Row],[Progress]]&gt;=1,"Complete",IF(OR(N(Tasks[[#This Row],[Actual Start]])&gt;0,Tasks[[#This Row],[Progress]]&gt;0),IF(Tasks[[#This Row],[Finish Var]]&gt;0,"Behind","In Progress"),IF(Tasks[[#This Row],[Planned Start]]&lt;StatusDate,"Late Start","Not Started"))))</f>
        <v/>
      </c>
      <c r="AP89" s="21">
        <f>IF(Tasks[[#This Row],[Task Name]]="","",IF(IF(Tasks[[#This Row],[_IsSummary]],COUNTIF(INDEX(Tasks[_LeafCritical],Tasks[[#This Row],[_Row]]+1):INDEX(Tasks[_LeafCritical],Tasks[[#This Row],[_Row]]+Tasks[[#This Row],[_Descendants]]),TRUE())&gt;0,Tasks[[#This Row],[_LeafCritical]]),"Yes",""))</f>
        <v/>
      </c>
      <c r="AQ89" s="61">
        <f>IF(Tasks[[#This Row],[Task Name]]="","",IF(N(Tasks[[#This Row],[Baseline Start]])&gt;0,Tasks[[#This Row],[Baseline Start]],Tasks[[#This Row],[_CalcStart]]))</f>
        <v/>
      </c>
      <c r="AR89" s="61">
        <f>IF(Tasks[[#This Row],[Task Name]]="","",IF(N(Tasks[[#This Row],[Baseline Finish]])&gt;0,Tasks[[#This Row],[Baseline Finish]],Tasks[[#This Row],[_CalcFinish]]))</f>
        <v/>
      </c>
      <c r="AS89" s="21">
        <f>IF(Tasks[[#This Row],[Task Name]]="","",IF(Tasks[[#This Row],[Start]]&gt;=Tasks[[#This Row],[Planned Start]],NETWORKDAYS.INTL(Tasks[[#This Row],[Planned Start]],Tasks[[#This Row],[Start]],WorkWeek,Holidays)-1,1-NETWORKDAYS.INTL(Tasks[[#This Row],[Start]],Tasks[[#This Row],[Planned Start]],WorkWeek,Holidays)))</f>
        <v/>
      </c>
      <c r="AT89" s="61">
        <f>IF(Tasks[[#This Row],[Task Name]]="","",IF(Tasks[[#This Row],[_IsSummary]],MIN(INDEX(Tasks[_LeafLateStart],Tasks[[#This Row],[_Row]]+1):INDEX(Tasks[_LeafLateStart],Tasks[[#This Row],[_Row]]+Tasks[[#This Row],[_Descendants]])),Tasks[[#This Row],[_LeafLateStart]]))</f>
        <v/>
      </c>
      <c r="AU89" s="61">
        <f>IF(Tasks[[#This Row],[Task Name]]="","",IF(Tasks[[#This Row],[_IsSummary]],MAX(INDEX(Tasks[_LeafLateFinish],Tasks[[#This Row],[_Row]]+1):INDEX(Tasks[_LeafLateFinish],Tasks[[#This Row],[_Row]]+Tasks[[#This Row],[_Descendants]])),Tasks[[#This Row],[_LeafLateFinish]]))</f>
        <v/>
      </c>
      <c r="AV89" s="21">
        <f>IF(Tasks[[#This Row],[Task Name]]="","",IF(Tasks[[#This Row],[_IsSummary]],MIN(INDEX(Tasks[_LeafTotalSlack],Tasks[[#This Row],[_Row]]+1):INDEX(Tasks[_LeafTotalSlack],Tasks[[#This Row],[_Row]]+Tasks[[#This Row],[_Descendants]])),Tasks[[#This Row],[_LeafTotalSlack]]))</f>
        <v/>
      </c>
      <c r="AW8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3" t="n"/>
      <c r="BA8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f>IF(Tasks[[#This Row],[Task Name]]="","",IF(Tasks[[#This Row],[_Level]]&lt;=OutlineShowLevel,"Yes","No"))</f>
        <v/>
      </c>
      <c r="BE89" s="84">
        <f>IF(Tasks[[#This Row],[Task Name]]="","",IF(Tasks[[#This Row],[_IsSummary]],SUM(INDEX(Tasks[_LeafTotalWork],Tasks[[#This Row],[_Row]]+1):INDEX(Tasks[_LeafTotalWork],Tasks[[#This Row],[_Row]]+Tasks[[#This Row],[_Descendants]])),Tasks[[#This Row],[_LeafTotalWork]]))</f>
        <v/>
      </c>
      <c r="BF89" s="23" t="n"/>
      <c r="BG8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f>""</f>
        <v/>
      </c>
      <c r="BI89" s="85" t="n"/>
      <c r="BJ89" s="22" t="n"/>
      <c r="BK89" s="21">
        <f>IF(OR(Tasks[[#This Row],[Task Name]]="",Tasks[[#This Row],[Baseline Duration]]=""),"",Tasks[[#This Row],[_SpanDays]]-N(Tasks[[#This Row],[Baseline Duration]]))</f>
        <v/>
      </c>
      <c r="BL89" s="84">
        <f>IF(OR(Tasks[[#This Row],[Task Name]]="",Tasks[[#This Row],[Baseline Work]]=""),"",Tasks[[#This Row],[Work]]-N(Tasks[[#This Row],[Baseline Work]]))</f>
        <v/>
      </c>
      <c r="BM89" s="61">
        <f>IF(Tasks[[#This Row],[Task Name]]="","",IF(OR(TakeBaseline="Yes",N(Tasks[[#This Row],[Baseline Start]])=0),Tasks[[#This Row],[Start]],Tasks[[#This Row],[Baseline Start]]))</f>
        <v/>
      </c>
      <c r="BN89" s="61">
        <f>IF(Tasks[[#This Row],[Task Name]]="","",IF(OR(TakeBaseline="Yes",N(Tasks[[#This Row],[Baseline Finish]])=0),Tasks[[#This Row],[Finish]],Tasks[[#This Row],[Baseline Finish]]))</f>
        <v/>
      </c>
      <c r="BO89" s="21">
        <f>IF(Tasks[[#This Row],[Task Name]]="","",IF(OR(TakeBaseline="Yes",N(Tasks[[#This Row],[Baseline Duration]])=0),Tasks[[#This Row],[_SpanDays]],Tasks[[#This Row],[Baseline Duration]]))</f>
        <v/>
      </c>
      <c r="BP89" s="84">
        <f>IF(Tasks[[#This Row],[Task Name]]="","",IF(OR(TakeBaseline="Yes",N(Tasks[[#This Row],[Baseline Work]])=0),Tasks[[#This Row],[Work]],Tasks[[#This Row],[Baseline Work]]))</f>
        <v/>
      </c>
      <c r="BQ89" s="7" t="n"/>
      <c r="BR89" s="7" t="n"/>
      <c r="BS89" s="22" t="n"/>
      <c r="BT89" s="86" t="n"/>
      <c r="BU89" s="23" t="n"/>
      <c r="BV89" s="23" t="n"/>
      <c r="BW89" s="23" t="n"/>
      <c r="BX89" s="87">
        <f>IF(AND(Tasks[[#This Row],[_IsLeaf]]=1,ISNUMBER(Tasks[[#This Row],[Optimistic]]),ISNUMBER(Tasks[[#This Row],[Pessimistic]])),ROUND((Tasks[[#This Row],[Optimistic]]+4*N(Tasks[[#This Row],[_Days]])+Tasks[[#This Row],[Pessimistic]])/6,1),"")</f>
        <v/>
      </c>
      <c r="BY89" s="85" t="n"/>
      <c r="BZ89" s="85" t="n"/>
      <c r="CA89" s="22" t="n"/>
      <c r="CB89" s="42">
        <f>IF(Tasks[[#This Row],[Task Name]]="","",MAX(1,N(Tasks[[#This Row],[Level]])))</f>
        <v/>
      </c>
      <c r="CC89" s="42">
        <f>ROW()-ROW(Tasks[[#Headers],[ID]])</f>
        <v/>
      </c>
      <c r="CD89" s="42">
        <f>IF(OR(Tasks[[#This Row],[Task Name]]="",Tasks[[#This Row],[_Level]]&lt;=1),0,IFERROR(LOOKUP(2,1/(Tasks[[#Headers],[_Level]]:Tasks[[#This Row],[_Level]]=Tasks[[#This Row],[_Level]]-1),ROW(Tasks[[#Headers],[_Level]]:Tasks[[#This Row],[_Level]])),0))</f>
        <v/>
      </c>
      <c r="CE89" s="42">
        <f>IFERROR(N(INDEX(Tasks[_Level],Tasks[[#This Row],[_Row]]+1)),0)</f>
        <v/>
      </c>
      <c r="CF89" s="42">
        <f>AND(Tasks[[#This Row],[Task Name]]&lt;&gt;"",Tasks[[#This Row],[_NextLevel]]&gt;Tasks[[#This Row],[_Level]])</f>
        <v/>
      </c>
      <c r="CG89" s="42">
        <f>IF(Tasks[[#This Row],[_IsSummary]],COUNTIF(Tasks[WBS],Tasks[[#This Row],[WBS]]&amp;".*"),0)</f>
        <v/>
      </c>
      <c r="CH89" s="42">
        <f>IF(AND(Tasks[[#This Row],[Task Name]]&lt;&gt;"",NOT(Tasks[[#This Row],[_IsSummary]])),1,0)</f>
        <v/>
      </c>
      <c r="CI89" s="42">
        <f>IF(N(Tasks[[#This Row],[_Pred1UID]])=0,0,IFERROR(MATCH(Tasks[[#This Row],[_Pred1UID]],Tasks[UID],0),-1))</f>
        <v/>
      </c>
      <c r="CJ89" s="42">
        <f>IF(N(Tasks[[#This Row],[_Pred2UID]])=0,0,IFERROR(MATCH(Tasks[[#This Row],[_Pred2UID]],Tasks[UID],0),-1))</f>
        <v/>
      </c>
      <c r="CK89" s="42">
        <f>IF(N(Tasks[[#This Row],[_Pred3UID]])=0,0,IFERROR(MATCH(Tasks[[#This Row],[_Pred3UID]],Tasks[UID],0),-1))</f>
        <v/>
      </c>
      <c r="CL89" s="42">
        <f>IF(N(Tasks[[#This Row],[_Pred4UID]])=0,0,IFERROR(MATCH(Tasks[[#This Row],[_Pred4UID]],Tasks[UID],0),-1))</f>
        <v/>
      </c>
      <c r="CM8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9" s="88">
        <f>IF(N(Tasks[[#This Row],[Constraint Date]])=0,0,IF(AND(OR(Tasks[[#This Row],[_ConstraintCode]]=3,Tasks[[#This Row],[_ConstraintCode]]=6,Tasks[[#This Row],[_ConstraintCode]]=7),N(Tasks[[#This Row],[_Days]])&gt;1),WORKDAY.INTL(N(Tasks[[#This Row],[Constraint Date]]),-(N(Tasks[[#This Row],[_Days]])-1),WorkWeek,Holidays),N(Tasks[[#This Row],[Constraint Date]])))</f>
        <v/>
      </c>
      <c r="CO89" s="88">
        <f>IF(OR(Tasks[[#This Row],[_ConstraintCode]]=2,Tasks[[#This Row],[_ConstraintCode]]=3,Tasks[[#This Row],[_ConstraintCode]]=4,Tasks[[#This Row],[_ConstraintCode]]=6),Tasks[[#This Row],[_ConstraintStart]],0)</f>
        <v/>
      </c>
      <c r="CP89" s="88">
        <f>IF(OR(Tasks[[#This Row],[_ConstraintCode]]=2,Tasks[[#This Row],[_ConstraintCode]]=3,Tasks[[#This Row],[_ConstraintCode]]=5,Tasks[[#This Row],[_ConstraintCode]]=7),Tasks[[#This Row],[_ConstraintStart]],2958465)</f>
        <v/>
      </c>
      <c r="CQ8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9" s="88">
        <f>IF(NOT(Tasks[[#This Row],[_IsLeaf]]=1),"",IF(N(Tasks[[#This Row],[_Days]])&lt;=0,Tasks[[#This Row],[_LeafCalcStart]],WORKDAY.INTL(Tasks[[#This Row],[_LeafCalcStart]],Tasks[[#This Row],[_Days]]-1,WorkWeek,Holidays)))</f>
        <v/>
      </c>
      <c r="CS8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9" s="42">
        <f>IF(Tasks[[#This Row],[_Predecessors]]="","",TRIM(MID(SUBSTITUTE(SUBSTITUTE(SUBSTITUTE(UPPER(Tasks[[#This Row],[_Predecessors]]),";",",")," ",""),",",REPT(" ",99)),1,99)))</f>
        <v/>
      </c>
      <c r="CV89" s="42">
        <f>IF(Tasks[[#This Row],[_Pred1Text]]="","",IFERROR(VALUE(LEFT(Tasks[[#This Row],[_Pred1Text]],MIN(FIND("F",Tasks[[#This Row],[_Pred1Text]]&amp;"F"),FIND("S",Tasks[[#This Row],[_Pred1Text]]&amp;"S"),FIND("+",Tasks[[#This Row],[_Pred1Text]]&amp;"+"),FIND("-",Tasks[[#This Row],[_Pred1Text]]&amp;"-"))-1)),""))</f>
        <v/>
      </c>
      <c r="CW8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9" s="42">
        <f>IF(Tasks[[#This Row],[_Pred1Text]]="","",TRIM(MID(SUBSTITUTE(SUBSTITUTE(SUBSTITUTE(UPPER(Tasks[[#This Row],[_Predecessors]]),";",",")," ",""),",",REPT(" ",99)),100,99)))</f>
        <v/>
      </c>
      <c r="CZ89" s="42">
        <f>IF(Tasks[[#This Row],[_Pred2Text]]="","",IFERROR(VALUE(LEFT(Tasks[[#This Row],[_Pred2Text]],MIN(FIND("F",Tasks[[#This Row],[_Pred2Text]]&amp;"F"),FIND("S",Tasks[[#This Row],[_Pred2Text]]&amp;"S"),FIND("+",Tasks[[#This Row],[_Pred2Text]]&amp;"+"),FIND("-",Tasks[[#This Row],[_Pred2Text]]&amp;"-"))-1)),""))</f>
        <v/>
      </c>
      <c r="DA8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9" s="42">
        <f>IF(Tasks[[#This Row],[_Pred2Text]]="","",TRIM(MID(SUBSTITUTE(SUBSTITUTE(SUBSTITUTE(UPPER(Tasks[[#This Row],[_Predecessors]]),";",",")," ",""),",",REPT(" ",99)),199,99)))</f>
        <v/>
      </c>
      <c r="DD89" s="42">
        <f>IF(Tasks[[#This Row],[_Pred3Text]]="","",IFERROR(VALUE(LEFT(Tasks[[#This Row],[_Pred3Text]],MIN(FIND("F",Tasks[[#This Row],[_Pred3Text]]&amp;"F"),FIND("S",Tasks[[#This Row],[_Pred3Text]]&amp;"S"),FIND("+",Tasks[[#This Row],[_Pred3Text]]&amp;"+"),FIND("-",Tasks[[#This Row],[_Pred3Text]]&amp;"-"))-1)),""))</f>
        <v/>
      </c>
      <c r="DE8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9" s="42">
        <f>IF(Tasks[[#This Row],[_Pred3Text]]="","",TRIM(MID(SUBSTITUTE(SUBSTITUTE(SUBSTITUTE(UPPER(Tasks[[#This Row],[_Predecessors]]),";",",")," ",""),",",REPT(" ",99)),298,99)))</f>
        <v/>
      </c>
      <c r="DH89" s="42">
        <f>IF(Tasks[[#This Row],[_Pred4Text]]="","",IFERROR(VALUE(LEFT(Tasks[[#This Row],[_Pred4Text]],MIN(FIND("F",Tasks[[#This Row],[_Pred4Text]]&amp;"F"),FIND("S",Tasks[[#This Row],[_Pred4Text]]&amp;"S"),FIND("+",Tasks[[#This Row],[_Pred4Text]]&amp;"+"),FIND("-",Tasks[[#This Row],[_Pred4Text]]&amp;"-"))-1)),""))</f>
        <v/>
      </c>
      <c r="DI8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9" s="42">
        <f>IF(OR(Tasks[[#This Row],[Task Name]]="",Tasks[[#This Row],[_Resources]]=""),"",TRIM(MID(SUBSTITUTE(Tasks[[#This Row],[_Resources]],",",REPT(" ",99)),1,99)))</f>
        <v/>
      </c>
      <c r="DL89" s="42">
        <f>IF(Tasks[[#This Row],[_Res1Text]]="","",TRIM(MID(SUBSTITUTE(Tasks[[#This Row],[_Resources]],",",REPT(" ",99)),100,99)))</f>
        <v/>
      </c>
      <c r="DM89" s="42">
        <f>IF(Tasks[[#This Row],[_Res2Text]]="","",TRIM(MID(SUBSTITUTE(Tasks[[#This Row],[_Resources]],",",REPT(" ",99)),199,99)))</f>
        <v/>
      </c>
      <c r="DN89" s="42">
        <f>IF(Tasks[[#This Row],[_Res3Text]]="","",TRIM(MID(SUBSTITUTE(Tasks[[#This Row],[_Resources]],",",REPT(" ",99)),298,99)))</f>
        <v/>
      </c>
      <c r="DO89" s="42">
        <f>IF(Tasks[[#This Row],[_Res1Text]]="",0,IFERROR(MATCH(TRIM(LEFT(Tasks[[#This Row],[_Res1Text]],FIND("[",Tasks[[#This Row],[_Res1Text]]&amp;"[")-1)),res_Name,0),IFERROR(MATCH(TRIM(LEFT(Tasks[[#This Row],[_Res1Text]],FIND("[",Tasks[[#This Row],[_Res1Text]]&amp;"[")-1)),res_Initials,0),0)))</f>
        <v/>
      </c>
      <c r="DP89" s="42">
        <f>IF(Tasks[[#This Row],[_Res2Text]]="",0,IFERROR(MATCH(TRIM(LEFT(Tasks[[#This Row],[_Res2Text]],FIND("[",Tasks[[#This Row],[_Res2Text]]&amp;"[")-1)),res_Name,0),IFERROR(MATCH(TRIM(LEFT(Tasks[[#This Row],[_Res2Text]],FIND("[",Tasks[[#This Row],[_Res2Text]]&amp;"[")-1)),res_Initials,0),0)))</f>
        <v/>
      </c>
      <c r="DQ89" s="42">
        <f>IF(Tasks[[#This Row],[_Res3Text]]="",0,IFERROR(MATCH(TRIM(LEFT(Tasks[[#This Row],[_Res3Text]],FIND("[",Tasks[[#This Row],[_Res3Text]]&amp;"[")-1)),res_Name,0),IFERROR(MATCH(TRIM(LEFT(Tasks[[#This Row],[_Res3Text]],FIND("[",Tasks[[#This Row],[_Res3Text]]&amp;"[")-1)),res_Initials,0),0)))</f>
        <v/>
      </c>
      <c r="DR89" s="42">
        <f>IF(Tasks[[#This Row],[_Res4Text]]="",0,IFERROR(MATCH(TRIM(LEFT(Tasks[[#This Row],[_Res4Text]],FIND("[",Tasks[[#This Row],[_Res4Text]]&amp;"[")-1)),res_Name,0),IFERROR(MATCH(TRIM(LEFT(Tasks[[#This Row],[_Res4Text]],FIND("[",Tasks[[#This Row],[_Res4Text]]&amp;"[")-1)),res_Initials,0),0)))</f>
        <v/>
      </c>
      <c r="DS89" s="42">
        <f>IF(Tasks[[#This Row],[_Res1Text]]="","",IF(Tasks[[#This Row],[_Res1Row]]&gt;0,INDEX(res_Name,Tasks[[#This Row],[_Res1Row]]),TRIM(LEFT(Tasks[[#This Row],[_Res1Text]],FIND("[",Tasks[[#This Row],[_Res1Text]]&amp;"[")-1))))</f>
        <v/>
      </c>
      <c r="DT8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9" s="42">
        <f>IF(NOT(Tasks[[#This Row],[_IsLeaf]]=1),0,(Tasks[[#This Row],[_Resource1]]&lt;&gt;"")+(Tasks[[#This Row],[_Res2]]&lt;&gt;"")+(Tasks[[#This Row],[_Res3]]&lt;&gt;"")+(Tasks[[#This Row],[_Res4]]&lt;&gt;""))</f>
        <v/>
      </c>
      <c r="DV89" s="42">
        <f>IF(Tasks[[#This Row],[_Res2Text]]="","",IF(Tasks[[#This Row],[_Res2Row]]&gt;0,INDEX(res_Name,Tasks[[#This Row],[_Res2Row]]),TRIM(LEFT(Tasks[[#This Row],[_Res2Text]],FIND("[",Tasks[[#This Row],[_Res2Text]]&amp;"[")-1))))</f>
        <v/>
      </c>
      <c r="DW8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9" s="42">
        <f>IF(OR(NOT(Tasks[[#This Row],[_IsLeaf]]=1),Tasks[[#This Row],[_Res2Row]]=0),0,N(Tasks[[#This Row],[_Days]])*HoursPerDay*IF(Tasks[[#This Row],[_Res2Units]]="",DefaultUnits,Tasks[[#This Row],[_Res2Units]]))</f>
        <v/>
      </c>
      <c r="DY89" s="42">
        <f>IF(AND(AND(Tasks[[#This Row],[_IsLeaf]]=1,Tasks[[#This Row],[_LeafTotalWork]]&gt;0),Tasks[[#This Row],[_Res2Work]]&gt;0),Tasks[[#This Row],[_Res2Work]]/(Tasks[[#This Row],[_FinishWorkday]]-Tasks[[#This Row],[_StartWorkday]]+1),0)</f>
        <v/>
      </c>
      <c r="DZ89" s="42">
        <f>Tasks[[#This Row],[_Res2WorkPerWD]]*MAX(0,Tasks[[#This Row],[_StartWorkday]]-1)</f>
        <v/>
      </c>
      <c r="EA89" s="42">
        <f>Tasks[[#This Row],[_Res2Work]]*Tasks[[#This Row],[_LeafProgress]]</f>
        <v/>
      </c>
      <c r="EB89" s="42">
        <f>IF(Tasks[[#This Row],[_Res3Text]]="","",IF(Tasks[[#This Row],[_Res3Row]]&gt;0,INDEX(res_Name,Tasks[[#This Row],[_Res3Row]]),TRIM(LEFT(Tasks[[#This Row],[_Res3Text]],FIND("[",Tasks[[#This Row],[_Res3Text]]&amp;"[")-1))))</f>
        <v/>
      </c>
      <c r="EC8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9" s="42">
        <f>IF(OR(NOT(Tasks[[#This Row],[_IsLeaf]]=1),Tasks[[#This Row],[_Res3Row]]=0),0,N(Tasks[[#This Row],[_Days]])*HoursPerDay*IF(Tasks[[#This Row],[_Res3Units]]="",DefaultUnits,Tasks[[#This Row],[_Res3Units]]))</f>
        <v/>
      </c>
      <c r="EE89" s="42">
        <f>IF(AND(AND(Tasks[[#This Row],[_IsLeaf]]=1,Tasks[[#This Row],[_LeafTotalWork]]&gt;0),Tasks[[#This Row],[_Res3Work]]&gt;0),Tasks[[#This Row],[_Res3Work]]/(Tasks[[#This Row],[_FinishWorkday]]-Tasks[[#This Row],[_StartWorkday]]+1),0)</f>
        <v/>
      </c>
      <c r="EF89" s="42">
        <f>Tasks[[#This Row],[_Res3WorkPerWD]]*MAX(0,Tasks[[#This Row],[_StartWorkday]]-1)</f>
        <v/>
      </c>
      <c r="EG89" s="42">
        <f>Tasks[[#This Row],[_Res3Work]]*Tasks[[#This Row],[_LeafProgress]]</f>
        <v/>
      </c>
      <c r="EH89" s="42">
        <f>IF(Tasks[[#This Row],[_Res4Text]]="","",IF(Tasks[[#This Row],[_Res4Row]]&gt;0,INDEX(res_Name,Tasks[[#This Row],[_Res4Row]]),TRIM(LEFT(Tasks[[#This Row],[_Res4Text]],FIND("[",Tasks[[#This Row],[_Res4Text]]&amp;"[")-1))))</f>
        <v/>
      </c>
      <c r="EI8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9" s="42">
        <f>IF(OR(NOT(Tasks[[#This Row],[_IsLeaf]]=1),Tasks[[#This Row],[_Res4Row]]=0),0,N(Tasks[[#This Row],[_Days]])*HoursPerDay*IF(Tasks[[#This Row],[_Res4Units]]="",DefaultUnits,Tasks[[#This Row],[_Res4Units]]))</f>
        <v/>
      </c>
      <c r="EK89" s="42">
        <f>IF(AND(AND(Tasks[[#This Row],[_IsLeaf]]=1,Tasks[[#This Row],[_LeafTotalWork]]&gt;0),Tasks[[#This Row],[_Res4Work]]&gt;0),Tasks[[#This Row],[_Res4Work]]/(Tasks[[#This Row],[_FinishWorkday]]-Tasks[[#This Row],[_StartWorkday]]+1),0)</f>
        <v/>
      </c>
      <c r="EL89" s="42">
        <f>Tasks[[#This Row],[_Res4WorkPerWD]]*MAX(0,Tasks[[#This Row],[_StartWorkday]]-1)</f>
        <v/>
      </c>
      <c r="EM89" s="42">
        <f>Tasks[[#This Row],[_Res4Work]]*Tasks[[#This Row],[_LeafProgress]]</f>
        <v/>
      </c>
      <c r="EN89" s="42">
        <f>IF(ISNUMBER(Tasks[[#This Row],[% Complete]]),Tasks[[#This Row],[% Complete]],IF(Tasks[[#This Row],[Stage]]="",0,IFERROR(INDEX(stg_Pct,MATCH(Tasks[[#This Row],[Stage]],stg_Name,0)),0)))</f>
        <v/>
      </c>
      <c r="EO89" s="42">
        <f>IF(NOT(Tasks[[#This Row],[_IsLeaf]]=1),0,IF(N(Tasks[[#This Row],[Actual Finish]])&gt;0,1,MIN(1,Tasks[[#This Row],[_Pct]])))</f>
        <v/>
      </c>
      <c r="EP89" s="42">
        <f>IF(OR(NOT(Tasks[[#This Row],[_IsLeaf]]=1),Tasks[[#This Row],[_Res1Row]]=0),0,N(Tasks[[#This Row],[_Days]])*HoursPerDay*IF(Tasks[[#This Row],[_Units1]]="",DefaultUnits,Tasks[[#This Row],[_Units1]]))</f>
        <v/>
      </c>
      <c r="EQ89" s="42">
        <f>Tasks[[#This Row],[_LeafWork]]+Tasks[[#This Row],[_Res2Work]]+Tasks[[#This Row],[_Res3Work]]+Tasks[[#This Row],[_Res4Work]]</f>
        <v/>
      </c>
      <c r="ER8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9" s="42">
        <f>IF(NOT(Tasks[[#This Row],[_IsLeaf]]=1),0,MAX(_xlfn.MAXIFS(Tasks[_Row],Tasks[_Pred1UID],Tasks[[#This Row],[UID]]),_xlfn.MAXIFS(Tasks[_Row],Tasks[_Pred2UID],Tasks[[#This Row],[UID]]),_xlfn.MAXIFS(Tasks[_Row],Tasks[_Pred3UID],Tasks[[#This Row],[UID]]),_xlfn.MAXIFS(Tasks[_Row],Tasks[_Pred4UID],Tasks[[#This Row],[UID]])))</f>
        <v/>
      </c>
      <c r="FA8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9" s="88">
        <f>IF(NOT(Tasks[[#This Row],[_IsLeaf]]=1),"",IF(N(Tasks[[#This Row],[_Days]])&lt;=0,Tasks[[#This Row],[_LeafLateFinish]],WORKDAY.INTL(Tasks[[#This Row],[_LeafLateFinish]],-(Tasks[[#This Row],[_Days]]-1),WorkWeek,Holidays)))</f>
        <v/>
      </c>
      <c r="FD8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9" s="42">
        <f>AND(Tasks[[#This Row],[_IsLeaf]]=1,Tasks[[#This Row],[_LeafProgress]]&lt;1,N(Tasks[[#This Row],[_LeafTotalSlack]])&lt;=CriticalSlackDays)</f>
        <v/>
      </c>
      <c r="FF89" s="42">
        <f>IF(AND(Tasks[[#This Row],[_IsLeaf]]=1,Tasks[[#This Row],[_ConstraintCode]]=1,Tasks[[#This Row],[Mode]]&lt;&gt;"Manual",N(Tasks[[#This Row],[Actual Start]])=0),MAX(0,N(Tasks[[#This Row],[Free Slack]])),0)</f>
        <v/>
      </c>
      <c r="FG89" s="88">
        <f>IF(NOT(Tasks[[#This Row],[_IsLeaf]]=1),"",IF(Tasks[[#This Row],[_AlapShift]]=0,Tasks[[#This Row],[_LeafCalcStart]],WORKDAY.INTL(Tasks[[#This Row],[_LeafCalcStart]],Tasks[[#This Row],[_AlapShift]],WorkWeek,Holidays)))</f>
        <v/>
      </c>
      <c r="FH89" s="88">
        <f>IF(NOT(Tasks[[#This Row],[_IsLeaf]]=1),"",IF(Tasks[[#This Row],[_AlapShift]]=0,Tasks[[#This Row],[_LeafCalcFinish]],WORKDAY.INTL(Tasks[[#This Row],[_LeafCalcFinish]],Tasks[[#This Row],[_AlapShift]],WorkWeek,Holidays)))</f>
        <v/>
      </c>
      <c r="FI89" s="88">
        <f>IF(NOT(Tasks[[#This Row],[_IsLeaf]]=1),"",IF(Tasks[[#This Row],[_AlapShift]]=0,Tasks[[#This Row],[_LeafFcstStart]],WORKDAY.INTL(Tasks[[#This Row],[_LeafFcstStart]],Tasks[[#This Row],[_AlapShift]],WorkWeek,Holidays)))</f>
        <v/>
      </c>
      <c r="FJ89" s="88">
        <f>IF(NOT(Tasks[[#This Row],[_IsLeaf]]=1),"",IF(Tasks[[#This Row],[_AlapShift]]=0,Tasks[[#This Row],[_LeafFcstFinish]],WORKDAY.INTL(Tasks[[#This Row],[_LeafFcstFinish]],Tasks[[#This Row],[_AlapShift]],WorkWeek,Holidays)))</f>
        <v/>
      </c>
      <c r="FK89" s="88">
        <f>IF(Tasks[[#This Row],[Task Name]]="","",IF(Tasks[[#This Row],[_IsSummary]],MIN(INDEX(Tasks[_ShownCalcStart],Tasks[[#This Row],[_Row]]+1):INDEX(Tasks[_ShownCalcStart],Tasks[[#This Row],[_Row]]+Tasks[[#This Row],[_Descendants]])),Tasks[[#This Row],[_ShownCalcStart]]))</f>
        <v/>
      </c>
      <c r="FL89" s="88">
        <f>IF(Tasks[[#This Row],[Task Name]]="","",IF(Tasks[[#This Row],[_IsSummary]],MAX(INDEX(Tasks[_ShownCalcFinish],Tasks[[#This Row],[_Row]]+1):INDEX(Tasks[_ShownCalcFinish],Tasks[[#This Row],[_Row]]+Tasks[[#This Row],[_Descendants]])),Tasks[[#This Row],[_ShownCalcFinish]]))</f>
        <v/>
      </c>
      <c r="FM8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9" s="42">
        <f>IF(AND(Tasks[[#This Row],[_IsLeaf]]=1,Tasks[[#This Row],[_LeafTotalWork]]&gt;0),NETWORKDAYS.INTL(ProjectStart,Tasks[[#This Row],[_ShownFcstStart]],WorkWeek,Holidays),0)</f>
        <v/>
      </c>
      <c r="FZ89" s="42">
        <f>IF(AND(Tasks[[#This Row],[_IsLeaf]]=1,Tasks[[#This Row],[_LeafTotalWork]]&gt;0),MAX(Tasks[[#This Row],[_StartWorkday]],NETWORKDAYS.INTL(ProjectStart,Tasks[[#This Row],[_ShownFcstFinish]],WorkWeek,Holidays)),0)</f>
        <v/>
      </c>
      <c r="GA89" s="42">
        <f>IF(AND(Tasks[[#This Row],[_IsLeaf]]=1,Tasks[[#This Row],[_LeafTotalWork]]&gt;0),Tasks[[#This Row],[_LeafWork]]/(Tasks[[#This Row],[_FinishWorkday]]-Tasks[[#This Row],[_StartWorkday]]+1),0)</f>
        <v/>
      </c>
      <c r="GB89" s="42">
        <f>Tasks[[#This Row],[_WorkPerWorkday]]*(Tasks[[#This Row],[_StartWorkday]]-1)</f>
        <v/>
      </c>
      <c r="GC89" s="42">
        <f>IF(Tasks[[#This Row],[_IsLeaf]]=1,MAX(N(Tasks[[#This Row],[_Days]]),0.1),0)</f>
        <v/>
      </c>
      <c r="GD89" s="42">
        <f>Tasks[[#This Row],[_WeightDur]]*Tasks[[#This Row],[_LeafProgress]]</f>
        <v/>
      </c>
      <c r="GE89" s="42">
        <f>Tasks[[#This Row],[_WeightDur]]*Tasks[[#This Row],[_PlannedPct]]</f>
        <v/>
      </c>
      <c r="GF8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9" s="42">
        <f>IF(AND(Tasks[[#This Row],[_IsLeaf]]=1,N(Tasks[[#This Row],[_Days]])=0,Tasks[[#This Row],[_LeafProgress]]&lt;1),Tasks[[#This Row],[_ShownFcstFinish]]+Tasks[[#This Row],[_Row]]/100000,"")</f>
        <v/>
      </c>
      <c r="GH8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9" s="42">
        <f>IF(Tasks[[#This Row],[Task Name]]="","",LEFT(Tasks[[#This Row],[WBS]],FIND(".",Tasks[[#This Row],[WBS]]&amp;".")-1))</f>
        <v/>
      </c>
      <c r="GJ89" s="42">
        <f>IF(AND(Tasks[[#This Row],[Task Name]]&lt;&gt;"",Tasks[[#This Row],[_Level]]=1),Tasks[[#This Row],[_Row]],"")</f>
        <v/>
      </c>
      <c r="GK89" s="42">
        <f>IF(AND(Tasks[[#This Row],[_IsLeaf]]=1,N(Tasks[[#This Row],[_Days]])=0),Tasks[[#This Row],[Planned Finish]]+Tasks[[#This Row],[_Row]]/100000,"")</f>
        <v/>
      </c>
      <c r="GL89" s="42">
        <f>IF(AND(Tasks[[#This Row],[_IsLeaf]]=1,Tasks[[#This Row],[_LeafProgress]]&lt;1,OR(N(Tasks[[#This Row],[Finish Var]])&gt;0,Tasks[[#This Row],[Status]]="Late Start")),MAX(0,Tasks[[#This Row],[Finish Var]])+1-Tasks[[#This Row],[_Row]]/1000000,"")</f>
        <v/>
      </c>
      <c r="GM89" s="42">
        <f>IF(AND(Tasks[[#This Row],[_IsLeaf]]=1,N(Tasks[[#This Row],[Actual Start]])=0,Tasks[[#This Row],[_ShownFcstStart]]&gt;=StatusDate,Tasks[[#This Row],[_ShownFcstStart]]&lt;=LookaheadEnd),Tasks[[#This Row],[_ShownFcstStart]]+Tasks[[#This Row],[_Row]]/100000,"")</f>
        <v/>
      </c>
      <c r="GN89" s="42">
        <f>IF(AND(Tasks[[#This Row],[_IsLeaf]]=1,Tasks[[#This Row],[_LeafProgress]]&lt;1,Tasks[[#This Row],[_ShownFcstFinish]]&gt;=StatusDate,Tasks[[#This Row],[_ShownFcstFinish]]&lt;=LookaheadEnd),Tasks[[#This Row],[_ShownFcstFinish]]+Tasks[[#This Row],[_Row]]/100000,"")</f>
        <v/>
      </c>
      <c r="GO89" s="42">
        <f>IF(Tasks[[#This Row],[_LeafCritical]],Tasks[[#This Row],[_ShownFcstStart]]+Tasks[[#This Row],[_Row]]/100000,"")</f>
        <v/>
      </c>
      <c r="GP89" s="42">
        <f>Tasks[[#This Row],[_LeafWork]]*Tasks[[#This Row],[_LeafProgress]]</f>
        <v/>
      </c>
      <c r="GQ89" s="88">
        <f>IF(AND(Tasks[[#This Row],[_IsLeaf]]=1,Tasks[[#This Row],[_LeafProgress]]&gt;=1),IF(N(Tasks[[#This Row],[Actual Finish]])&gt;0,Tasks[[#This Row],[Actual Finish]],Tasks[[#This Row],[_ShownFcstFinish]]),"")</f>
        <v/>
      </c>
      <c r="GR89" s="42">
        <f>IF(Tasks[[#This Row],[_IsLeaf]]=1,N(Tasks[[#This Row],[Story Points]]),0)</f>
        <v/>
      </c>
      <c r="GS89" s="42">
        <f>""</f>
        <v/>
      </c>
      <c r="GT89" s="42">
        <f>IF(Tasks[[#This Row],[Task Name]]="",FALSE(),AND(Tasks[[#This Row],[_IsLeaf]]=1,N(Tasks[[#This Row],[_Days]])=0))</f>
        <v/>
      </c>
      <c r="GU89" s="88">
        <f>IF(Tasks[[#This Row],[Task Name]]="",0,IF(AND(Tasks[[#This Row],[_IsLeaf]]=1,NOT(Tasks[[#This Row],[_IsMilestone]]),N(Tasks[[#This Row],[Progress]])&gt;0),Tasks[[#This Row],[Start]],0))</f>
        <v/>
      </c>
      <c r="GV89" s="88">
        <f>IF(Tasks[[#This Row],[_DoneFrom]]=0,0,IF(Tasks[[#This Row],[Progress]]&gt;=1,Tasks[[#This Row],[Finish]],MAX(Tasks[[#This Row],[_DoneFrom]],Tasks[[#This Row],[Start]]+ROUND((Tasks[[#This Row],[Finish]]-Tasks[[#This Row],[Start]]+1)*Tasks[[#This Row],[Progress]],0)-1)))</f>
        <v/>
      </c>
      <c r="GW89" s="88">
        <f>IF(Tasks[[#This Row],[Task Name]]="",0,IF(OR(NOT(Tasks[[#This Row],[_IsLeaf]]=1),Tasks[[#This Row],[_IsMilestone]],N(Tasks[[#This Row],[Progress]])&gt;=1),0,IF(Tasks[[#This Row],[_DoneTo]]&gt;0,Tasks[[#This Row],[_DoneTo]]+1,Tasks[[#This Row],[Start]])))</f>
        <v/>
      </c>
      <c r="GX89" s="88">
        <f>IF(Tasks[[#This Row],[_RemFrom]]=0,0,Tasks[[#This Row],[Finish]])</f>
        <v/>
      </c>
      <c r="GY89" s="42">
        <f>IF(Tasks[[#This Row],[Task Name]]="",FALSE(),OR(NOT(BaselineSet),N(Tasks[[#This Row],[Baseline Start]])&gt;0))</f>
        <v/>
      </c>
      <c r="GZ89" s="42">
        <f>IF(AND(Sandbox="Yes",L_PARSE_DURATION(Tasks[[#This Row],[Sandbox Duration]])&lt;&gt;""),L_PARSE_DURATION(Tasks[[#This Row],[Sandbox Duration]]),L_PARSE_DURATION(Tasks[[#This Row],[Duration]]))</f>
        <v/>
      </c>
      <c r="HA8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8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9" s="42">
        <f>IF(Tasks[[#This Row],[_IsLeaf]]=1,Tasks[[#This Row],[_Row]],"")</f>
        <v/>
      </c>
      <c r="HD89" s="42">
        <f>IFERROR(INDEX(Tasks[UID],SMALL(Tasks[_PickKey],Tasks[[#This Row],[_Row]]))&amp;" "&amp;INDEX(Tasks[Task Name],SMALL(Tasks[_PickKey],Tasks[[#This Row],[_Row]])),"")</f>
        <v/>
      </c>
      <c r="HE89" s="42">
        <f>IF(Tasks[[#This Row],[Task Name]]="","",IF(Tasks[[#This Row],[_IsSummary]],NETWORKDAYS.INTL(Tasks[[#This Row],[Start]],Tasks[[#This Row],[Finish]],WorkWeek,Holidays),N(Tasks[[#This Row],[_Days]])))</f>
        <v/>
      </c>
      <c r="HF89" s="42">
        <f>IF(Tasks[[#This Row],[Expected]]="",0,((Tasks[[#This Row],[Pessimistic]]-Tasks[[#This Row],[Optimistic]])/6)^2)</f>
        <v/>
      </c>
      <c r="HG89" s="42">
        <f>IF(Tasks[[#This Row],[Expected]]="",0,Tasks[[#This Row],[Expected]]-N(Tasks[[#This Row],[_Days]]))</f>
        <v/>
      </c>
    </row>
    <row r="90">
      <c r="A90" s="21">
        <f>IF(Tasks[[#This Row],[Task Name]]="","",COUNTA(Tasks[[#Headers],[Task Name]]:Tasks[[#This Row],[Task Name]])-1)</f>
        <v/>
      </c>
      <c r="B90" s="22" t="n">
        <v>98</v>
      </c>
      <c r="C90" s="22" t="n"/>
      <c r="D90" s="23" t="n"/>
      <c r="E90" s="22" t="n"/>
      <c r="F90" s="23" t="n"/>
      <c r="G90" s="22" t="n"/>
      <c r="H90" s="22" t="n"/>
      <c r="I90" s="23" t="n"/>
      <c r="J90" s="22" t="n"/>
      <c r="K90" s="22" t="n"/>
      <c r="L90" s="23" t="n"/>
      <c r="M90" s="22" t="n"/>
      <c r="N90" s="22" t="n"/>
      <c r="O90" s="23" t="n"/>
      <c r="P90" s="22" t="n"/>
      <c r="Q90" s="22" t="n"/>
      <c r="R90" s="23" t="n"/>
      <c r="S90" s="23" t="n"/>
      <c r="T90" s="82" t="n"/>
      <c r="U90" s="23" t="n"/>
      <c r="V90" s="82" t="n"/>
      <c r="W90" s="23" t="n"/>
      <c r="X90" s="82" t="n"/>
      <c r="Y90" s="23" t="n"/>
      <c r="Z90" s="82" t="n"/>
      <c r="AA90" s="23" t="n"/>
      <c r="AB90" s="23" t="n"/>
      <c r="AC90" s="7" t="n"/>
      <c r="AD90" s="7" t="n"/>
      <c r="AE90" s="61">
        <f>IF(Tasks[[#This Row],[Task Name]]="","",IF(Tasks[[#This Row],[_IsSummary]],MIN(INDEX(Tasks[_ShownFcstStart],Tasks[[#This Row],[_Row]]+1):INDEX(Tasks[_ShownFcstStart],Tasks[[#This Row],[_Row]]+Tasks[[#This Row],[_Descendants]])),Tasks[[#This Row],[_ShownFcstStart]]))</f>
        <v/>
      </c>
      <c r="AF90" s="61">
        <f>IF(Tasks[[#This Row],[Task Name]]="","",IF(Tasks[[#This Row],[_IsSummary]],MAX(INDEX(Tasks[_ShownFcstFinish],Tasks[[#This Row],[_Row]]+1):INDEX(Tasks[_ShownFcstFinish],Tasks[[#This Row],[_Row]]+Tasks[[#This Row],[_Descendants]])),Tasks[[#This Row],[_ShownFcstFinish]]))</f>
        <v/>
      </c>
      <c r="AG90" s="21">
        <f>""</f>
        <v/>
      </c>
      <c r="AH90" s="23" t="n"/>
      <c r="AI9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0" s="7" t="n"/>
      <c r="AK90" s="22" t="n"/>
      <c r="AL90" s="23" t="n"/>
      <c r="AM90" s="7" t="n"/>
      <c r="AN90" s="21">
        <f>IF(Tasks[[#This Row],[Task Name]]="","",IF(Tasks[[#This Row],[Finish]]&gt;=Tasks[[#This Row],[Planned Finish]],NETWORKDAYS.INTL(Tasks[[#This Row],[Planned Finish]],Tasks[[#This Row],[Finish]],WorkWeek,Holidays)-1,1-NETWORKDAYS.INTL(Tasks[[#This Row],[Finish]],Tasks[[#This Row],[Planned Finish]],WorkWeek,Holidays)))</f>
        <v/>
      </c>
      <c r="AO90" s="21">
        <f>IF(Tasks[[#This Row],[Task Name]]="","",IF(Tasks[[#This Row],[Progress]]&gt;=1,"Complete",IF(OR(N(Tasks[[#This Row],[Actual Start]])&gt;0,Tasks[[#This Row],[Progress]]&gt;0),IF(Tasks[[#This Row],[Finish Var]]&gt;0,"Behind","In Progress"),IF(Tasks[[#This Row],[Planned Start]]&lt;StatusDate,"Late Start","Not Started"))))</f>
        <v/>
      </c>
      <c r="AP90" s="21">
        <f>IF(Tasks[[#This Row],[Task Name]]="","",IF(IF(Tasks[[#This Row],[_IsSummary]],COUNTIF(INDEX(Tasks[_LeafCritical],Tasks[[#This Row],[_Row]]+1):INDEX(Tasks[_LeafCritical],Tasks[[#This Row],[_Row]]+Tasks[[#This Row],[_Descendants]]),TRUE())&gt;0,Tasks[[#This Row],[_LeafCritical]]),"Yes",""))</f>
        <v/>
      </c>
      <c r="AQ90" s="61">
        <f>IF(Tasks[[#This Row],[Task Name]]="","",IF(N(Tasks[[#This Row],[Baseline Start]])&gt;0,Tasks[[#This Row],[Baseline Start]],Tasks[[#This Row],[_CalcStart]]))</f>
        <v/>
      </c>
      <c r="AR90" s="61">
        <f>IF(Tasks[[#This Row],[Task Name]]="","",IF(N(Tasks[[#This Row],[Baseline Finish]])&gt;0,Tasks[[#This Row],[Baseline Finish]],Tasks[[#This Row],[_CalcFinish]]))</f>
        <v/>
      </c>
      <c r="AS90" s="21">
        <f>IF(Tasks[[#This Row],[Task Name]]="","",IF(Tasks[[#This Row],[Start]]&gt;=Tasks[[#This Row],[Planned Start]],NETWORKDAYS.INTL(Tasks[[#This Row],[Planned Start]],Tasks[[#This Row],[Start]],WorkWeek,Holidays)-1,1-NETWORKDAYS.INTL(Tasks[[#This Row],[Start]],Tasks[[#This Row],[Planned Start]],WorkWeek,Holidays)))</f>
        <v/>
      </c>
      <c r="AT90" s="61">
        <f>IF(Tasks[[#This Row],[Task Name]]="","",IF(Tasks[[#This Row],[_IsSummary]],MIN(INDEX(Tasks[_LeafLateStart],Tasks[[#This Row],[_Row]]+1):INDEX(Tasks[_LeafLateStart],Tasks[[#This Row],[_Row]]+Tasks[[#This Row],[_Descendants]])),Tasks[[#This Row],[_LeafLateStart]]))</f>
        <v/>
      </c>
      <c r="AU90" s="61">
        <f>IF(Tasks[[#This Row],[Task Name]]="","",IF(Tasks[[#This Row],[_IsSummary]],MAX(INDEX(Tasks[_LeafLateFinish],Tasks[[#This Row],[_Row]]+1):INDEX(Tasks[_LeafLateFinish],Tasks[[#This Row],[_Row]]+Tasks[[#This Row],[_Descendants]])),Tasks[[#This Row],[_LeafLateFinish]]))</f>
        <v/>
      </c>
      <c r="AV90" s="21">
        <f>IF(Tasks[[#This Row],[Task Name]]="","",IF(Tasks[[#This Row],[_IsSummary]],MIN(INDEX(Tasks[_LeafTotalSlack],Tasks[[#This Row],[_Row]]+1):INDEX(Tasks[_LeafTotalSlack],Tasks[[#This Row],[_Row]]+Tasks[[#This Row],[_Descendants]])),Tasks[[#This Row],[_LeafTotalSlack]]))</f>
        <v/>
      </c>
      <c r="AW9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3" t="n"/>
      <c r="BA9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f>IF(Tasks[[#This Row],[Task Name]]="","",IF(Tasks[[#This Row],[_Level]]&lt;=OutlineShowLevel,"Yes","No"))</f>
        <v/>
      </c>
      <c r="BE90" s="84">
        <f>IF(Tasks[[#This Row],[Task Name]]="","",IF(Tasks[[#This Row],[_IsSummary]],SUM(INDEX(Tasks[_LeafTotalWork],Tasks[[#This Row],[_Row]]+1):INDEX(Tasks[_LeafTotalWork],Tasks[[#This Row],[_Row]]+Tasks[[#This Row],[_Descendants]])),Tasks[[#This Row],[_LeafTotalWork]]))</f>
        <v/>
      </c>
      <c r="BF90" s="23" t="n"/>
      <c r="BG9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f>""</f>
        <v/>
      </c>
      <c r="BI90" s="85" t="n"/>
      <c r="BJ90" s="22" t="n"/>
      <c r="BK90" s="21">
        <f>IF(OR(Tasks[[#This Row],[Task Name]]="",Tasks[[#This Row],[Baseline Duration]]=""),"",Tasks[[#This Row],[_SpanDays]]-N(Tasks[[#This Row],[Baseline Duration]]))</f>
        <v/>
      </c>
      <c r="BL90" s="84">
        <f>IF(OR(Tasks[[#This Row],[Task Name]]="",Tasks[[#This Row],[Baseline Work]]=""),"",Tasks[[#This Row],[Work]]-N(Tasks[[#This Row],[Baseline Work]]))</f>
        <v/>
      </c>
      <c r="BM90" s="61">
        <f>IF(Tasks[[#This Row],[Task Name]]="","",IF(OR(TakeBaseline="Yes",N(Tasks[[#This Row],[Baseline Start]])=0),Tasks[[#This Row],[Start]],Tasks[[#This Row],[Baseline Start]]))</f>
        <v/>
      </c>
      <c r="BN90" s="61">
        <f>IF(Tasks[[#This Row],[Task Name]]="","",IF(OR(TakeBaseline="Yes",N(Tasks[[#This Row],[Baseline Finish]])=0),Tasks[[#This Row],[Finish]],Tasks[[#This Row],[Baseline Finish]]))</f>
        <v/>
      </c>
      <c r="BO90" s="21">
        <f>IF(Tasks[[#This Row],[Task Name]]="","",IF(OR(TakeBaseline="Yes",N(Tasks[[#This Row],[Baseline Duration]])=0),Tasks[[#This Row],[_SpanDays]],Tasks[[#This Row],[Baseline Duration]]))</f>
        <v/>
      </c>
      <c r="BP90" s="84">
        <f>IF(Tasks[[#This Row],[Task Name]]="","",IF(OR(TakeBaseline="Yes",N(Tasks[[#This Row],[Baseline Work]])=0),Tasks[[#This Row],[Work]],Tasks[[#This Row],[Baseline Work]]))</f>
        <v/>
      </c>
      <c r="BQ90" s="7" t="n"/>
      <c r="BR90" s="7" t="n"/>
      <c r="BS90" s="22" t="n"/>
      <c r="BT90" s="86" t="n"/>
      <c r="BU90" s="23" t="n"/>
      <c r="BV90" s="23" t="n"/>
      <c r="BW90" s="23" t="n"/>
      <c r="BX90" s="87">
        <f>IF(AND(Tasks[[#This Row],[_IsLeaf]]=1,ISNUMBER(Tasks[[#This Row],[Optimistic]]),ISNUMBER(Tasks[[#This Row],[Pessimistic]])),ROUND((Tasks[[#This Row],[Optimistic]]+4*N(Tasks[[#This Row],[_Days]])+Tasks[[#This Row],[Pessimistic]])/6,1),"")</f>
        <v/>
      </c>
      <c r="BY90" s="85" t="n"/>
      <c r="BZ90" s="85" t="n"/>
      <c r="CA90" s="22" t="n"/>
      <c r="CB90" s="42">
        <f>IF(Tasks[[#This Row],[Task Name]]="","",MAX(1,N(Tasks[[#This Row],[Level]])))</f>
        <v/>
      </c>
      <c r="CC90" s="42">
        <f>ROW()-ROW(Tasks[[#Headers],[ID]])</f>
        <v/>
      </c>
      <c r="CD90" s="42">
        <f>IF(OR(Tasks[[#This Row],[Task Name]]="",Tasks[[#This Row],[_Level]]&lt;=1),0,IFERROR(LOOKUP(2,1/(Tasks[[#Headers],[_Level]]:Tasks[[#This Row],[_Level]]=Tasks[[#This Row],[_Level]]-1),ROW(Tasks[[#Headers],[_Level]]:Tasks[[#This Row],[_Level]])),0))</f>
        <v/>
      </c>
      <c r="CE90" s="42">
        <f>IFERROR(N(INDEX(Tasks[_Level],Tasks[[#This Row],[_Row]]+1)),0)</f>
        <v/>
      </c>
      <c r="CF90" s="42">
        <f>AND(Tasks[[#This Row],[Task Name]]&lt;&gt;"",Tasks[[#This Row],[_NextLevel]]&gt;Tasks[[#This Row],[_Level]])</f>
        <v/>
      </c>
      <c r="CG90" s="42">
        <f>IF(Tasks[[#This Row],[_IsSummary]],COUNTIF(Tasks[WBS],Tasks[[#This Row],[WBS]]&amp;".*"),0)</f>
        <v/>
      </c>
      <c r="CH90" s="42">
        <f>IF(AND(Tasks[[#This Row],[Task Name]]&lt;&gt;"",NOT(Tasks[[#This Row],[_IsSummary]])),1,0)</f>
        <v/>
      </c>
      <c r="CI90" s="42">
        <f>IF(N(Tasks[[#This Row],[_Pred1UID]])=0,0,IFERROR(MATCH(Tasks[[#This Row],[_Pred1UID]],Tasks[UID],0),-1))</f>
        <v/>
      </c>
      <c r="CJ90" s="42">
        <f>IF(N(Tasks[[#This Row],[_Pred2UID]])=0,0,IFERROR(MATCH(Tasks[[#This Row],[_Pred2UID]],Tasks[UID],0),-1))</f>
        <v/>
      </c>
      <c r="CK90" s="42">
        <f>IF(N(Tasks[[#This Row],[_Pred3UID]])=0,0,IFERROR(MATCH(Tasks[[#This Row],[_Pred3UID]],Tasks[UID],0),-1))</f>
        <v/>
      </c>
      <c r="CL90" s="42">
        <f>IF(N(Tasks[[#This Row],[_Pred4UID]])=0,0,IFERROR(MATCH(Tasks[[#This Row],[_Pred4UID]],Tasks[UID],0),-1))</f>
        <v/>
      </c>
      <c r="CM9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0" s="88">
        <f>IF(N(Tasks[[#This Row],[Constraint Date]])=0,0,IF(AND(OR(Tasks[[#This Row],[_ConstraintCode]]=3,Tasks[[#This Row],[_ConstraintCode]]=6,Tasks[[#This Row],[_ConstraintCode]]=7),N(Tasks[[#This Row],[_Days]])&gt;1),WORKDAY.INTL(N(Tasks[[#This Row],[Constraint Date]]),-(N(Tasks[[#This Row],[_Days]])-1),WorkWeek,Holidays),N(Tasks[[#This Row],[Constraint Date]])))</f>
        <v/>
      </c>
      <c r="CO90" s="88">
        <f>IF(OR(Tasks[[#This Row],[_ConstraintCode]]=2,Tasks[[#This Row],[_ConstraintCode]]=3,Tasks[[#This Row],[_ConstraintCode]]=4,Tasks[[#This Row],[_ConstraintCode]]=6),Tasks[[#This Row],[_ConstraintStart]],0)</f>
        <v/>
      </c>
      <c r="CP90" s="88">
        <f>IF(OR(Tasks[[#This Row],[_ConstraintCode]]=2,Tasks[[#This Row],[_ConstraintCode]]=3,Tasks[[#This Row],[_ConstraintCode]]=5,Tasks[[#This Row],[_ConstraintCode]]=7),Tasks[[#This Row],[_ConstraintStart]],2958465)</f>
        <v/>
      </c>
      <c r="CQ9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0" s="88">
        <f>IF(NOT(Tasks[[#This Row],[_IsLeaf]]=1),"",IF(N(Tasks[[#This Row],[_Days]])&lt;=0,Tasks[[#This Row],[_LeafCalcStart]],WORKDAY.INTL(Tasks[[#This Row],[_LeafCalcStart]],Tasks[[#This Row],[_Days]]-1,WorkWeek,Holidays)))</f>
        <v/>
      </c>
      <c r="CS9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0" s="42">
        <f>IF(Tasks[[#This Row],[_Predecessors]]="","",TRIM(MID(SUBSTITUTE(SUBSTITUTE(SUBSTITUTE(UPPER(Tasks[[#This Row],[_Predecessors]]),";",",")," ",""),",",REPT(" ",99)),1,99)))</f>
        <v/>
      </c>
      <c r="CV90" s="42">
        <f>IF(Tasks[[#This Row],[_Pred1Text]]="","",IFERROR(VALUE(LEFT(Tasks[[#This Row],[_Pred1Text]],MIN(FIND("F",Tasks[[#This Row],[_Pred1Text]]&amp;"F"),FIND("S",Tasks[[#This Row],[_Pred1Text]]&amp;"S"),FIND("+",Tasks[[#This Row],[_Pred1Text]]&amp;"+"),FIND("-",Tasks[[#This Row],[_Pred1Text]]&amp;"-"))-1)),""))</f>
        <v/>
      </c>
      <c r="CW9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0" s="42">
        <f>IF(Tasks[[#This Row],[_Pred1Text]]="","",TRIM(MID(SUBSTITUTE(SUBSTITUTE(SUBSTITUTE(UPPER(Tasks[[#This Row],[_Predecessors]]),";",",")," ",""),",",REPT(" ",99)),100,99)))</f>
        <v/>
      </c>
      <c r="CZ90" s="42">
        <f>IF(Tasks[[#This Row],[_Pred2Text]]="","",IFERROR(VALUE(LEFT(Tasks[[#This Row],[_Pred2Text]],MIN(FIND("F",Tasks[[#This Row],[_Pred2Text]]&amp;"F"),FIND("S",Tasks[[#This Row],[_Pred2Text]]&amp;"S"),FIND("+",Tasks[[#This Row],[_Pred2Text]]&amp;"+"),FIND("-",Tasks[[#This Row],[_Pred2Text]]&amp;"-"))-1)),""))</f>
        <v/>
      </c>
      <c r="DA9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0" s="42">
        <f>IF(Tasks[[#This Row],[_Pred2Text]]="","",TRIM(MID(SUBSTITUTE(SUBSTITUTE(SUBSTITUTE(UPPER(Tasks[[#This Row],[_Predecessors]]),";",",")," ",""),",",REPT(" ",99)),199,99)))</f>
        <v/>
      </c>
      <c r="DD90" s="42">
        <f>IF(Tasks[[#This Row],[_Pred3Text]]="","",IFERROR(VALUE(LEFT(Tasks[[#This Row],[_Pred3Text]],MIN(FIND("F",Tasks[[#This Row],[_Pred3Text]]&amp;"F"),FIND("S",Tasks[[#This Row],[_Pred3Text]]&amp;"S"),FIND("+",Tasks[[#This Row],[_Pred3Text]]&amp;"+"),FIND("-",Tasks[[#This Row],[_Pred3Text]]&amp;"-"))-1)),""))</f>
        <v/>
      </c>
      <c r="DE9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0" s="42">
        <f>IF(Tasks[[#This Row],[_Pred3Text]]="","",TRIM(MID(SUBSTITUTE(SUBSTITUTE(SUBSTITUTE(UPPER(Tasks[[#This Row],[_Predecessors]]),";",",")," ",""),",",REPT(" ",99)),298,99)))</f>
        <v/>
      </c>
      <c r="DH90" s="42">
        <f>IF(Tasks[[#This Row],[_Pred4Text]]="","",IFERROR(VALUE(LEFT(Tasks[[#This Row],[_Pred4Text]],MIN(FIND("F",Tasks[[#This Row],[_Pred4Text]]&amp;"F"),FIND("S",Tasks[[#This Row],[_Pred4Text]]&amp;"S"),FIND("+",Tasks[[#This Row],[_Pred4Text]]&amp;"+"),FIND("-",Tasks[[#This Row],[_Pred4Text]]&amp;"-"))-1)),""))</f>
        <v/>
      </c>
      <c r="DI9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0" s="42">
        <f>IF(OR(Tasks[[#This Row],[Task Name]]="",Tasks[[#This Row],[_Resources]]=""),"",TRIM(MID(SUBSTITUTE(Tasks[[#This Row],[_Resources]],",",REPT(" ",99)),1,99)))</f>
        <v/>
      </c>
      <c r="DL90" s="42">
        <f>IF(Tasks[[#This Row],[_Res1Text]]="","",TRIM(MID(SUBSTITUTE(Tasks[[#This Row],[_Resources]],",",REPT(" ",99)),100,99)))</f>
        <v/>
      </c>
      <c r="DM90" s="42">
        <f>IF(Tasks[[#This Row],[_Res2Text]]="","",TRIM(MID(SUBSTITUTE(Tasks[[#This Row],[_Resources]],",",REPT(" ",99)),199,99)))</f>
        <v/>
      </c>
      <c r="DN90" s="42">
        <f>IF(Tasks[[#This Row],[_Res3Text]]="","",TRIM(MID(SUBSTITUTE(Tasks[[#This Row],[_Resources]],",",REPT(" ",99)),298,99)))</f>
        <v/>
      </c>
      <c r="DO90" s="42">
        <f>IF(Tasks[[#This Row],[_Res1Text]]="",0,IFERROR(MATCH(TRIM(LEFT(Tasks[[#This Row],[_Res1Text]],FIND("[",Tasks[[#This Row],[_Res1Text]]&amp;"[")-1)),res_Name,0),IFERROR(MATCH(TRIM(LEFT(Tasks[[#This Row],[_Res1Text]],FIND("[",Tasks[[#This Row],[_Res1Text]]&amp;"[")-1)),res_Initials,0),0)))</f>
        <v/>
      </c>
      <c r="DP90" s="42">
        <f>IF(Tasks[[#This Row],[_Res2Text]]="",0,IFERROR(MATCH(TRIM(LEFT(Tasks[[#This Row],[_Res2Text]],FIND("[",Tasks[[#This Row],[_Res2Text]]&amp;"[")-1)),res_Name,0),IFERROR(MATCH(TRIM(LEFT(Tasks[[#This Row],[_Res2Text]],FIND("[",Tasks[[#This Row],[_Res2Text]]&amp;"[")-1)),res_Initials,0),0)))</f>
        <v/>
      </c>
      <c r="DQ90" s="42">
        <f>IF(Tasks[[#This Row],[_Res3Text]]="",0,IFERROR(MATCH(TRIM(LEFT(Tasks[[#This Row],[_Res3Text]],FIND("[",Tasks[[#This Row],[_Res3Text]]&amp;"[")-1)),res_Name,0),IFERROR(MATCH(TRIM(LEFT(Tasks[[#This Row],[_Res3Text]],FIND("[",Tasks[[#This Row],[_Res3Text]]&amp;"[")-1)),res_Initials,0),0)))</f>
        <v/>
      </c>
      <c r="DR90" s="42">
        <f>IF(Tasks[[#This Row],[_Res4Text]]="",0,IFERROR(MATCH(TRIM(LEFT(Tasks[[#This Row],[_Res4Text]],FIND("[",Tasks[[#This Row],[_Res4Text]]&amp;"[")-1)),res_Name,0),IFERROR(MATCH(TRIM(LEFT(Tasks[[#This Row],[_Res4Text]],FIND("[",Tasks[[#This Row],[_Res4Text]]&amp;"[")-1)),res_Initials,0),0)))</f>
        <v/>
      </c>
      <c r="DS90" s="42">
        <f>IF(Tasks[[#This Row],[_Res1Text]]="","",IF(Tasks[[#This Row],[_Res1Row]]&gt;0,INDEX(res_Name,Tasks[[#This Row],[_Res1Row]]),TRIM(LEFT(Tasks[[#This Row],[_Res1Text]],FIND("[",Tasks[[#This Row],[_Res1Text]]&amp;"[")-1))))</f>
        <v/>
      </c>
      <c r="DT9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0" s="42">
        <f>IF(NOT(Tasks[[#This Row],[_IsLeaf]]=1),0,(Tasks[[#This Row],[_Resource1]]&lt;&gt;"")+(Tasks[[#This Row],[_Res2]]&lt;&gt;"")+(Tasks[[#This Row],[_Res3]]&lt;&gt;"")+(Tasks[[#This Row],[_Res4]]&lt;&gt;""))</f>
        <v/>
      </c>
      <c r="DV90" s="42">
        <f>IF(Tasks[[#This Row],[_Res2Text]]="","",IF(Tasks[[#This Row],[_Res2Row]]&gt;0,INDEX(res_Name,Tasks[[#This Row],[_Res2Row]]),TRIM(LEFT(Tasks[[#This Row],[_Res2Text]],FIND("[",Tasks[[#This Row],[_Res2Text]]&amp;"[")-1))))</f>
        <v/>
      </c>
      <c r="DW9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0" s="42">
        <f>IF(OR(NOT(Tasks[[#This Row],[_IsLeaf]]=1),Tasks[[#This Row],[_Res2Row]]=0),0,N(Tasks[[#This Row],[_Days]])*HoursPerDay*IF(Tasks[[#This Row],[_Res2Units]]="",DefaultUnits,Tasks[[#This Row],[_Res2Units]]))</f>
        <v/>
      </c>
      <c r="DY90" s="42">
        <f>IF(AND(AND(Tasks[[#This Row],[_IsLeaf]]=1,Tasks[[#This Row],[_LeafTotalWork]]&gt;0),Tasks[[#This Row],[_Res2Work]]&gt;0),Tasks[[#This Row],[_Res2Work]]/(Tasks[[#This Row],[_FinishWorkday]]-Tasks[[#This Row],[_StartWorkday]]+1),0)</f>
        <v/>
      </c>
      <c r="DZ90" s="42">
        <f>Tasks[[#This Row],[_Res2WorkPerWD]]*MAX(0,Tasks[[#This Row],[_StartWorkday]]-1)</f>
        <v/>
      </c>
      <c r="EA90" s="42">
        <f>Tasks[[#This Row],[_Res2Work]]*Tasks[[#This Row],[_LeafProgress]]</f>
        <v/>
      </c>
      <c r="EB90" s="42">
        <f>IF(Tasks[[#This Row],[_Res3Text]]="","",IF(Tasks[[#This Row],[_Res3Row]]&gt;0,INDEX(res_Name,Tasks[[#This Row],[_Res3Row]]),TRIM(LEFT(Tasks[[#This Row],[_Res3Text]],FIND("[",Tasks[[#This Row],[_Res3Text]]&amp;"[")-1))))</f>
        <v/>
      </c>
      <c r="EC9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0" s="42">
        <f>IF(OR(NOT(Tasks[[#This Row],[_IsLeaf]]=1),Tasks[[#This Row],[_Res3Row]]=0),0,N(Tasks[[#This Row],[_Days]])*HoursPerDay*IF(Tasks[[#This Row],[_Res3Units]]="",DefaultUnits,Tasks[[#This Row],[_Res3Units]]))</f>
        <v/>
      </c>
      <c r="EE90" s="42">
        <f>IF(AND(AND(Tasks[[#This Row],[_IsLeaf]]=1,Tasks[[#This Row],[_LeafTotalWork]]&gt;0),Tasks[[#This Row],[_Res3Work]]&gt;0),Tasks[[#This Row],[_Res3Work]]/(Tasks[[#This Row],[_FinishWorkday]]-Tasks[[#This Row],[_StartWorkday]]+1),0)</f>
        <v/>
      </c>
      <c r="EF90" s="42">
        <f>Tasks[[#This Row],[_Res3WorkPerWD]]*MAX(0,Tasks[[#This Row],[_StartWorkday]]-1)</f>
        <v/>
      </c>
      <c r="EG90" s="42">
        <f>Tasks[[#This Row],[_Res3Work]]*Tasks[[#This Row],[_LeafProgress]]</f>
        <v/>
      </c>
      <c r="EH90" s="42">
        <f>IF(Tasks[[#This Row],[_Res4Text]]="","",IF(Tasks[[#This Row],[_Res4Row]]&gt;0,INDEX(res_Name,Tasks[[#This Row],[_Res4Row]]),TRIM(LEFT(Tasks[[#This Row],[_Res4Text]],FIND("[",Tasks[[#This Row],[_Res4Text]]&amp;"[")-1))))</f>
        <v/>
      </c>
      <c r="EI9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0" s="42">
        <f>IF(OR(NOT(Tasks[[#This Row],[_IsLeaf]]=1),Tasks[[#This Row],[_Res4Row]]=0),0,N(Tasks[[#This Row],[_Days]])*HoursPerDay*IF(Tasks[[#This Row],[_Res4Units]]="",DefaultUnits,Tasks[[#This Row],[_Res4Units]]))</f>
        <v/>
      </c>
      <c r="EK90" s="42">
        <f>IF(AND(AND(Tasks[[#This Row],[_IsLeaf]]=1,Tasks[[#This Row],[_LeafTotalWork]]&gt;0),Tasks[[#This Row],[_Res4Work]]&gt;0),Tasks[[#This Row],[_Res4Work]]/(Tasks[[#This Row],[_FinishWorkday]]-Tasks[[#This Row],[_StartWorkday]]+1),0)</f>
        <v/>
      </c>
      <c r="EL90" s="42">
        <f>Tasks[[#This Row],[_Res4WorkPerWD]]*MAX(0,Tasks[[#This Row],[_StartWorkday]]-1)</f>
        <v/>
      </c>
      <c r="EM90" s="42">
        <f>Tasks[[#This Row],[_Res4Work]]*Tasks[[#This Row],[_LeafProgress]]</f>
        <v/>
      </c>
      <c r="EN90" s="42">
        <f>IF(ISNUMBER(Tasks[[#This Row],[% Complete]]),Tasks[[#This Row],[% Complete]],IF(Tasks[[#This Row],[Stage]]="",0,IFERROR(INDEX(stg_Pct,MATCH(Tasks[[#This Row],[Stage]],stg_Name,0)),0)))</f>
        <v/>
      </c>
      <c r="EO90" s="42">
        <f>IF(NOT(Tasks[[#This Row],[_IsLeaf]]=1),0,IF(N(Tasks[[#This Row],[Actual Finish]])&gt;0,1,MIN(1,Tasks[[#This Row],[_Pct]])))</f>
        <v/>
      </c>
      <c r="EP90" s="42">
        <f>IF(OR(NOT(Tasks[[#This Row],[_IsLeaf]]=1),Tasks[[#This Row],[_Res1Row]]=0),0,N(Tasks[[#This Row],[_Days]])*HoursPerDay*IF(Tasks[[#This Row],[_Units1]]="",DefaultUnits,Tasks[[#This Row],[_Units1]]))</f>
        <v/>
      </c>
      <c r="EQ90" s="42">
        <f>Tasks[[#This Row],[_LeafWork]]+Tasks[[#This Row],[_Res2Work]]+Tasks[[#This Row],[_Res3Work]]+Tasks[[#This Row],[_Res4Work]]</f>
        <v/>
      </c>
      <c r="ER9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0" s="42">
        <f>IF(NOT(Tasks[[#This Row],[_IsLeaf]]=1),0,MAX(_xlfn.MAXIFS(Tasks[_Row],Tasks[_Pred1UID],Tasks[[#This Row],[UID]]),_xlfn.MAXIFS(Tasks[_Row],Tasks[_Pred2UID],Tasks[[#This Row],[UID]]),_xlfn.MAXIFS(Tasks[_Row],Tasks[_Pred3UID],Tasks[[#This Row],[UID]]),_xlfn.MAXIFS(Tasks[_Row],Tasks[_Pred4UID],Tasks[[#This Row],[UID]])))</f>
        <v/>
      </c>
      <c r="FA9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0" s="88">
        <f>IF(NOT(Tasks[[#This Row],[_IsLeaf]]=1),"",IF(N(Tasks[[#This Row],[_Days]])&lt;=0,Tasks[[#This Row],[_LeafLateFinish]],WORKDAY.INTL(Tasks[[#This Row],[_LeafLateFinish]],-(Tasks[[#This Row],[_Days]]-1),WorkWeek,Holidays)))</f>
        <v/>
      </c>
      <c r="FD9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0" s="42">
        <f>AND(Tasks[[#This Row],[_IsLeaf]]=1,Tasks[[#This Row],[_LeafProgress]]&lt;1,N(Tasks[[#This Row],[_LeafTotalSlack]])&lt;=CriticalSlackDays)</f>
        <v/>
      </c>
      <c r="FF90" s="42">
        <f>IF(AND(Tasks[[#This Row],[_IsLeaf]]=1,Tasks[[#This Row],[_ConstraintCode]]=1,Tasks[[#This Row],[Mode]]&lt;&gt;"Manual",N(Tasks[[#This Row],[Actual Start]])=0),MAX(0,N(Tasks[[#This Row],[Free Slack]])),0)</f>
        <v/>
      </c>
      <c r="FG90" s="88">
        <f>IF(NOT(Tasks[[#This Row],[_IsLeaf]]=1),"",IF(Tasks[[#This Row],[_AlapShift]]=0,Tasks[[#This Row],[_LeafCalcStart]],WORKDAY.INTL(Tasks[[#This Row],[_LeafCalcStart]],Tasks[[#This Row],[_AlapShift]],WorkWeek,Holidays)))</f>
        <v/>
      </c>
      <c r="FH90" s="88">
        <f>IF(NOT(Tasks[[#This Row],[_IsLeaf]]=1),"",IF(Tasks[[#This Row],[_AlapShift]]=0,Tasks[[#This Row],[_LeafCalcFinish]],WORKDAY.INTL(Tasks[[#This Row],[_LeafCalcFinish]],Tasks[[#This Row],[_AlapShift]],WorkWeek,Holidays)))</f>
        <v/>
      </c>
      <c r="FI90" s="88">
        <f>IF(NOT(Tasks[[#This Row],[_IsLeaf]]=1),"",IF(Tasks[[#This Row],[_AlapShift]]=0,Tasks[[#This Row],[_LeafFcstStart]],WORKDAY.INTL(Tasks[[#This Row],[_LeafFcstStart]],Tasks[[#This Row],[_AlapShift]],WorkWeek,Holidays)))</f>
        <v/>
      </c>
      <c r="FJ90" s="88">
        <f>IF(NOT(Tasks[[#This Row],[_IsLeaf]]=1),"",IF(Tasks[[#This Row],[_AlapShift]]=0,Tasks[[#This Row],[_LeafFcstFinish]],WORKDAY.INTL(Tasks[[#This Row],[_LeafFcstFinish]],Tasks[[#This Row],[_AlapShift]],WorkWeek,Holidays)))</f>
        <v/>
      </c>
      <c r="FK90" s="88">
        <f>IF(Tasks[[#This Row],[Task Name]]="","",IF(Tasks[[#This Row],[_IsSummary]],MIN(INDEX(Tasks[_ShownCalcStart],Tasks[[#This Row],[_Row]]+1):INDEX(Tasks[_ShownCalcStart],Tasks[[#This Row],[_Row]]+Tasks[[#This Row],[_Descendants]])),Tasks[[#This Row],[_ShownCalcStart]]))</f>
        <v/>
      </c>
      <c r="FL90" s="88">
        <f>IF(Tasks[[#This Row],[Task Name]]="","",IF(Tasks[[#This Row],[_IsSummary]],MAX(INDEX(Tasks[_ShownCalcFinish],Tasks[[#This Row],[_Row]]+1):INDEX(Tasks[_ShownCalcFinish],Tasks[[#This Row],[_Row]]+Tasks[[#This Row],[_Descendants]])),Tasks[[#This Row],[_ShownCalcFinish]]))</f>
        <v/>
      </c>
      <c r="FM9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0" s="42">
        <f>IF(AND(Tasks[[#This Row],[_IsLeaf]]=1,Tasks[[#This Row],[_LeafTotalWork]]&gt;0),NETWORKDAYS.INTL(ProjectStart,Tasks[[#This Row],[_ShownFcstStart]],WorkWeek,Holidays),0)</f>
        <v/>
      </c>
      <c r="FZ90" s="42">
        <f>IF(AND(Tasks[[#This Row],[_IsLeaf]]=1,Tasks[[#This Row],[_LeafTotalWork]]&gt;0),MAX(Tasks[[#This Row],[_StartWorkday]],NETWORKDAYS.INTL(ProjectStart,Tasks[[#This Row],[_ShownFcstFinish]],WorkWeek,Holidays)),0)</f>
        <v/>
      </c>
      <c r="GA90" s="42">
        <f>IF(AND(Tasks[[#This Row],[_IsLeaf]]=1,Tasks[[#This Row],[_LeafTotalWork]]&gt;0),Tasks[[#This Row],[_LeafWork]]/(Tasks[[#This Row],[_FinishWorkday]]-Tasks[[#This Row],[_StartWorkday]]+1),0)</f>
        <v/>
      </c>
      <c r="GB90" s="42">
        <f>Tasks[[#This Row],[_WorkPerWorkday]]*(Tasks[[#This Row],[_StartWorkday]]-1)</f>
        <v/>
      </c>
      <c r="GC90" s="42">
        <f>IF(Tasks[[#This Row],[_IsLeaf]]=1,MAX(N(Tasks[[#This Row],[_Days]]),0.1),0)</f>
        <v/>
      </c>
      <c r="GD90" s="42">
        <f>Tasks[[#This Row],[_WeightDur]]*Tasks[[#This Row],[_LeafProgress]]</f>
        <v/>
      </c>
      <c r="GE90" s="42">
        <f>Tasks[[#This Row],[_WeightDur]]*Tasks[[#This Row],[_PlannedPct]]</f>
        <v/>
      </c>
      <c r="GF9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0" s="42">
        <f>IF(AND(Tasks[[#This Row],[_IsLeaf]]=1,N(Tasks[[#This Row],[_Days]])=0,Tasks[[#This Row],[_LeafProgress]]&lt;1),Tasks[[#This Row],[_ShownFcstFinish]]+Tasks[[#This Row],[_Row]]/100000,"")</f>
        <v/>
      </c>
      <c r="GH9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0" s="42">
        <f>IF(Tasks[[#This Row],[Task Name]]="","",LEFT(Tasks[[#This Row],[WBS]],FIND(".",Tasks[[#This Row],[WBS]]&amp;".")-1))</f>
        <v/>
      </c>
      <c r="GJ90" s="42">
        <f>IF(AND(Tasks[[#This Row],[Task Name]]&lt;&gt;"",Tasks[[#This Row],[_Level]]=1),Tasks[[#This Row],[_Row]],"")</f>
        <v/>
      </c>
      <c r="GK90" s="42">
        <f>IF(AND(Tasks[[#This Row],[_IsLeaf]]=1,N(Tasks[[#This Row],[_Days]])=0),Tasks[[#This Row],[Planned Finish]]+Tasks[[#This Row],[_Row]]/100000,"")</f>
        <v/>
      </c>
      <c r="GL90" s="42">
        <f>IF(AND(Tasks[[#This Row],[_IsLeaf]]=1,Tasks[[#This Row],[_LeafProgress]]&lt;1,OR(N(Tasks[[#This Row],[Finish Var]])&gt;0,Tasks[[#This Row],[Status]]="Late Start")),MAX(0,Tasks[[#This Row],[Finish Var]])+1-Tasks[[#This Row],[_Row]]/1000000,"")</f>
        <v/>
      </c>
      <c r="GM90" s="42">
        <f>IF(AND(Tasks[[#This Row],[_IsLeaf]]=1,N(Tasks[[#This Row],[Actual Start]])=0,Tasks[[#This Row],[_ShownFcstStart]]&gt;=StatusDate,Tasks[[#This Row],[_ShownFcstStart]]&lt;=LookaheadEnd),Tasks[[#This Row],[_ShownFcstStart]]+Tasks[[#This Row],[_Row]]/100000,"")</f>
        <v/>
      </c>
      <c r="GN90" s="42">
        <f>IF(AND(Tasks[[#This Row],[_IsLeaf]]=1,Tasks[[#This Row],[_LeafProgress]]&lt;1,Tasks[[#This Row],[_ShownFcstFinish]]&gt;=StatusDate,Tasks[[#This Row],[_ShownFcstFinish]]&lt;=LookaheadEnd),Tasks[[#This Row],[_ShownFcstFinish]]+Tasks[[#This Row],[_Row]]/100000,"")</f>
        <v/>
      </c>
      <c r="GO90" s="42">
        <f>IF(Tasks[[#This Row],[_LeafCritical]],Tasks[[#This Row],[_ShownFcstStart]]+Tasks[[#This Row],[_Row]]/100000,"")</f>
        <v/>
      </c>
      <c r="GP90" s="42">
        <f>Tasks[[#This Row],[_LeafWork]]*Tasks[[#This Row],[_LeafProgress]]</f>
        <v/>
      </c>
      <c r="GQ90" s="88">
        <f>IF(AND(Tasks[[#This Row],[_IsLeaf]]=1,Tasks[[#This Row],[_LeafProgress]]&gt;=1),IF(N(Tasks[[#This Row],[Actual Finish]])&gt;0,Tasks[[#This Row],[Actual Finish]],Tasks[[#This Row],[_ShownFcstFinish]]),"")</f>
        <v/>
      </c>
      <c r="GR90" s="42">
        <f>IF(Tasks[[#This Row],[_IsLeaf]]=1,N(Tasks[[#This Row],[Story Points]]),0)</f>
        <v/>
      </c>
      <c r="GS90" s="42">
        <f>""</f>
        <v/>
      </c>
      <c r="GT90" s="42">
        <f>IF(Tasks[[#This Row],[Task Name]]="",FALSE(),AND(Tasks[[#This Row],[_IsLeaf]]=1,N(Tasks[[#This Row],[_Days]])=0))</f>
        <v/>
      </c>
      <c r="GU90" s="88">
        <f>IF(Tasks[[#This Row],[Task Name]]="",0,IF(AND(Tasks[[#This Row],[_IsLeaf]]=1,NOT(Tasks[[#This Row],[_IsMilestone]]),N(Tasks[[#This Row],[Progress]])&gt;0),Tasks[[#This Row],[Start]],0))</f>
        <v/>
      </c>
      <c r="GV90" s="88">
        <f>IF(Tasks[[#This Row],[_DoneFrom]]=0,0,IF(Tasks[[#This Row],[Progress]]&gt;=1,Tasks[[#This Row],[Finish]],MAX(Tasks[[#This Row],[_DoneFrom]],Tasks[[#This Row],[Start]]+ROUND((Tasks[[#This Row],[Finish]]-Tasks[[#This Row],[Start]]+1)*Tasks[[#This Row],[Progress]],0)-1)))</f>
        <v/>
      </c>
      <c r="GW90" s="88">
        <f>IF(Tasks[[#This Row],[Task Name]]="",0,IF(OR(NOT(Tasks[[#This Row],[_IsLeaf]]=1),Tasks[[#This Row],[_IsMilestone]],N(Tasks[[#This Row],[Progress]])&gt;=1),0,IF(Tasks[[#This Row],[_DoneTo]]&gt;0,Tasks[[#This Row],[_DoneTo]]+1,Tasks[[#This Row],[Start]])))</f>
        <v/>
      </c>
      <c r="GX90" s="88">
        <f>IF(Tasks[[#This Row],[_RemFrom]]=0,0,Tasks[[#This Row],[Finish]])</f>
        <v/>
      </c>
      <c r="GY90" s="42">
        <f>IF(Tasks[[#This Row],[Task Name]]="",FALSE(),OR(NOT(BaselineSet),N(Tasks[[#This Row],[Baseline Start]])&gt;0))</f>
        <v/>
      </c>
      <c r="GZ90" s="42">
        <f>IF(AND(Sandbox="Yes",L_PARSE_DURATION(Tasks[[#This Row],[Sandbox Duration]])&lt;&gt;""),L_PARSE_DURATION(Tasks[[#This Row],[Sandbox Duration]]),L_PARSE_DURATION(Tasks[[#This Row],[Duration]]))</f>
        <v/>
      </c>
      <c r="HA9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0" s="42">
        <f>IF(Tasks[[#This Row],[_IsLeaf]]=1,Tasks[[#This Row],[_Row]],"")</f>
        <v/>
      </c>
      <c r="HD90" s="42">
        <f>IFERROR(INDEX(Tasks[UID],SMALL(Tasks[_PickKey],Tasks[[#This Row],[_Row]]))&amp;" "&amp;INDEX(Tasks[Task Name],SMALL(Tasks[_PickKey],Tasks[[#This Row],[_Row]])),"")</f>
        <v/>
      </c>
      <c r="HE90" s="42">
        <f>IF(Tasks[[#This Row],[Task Name]]="","",IF(Tasks[[#This Row],[_IsSummary]],NETWORKDAYS.INTL(Tasks[[#This Row],[Start]],Tasks[[#This Row],[Finish]],WorkWeek,Holidays),N(Tasks[[#This Row],[_Days]])))</f>
        <v/>
      </c>
      <c r="HF90" s="42">
        <f>IF(Tasks[[#This Row],[Expected]]="",0,((Tasks[[#This Row],[Pessimistic]]-Tasks[[#This Row],[Optimistic]])/6)^2)</f>
        <v/>
      </c>
      <c r="HG90" s="42">
        <f>IF(Tasks[[#This Row],[Expected]]="",0,Tasks[[#This Row],[Expected]]-N(Tasks[[#This Row],[_Days]]))</f>
        <v/>
      </c>
    </row>
    <row r="91">
      <c r="A91" s="21">
        <f>IF(Tasks[[#This Row],[Task Name]]="","",COUNTA(Tasks[[#Headers],[Task Name]]:Tasks[[#This Row],[Task Name]])-1)</f>
        <v/>
      </c>
      <c r="B91" s="22" t="n">
        <v>99</v>
      </c>
      <c r="C91" s="22" t="n"/>
      <c r="D91" s="23" t="n"/>
      <c r="E91" s="22" t="n"/>
      <c r="F91" s="23" t="n"/>
      <c r="G91" s="22" t="n"/>
      <c r="H91" s="22" t="n"/>
      <c r="I91" s="23" t="n"/>
      <c r="J91" s="22" t="n"/>
      <c r="K91" s="22" t="n"/>
      <c r="L91" s="23" t="n"/>
      <c r="M91" s="22" t="n"/>
      <c r="N91" s="22" t="n"/>
      <c r="O91" s="23" t="n"/>
      <c r="P91" s="22" t="n"/>
      <c r="Q91" s="22" t="n"/>
      <c r="R91" s="23" t="n"/>
      <c r="S91" s="23" t="n"/>
      <c r="T91" s="82" t="n"/>
      <c r="U91" s="23" t="n"/>
      <c r="V91" s="82" t="n"/>
      <c r="W91" s="23" t="n"/>
      <c r="X91" s="82" t="n"/>
      <c r="Y91" s="23" t="n"/>
      <c r="Z91" s="82" t="n"/>
      <c r="AA91" s="23" t="n"/>
      <c r="AB91" s="23" t="n"/>
      <c r="AC91" s="7" t="n"/>
      <c r="AD91" s="7" t="n"/>
      <c r="AE91" s="61">
        <f>IF(Tasks[[#This Row],[Task Name]]="","",IF(Tasks[[#This Row],[_IsSummary]],MIN(INDEX(Tasks[_ShownFcstStart],Tasks[[#This Row],[_Row]]+1):INDEX(Tasks[_ShownFcstStart],Tasks[[#This Row],[_Row]]+Tasks[[#This Row],[_Descendants]])),Tasks[[#This Row],[_ShownFcstStart]]))</f>
        <v/>
      </c>
      <c r="AF91" s="61">
        <f>IF(Tasks[[#This Row],[Task Name]]="","",IF(Tasks[[#This Row],[_IsSummary]],MAX(INDEX(Tasks[_ShownFcstFinish],Tasks[[#This Row],[_Row]]+1):INDEX(Tasks[_ShownFcstFinish],Tasks[[#This Row],[_Row]]+Tasks[[#This Row],[_Descendants]])),Tasks[[#This Row],[_ShownFcstFinish]]))</f>
        <v/>
      </c>
      <c r="AG91" s="21">
        <f>""</f>
        <v/>
      </c>
      <c r="AH91" s="23" t="n"/>
      <c r="AI9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1" s="7" t="n"/>
      <c r="AK91" s="22" t="n"/>
      <c r="AL91" s="23" t="n"/>
      <c r="AM91" s="7" t="n"/>
      <c r="AN91" s="21">
        <f>IF(Tasks[[#This Row],[Task Name]]="","",IF(Tasks[[#This Row],[Finish]]&gt;=Tasks[[#This Row],[Planned Finish]],NETWORKDAYS.INTL(Tasks[[#This Row],[Planned Finish]],Tasks[[#This Row],[Finish]],WorkWeek,Holidays)-1,1-NETWORKDAYS.INTL(Tasks[[#This Row],[Finish]],Tasks[[#This Row],[Planned Finish]],WorkWeek,Holidays)))</f>
        <v/>
      </c>
      <c r="AO91" s="21">
        <f>IF(Tasks[[#This Row],[Task Name]]="","",IF(Tasks[[#This Row],[Progress]]&gt;=1,"Complete",IF(OR(N(Tasks[[#This Row],[Actual Start]])&gt;0,Tasks[[#This Row],[Progress]]&gt;0),IF(Tasks[[#This Row],[Finish Var]]&gt;0,"Behind","In Progress"),IF(Tasks[[#This Row],[Planned Start]]&lt;StatusDate,"Late Start","Not Started"))))</f>
        <v/>
      </c>
      <c r="AP91" s="21">
        <f>IF(Tasks[[#This Row],[Task Name]]="","",IF(IF(Tasks[[#This Row],[_IsSummary]],COUNTIF(INDEX(Tasks[_LeafCritical],Tasks[[#This Row],[_Row]]+1):INDEX(Tasks[_LeafCritical],Tasks[[#This Row],[_Row]]+Tasks[[#This Row],[_Descendants]]),TRUE())&gt;0,Tasks[[#This Row],[_LeafCritical]]),"Yes",""))</f>
        <v/>
      </c>
      <c r="AQ91" s="61">
        <f>IF(Tasks[[#This Row],[Task Name]]="","",IF(N(Tasks[[#This Row],[Baseline Start]])&gt;0,Tasks[[#This Row],[Baseline Start]],Tasks[[#This Row],[_CalcStart]]))</f>
        <v/>
      </c>
      <c r="AR91" s="61">
        <f>IF(Tasks[[#This Row],[Task Name]]="","",IF(N(Tasks[[#This Row],[Baseline Finish]])&gt;0,Tasks[[#This Row],[Baseline Finish]],Tasks[[#This Row],[_CalcFinish]]))</f>
        <v/>
      </c>
      <c r="AS91" s="21">
        <f>IF(Tasks[[#This Row],[Task Name]]="","",IF(Tasks[[#This Row],[Start]]&gt;=Tasks[[#This Row],[Planned Start]],NETWORKDAYS.INTL(Tasks[[#This Row],[Planned Start]],Tasks[[#This Row],[Start]],WorkWeek,Holidays)-1,1-NETWORKDAYS.INTL(Tasks[[#This Row],[Start]],Tasks[[#This Row],[Planned Start]],WorkWeek,Holidays)))</f>
        <v/>
      </c>
      <c r="AT91" s="61">
        <f>IF(Tasks[[#This Row],[Task Name]]="","",IF(Tasks[[#This Row],[_IsSummary]],MIN(INDEX(Tasks[_LeafLateStart],Tasks[[#This Row],[_Row]]+1):INDEX(Tasks[_LeafLateStart],Tasks[[#This Row],[_Row]]+Tasks[[#This Row],[_Descendants]])),Tasks[[#This Row],[_LeafLateStart]]))</f>
        <v/>
      </c>
      <c r="AU91" s="61">
        <f>IF(Tasks[[#This Row],[Task Name]]="","",IF(Tasks[[#This Row],[_IsSummary]],MAX(INDEX(Tasks[_LeafLateFinish],Tasks[[#This Row],[_Row]]+1):INDEX(Tasks[_LeafLateFinish],Tasks[[#This Row],[_Row]]+Tasks[[#This Row],[_Descendants]])),Tasks[[#This Row],[_LeafLateFinish]]))</f>
        <v/>
      </c>
      <c r="AV91" s="21">
        <f>IF(Tasks[[#This Row],[Task Name]]="","",IF(Tasks[[#This Row],[_IsSummary]],MIN(INDEX(Tasks[_LeafTotalSlack],Tasks[[#This Row],[_Row]]+1):INDEX(Tasks[_LeafTotalSlack],Tasks[[#This Row],[_Row]]+Tasks[[#This Row],[_Descendants]])),Tasks[[#This Row],[_LeafTotalSlack]]))</f>
        <v/>
      </c>
      <c r="AW9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3" t="n"/>
      <c r="BA9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f>IF(Tasks[[#This Row],[Task Name]]="","",IF(Tasks[[#This Row],[_Level]]&lt;=OutlineShowLevel,"Yes","No"))</f>
        <v/>
      </c>
      <c r="BE91" s="84">
        <f>IF(Tasks[[#This Row],[Task Name]]="","",IF(Tasks[[#This Row],[_IsSummary]],SUM(INDEX(Tasks[_LeafTotalWork],Tasks[[#This Row],[_Row]]+1):INDEX(Tasks[_LeafTotalWork],Tasks[[#This Row],[_Row]]+Tasks[[#This Row],[_Descendants]])),Tasks[[#This Row],[_LeafTotalWork]]))</f>
        <v/>
      </c>
      <c r="BF91" s="23" t="n"/>
      <c r="BG9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f>""</f>
        <v/>
      </c>
      <c r="BI91" s="85" t="n"/>
      <c r="BJ91" s="22" t="n"/>
      <c r="BK91" s="21">
        <f>IF(OR(Tasks[[#This Row],[Task Name]]="",Tasks[[#This Row],[Baseline Duration]]=""),"",Tasks[[#This Row],[_SpanDays]]-N(Tasks[[#This Row],[Baseline Duration]]))</f>
        <v/>
      </c>
      <c r="BL91" s="84">
        <f>IF(OR(Tasks[[#This Row],[Task Name]]="",Tasks[[#This Row],[Baseline Work]]=""),"",Tasks[[#This Row],[Work]]-N(Tasks[[#This Row],[Baseline Work]]))</f>
        <v/>
      </c>
      <c r="BM91" s="61">
        <f>IF(Tasks[[#This Row],[Task Name]]="","",IF(OR(TakeBaseline="Yes",N(Tasks[[#This Row],[Baseline Start]])=0),Tasks[[#This Row],[Start]],Tasks[[#This Row],[Baseline Start]]))</f>
        <v/>
      </c>
      <c r="BN91" s="61">
        <f>IF(Tasks[[#This Row],[Task Name]]="","",IF(OR(TakeBaseline="Yes",N(Tasks[[#This Row],[Baseline Finish]])=0),Tasks[[#This Row],[Finish]],Tasks[[#This Row],[Baseline Finish]]))</f>
        <v/>
      </c>
      <c r="BO91" s="21">
        <f>IF(Tasks[[#This Row],[Task Name]]="","",IF(OR(TakeBaseline="Yes",N(Tasks[[#This Row],[Baseline Duration]])=0),Tasks[[#This Row],[_SpanDays]],Tasks[[#This Row],[Baseline Duration]]))</f>
        <v/>
      </c>
      <c r="BP91" s="84">
        <f>IF(Tasks[[#This Row],[Task Name]]="","",IF(OR(TakeBaseline="Yes",N(Tasks[[#This Row],[Baseline Work]])=0),Tasks[[#This Row],[Work]],Tasks[[#This Row],[Baseline Work]]))</f>
        <v/>
      </c>
      <c r="BQ91" s="7" t="n"/>
      <c r="BR91" s="7" t="n"/>
      <c r="BS91" s="22" t="n"/>
      <c r="BT91" s="86" t="n"/>
      <c r="BU91" s="23" t="n"/>
      <c r="BV91" s="23" t="n"/>
      <c r="BW91" s="23" t="n"/>
      <c r="BX91" s="87">
        <f>IF(AND(Tasks[[#This Row],[_IsLeaf]]=1,ISNUMBER(Tasks[[#This Row],[Optimistic]]),ISNUMBER(Tasks[[#This Row],[Pessimistic]])),ROUND((Tasks[[#This Row],[Optimistic]]+4*N(Tasks[[#This Row],[_Days]])+Tasks[[#This Row],[Pessimistic]])/6,1),"")</f>
        <v/>
      </c>
      <c r="BY91" s="85" t="n"/>
      <c r="BZ91" s="85" t="n"/>
      <c r="CA91" s="22" t="n"/>
      <c r="CB91" s="42">
        <f>IF(Tasks[[#This Row],[Task Name]]="","",MAX(1,N(Tasks[[#This Row],[Level]])))</f>
        <v/>
      </c>
      <c r="CC91" s="42">
        <f>ROW()-ROW(Tasks[[#Headers],[ID]])</f>
        <v/>
      </c>
      <c r="CD91" s="42">
        <f>IF(OR(Tasks[[#This Row],[Task Name]]="",Tasks[[#This Row],[_Level]]&lt;=1),0,IFERROR(LOOKUP(2,1/(Tasks[[#Headers],[_Level]]:Tasks[[#This Row],[_Level]]=Tasks[[#This Row],[_Level]]-1),ROW(Tasks[[#Headers],[_Level]]:Tasks[[#This Row],[_Level]])),0))</f>
        <v/>
      </c>
      <c r="CE91" s="42">
        <f>IFERROR(N(INDEX(Tasks[_Level],Tasks[[#This Row],[_Row]]+1)),0)</f>
        <v/>
      </c>
      <c r="CF91" s="42">
        <f>AND(Tasks[[#This Row],[Task Name]]&lt;&gt;"",Tasks[[#This Row],[_NextLevel]]&gt;Tasks[[#This Row],[_Level]])</f>
        <v/>
      </c>
      <c r="CG91" s="42">
        <f>IF(Tasks[[#This Row],[_IsSummary]],COUNTIF(Tasks[WBS],Tasks[[#This Row],[WBS]]&amp;".*"),0)</f>
        <v/>
      </c>
      <c r="CH91" s="42">
        <f>IF(AND(Tasks[[#This Row],[Task Name]]&lt;&gt;"",NOT(Tasks[[#This Row],[_IsSummary]])),1,0)</f>
        <v/>
      </c>
      <c r="CI91" s="42">
        <f>IF(N(Tasks[[#This Row],[_Pred1UID]])=0,0,IFERROR(MATCH(Tasks[[#This Row],[_Pred1UID]],Tasks[UID],0),-1))</f>
        <v/>
      </c>
      <c r="CJ91" s="42">
        <f>IF(N(Tasks[[#This Row],[_Pred2UID]])=0,0,IFERROR(MATCH(Tasks[[#This Row],[_Pred2UID]],Tasks[UID],0),-1))</f>
        <v/>
      </c>
      <c r="CK91" s="42">
        <f>IF(N(Tasks[[#This Row],[_Pred3UID]])=0,0,IFERROR(MATCH(Tasks[[#This Row],[_Pred3UID]],Tasks[UID],0),-1))</f>
        <v/>
      </c>
      <c r="CL91" s="42">
        <f>IF(N(Tasks[[#This Row],[_Pred4UID]])=0,0,IFERROR(MATCH(Tasks[[#This Row],[_Pred4UID]],Tasks[UID],0),-1))</f>
        <v/>
      </c>
      <c r="CM9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1" s="88">
        <f>IF(N(Tasks[[#This Row],[Constraint Date]])=0,0,IF(AND(OR(Tasks[[#This Row],[_ConstraintCode]]=3,Tasks[[#This Row],[_ConstraintCode]]=6,Tasks[[#This Row],[_ConstraintCode]]=7),N(Tasks[[#This Row],[_Days]])&gt;1),WORKDAY.INTL(N(Tasks[[#This Row],[Constraint Date]]),-(N(Tasks[[#This Row],[_Days]])-1),WorkWeek,Holidays),N(Tasks[[#This Row],[Constraint Date]])))</f>
        <v/>
      </c>
      <c r="CO91" s="88">
        <f>IF(OR(Tasks[[#This Row],[_ConstraintCode]]=2,Tasks[[#This Row],[_ConstraintCode]]=3,Tasks[[#This Row],[_ConstraintCode]]=4,Tasks[[#This Row],[_ConstraintCode]]=6),Tasks[[#This Row],[_ConstraintStart]],0)</f>
        <v/>
      </c>
      <c r="CP91" s="88">
        <f>IF(OR(Tasks[[#This Row],[_ConstraintCode]]=2,Tasks[[#This Row],[_ConstraintCode]]=3,Tasks[[#This Row],[_ConstraintCode]]=5,Tasks[[#This Row],[_ConstraintCode]]=7),Tasks[[#This Row],[_ConstraintStart]],2958465)</f>
        <v/>
      </c>
      <c r="CQ9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1" s="88">
        <f>IF(NOT(Tasks[[#This Row],[_IsLeaf]]=1),"",IF(N(Tasks[[#This Row],[_Days]])&lt;=0,Tasks[[#This Row],[_LeafCalcStart]],WORKDAY.INTL(Tasks[[#This Row],[_LeafCalcStart]],Tasks[[#This Row],[_Days]]-1,WorkWeek,Holidays)))</f>
        <v/>
      </c>
      <c r="CS9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1" s="42">
        <f>IF(Tasks[[#This Row],[_Predecessors]]="","",TRIM(MID(SUBSTITUTE(SUBSTITUTE(SUBSTITUTE(UPPER(Tasks[[#This Row],[_Predecessors]]),";",",")," ",""),",",REPT(" ",99)),1,99)))</f>
        <v/>
      </c>
      <c r="CV91" s="42">
        <f>IF(Tasks[[#This Row],[_Pred1Text]]="","",IFERROR(VALUE(LEFT(Tasks[[#This Row],[_Pred1Text]],MIN(FIND("F",Tasks[[#This Row],[_Pred1Text]]&amp;"F"),FIND("S",Tasks[[#This Row],[_Pred1Text]]&amp;"S"),FIND("+",Tasks[[#This Row],[_Pred1Text]]&amp;"+"),FIND("-",Tasks[[#This Row],[_Pred1Text]]&amp;"-"))-1)),""))</f>
        <v/>
      </c>
      <c r="CW9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1" s="42">
        <f>IF(Tasks[[#This Row],[_Pred1Text]]="","",TRIM(MID(SUBSTITUTE(SUBSTITUTE(SUBSTITUTE(UPPER(Tasks[[#This Row],[_Predecessors]]),";",",")," ",""),",",REPT(" ",99)),100,99)))</f>
        <v/>
      </c>
      <c r="CZ91" s="42">
        <f>IF(Tasks[[#This Row],[_Pred2Text]]="","",IFERROR(VALUE(LEFT(Tasks[[#This Row],[_Pred2Text]],MIN(FIND("F",Tasks[[#This Row],[_Pred2Text]]&amp;"F"),FIND("S",Tasks[[#This Row],[_Pred2Text]]&amp;"S"),FIND("+",Tasks[[#This Row],[_Pred2Text]]&amp;"+"),FIND("-",Tasks[[#This Row],[_Pred2Text]]&amp;"-"))-1)),""))</f>
        <v/>
      </c>
      <c r="DA9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1" s="42">
        <f>IF(Tasks[[#This Row],[_Pred2Text]]="","",TRIM(MID(SUBSTITUTE(SUBSTITUTE(SUBSTITUTE(UPPER(Tasks[[#This Row],[_Predecessors]]),";",",")," ",""),",",REPT(" ",99)),199,99)))</f>
        <v/>
      </c>
      <c r="DD91" s="42">
        <f>IF(Tasks[[#This Row],[_Pred3Text]]="","",IFERROR(VALUE(LEFT(Tasks[[#This Row],[_Pred3Text]],MIN(FIND("F",Tasks[[#This Row],[_Pred3Text]]&amp;"F"),FIND("S",Tasks[[#This Row],[_Pred3Text]]&amp;"S"),FIND("+",Tasks[[#This Row],[_Pred3Text]]&amp;"+"),FIND("-",Tasks[[#This Row],[_Pred3Text]]&amp;"-"))-1)),""))</f>
        <v/>
      </c>
      <c r="DE9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1" s="42">
        <f>IF(Tasks[[#This Row],[_Pred3Text]]="","",TRIM(MID(SUBSTITUTE(SUBSTITUTE(SUBSTITUTE(UPPER(Tasks[[#This Row],[_Predecessors]]),";",",")," ",""),",",REPT(" ",99)),298,99)))</f>
        <v/>
      </c>
      <c r="DH91" s="42">
        <f>IF(Tasks[[#This Row],[_Pred4Text]]="","",IFERROR(VALUE(LEFT(Tasks[[#This Row],[_Pred4Text]],MIN(FIND("F",Tasks[[#This Row],[_Pred4Text]]&amp;"F"),FIND("S",Tasks[[#This Row],[_Pred4Text]]&amp;"S"),FIND("+",Tasks[[#This Row],[_Pred4Text]]&amp;"+"),FIND("-",Tasks[[#This Row],[_Pred4Text]]&amp;"-"))-1)),""))</f>
        <v/>
      </c>
      <c r="DI9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1" s="42">
        <f>IF(OR(Tasks[[#This Row],[Task Name]]="",Tasks[[#This Row],[_Resources]]=""),"",TRIM(MID(SUBSTITUTE(Tasks[[#This Row],[_Resources]],",",REPT(" ",99)),1,99)))</f>
        <v/>
      </c>
      <c r="DL91" s="42">
        <f>IF(Tasks[[#This Row],[_Res1Text]]="","",TRIM(MID(SUBSTITUTE(Tasks[[#This Row],[_Resources]],",",REPT(" ",99)),100,99)))</f>
        <v/>
      </c>
      <c r="DM91" s="42">
        <f>IF(Tasks[[#This Row],[_Res2Text]]="","",TRIM(MID(SUBSTITUTE(Tasks[[#This Row],[_Resources]],",",REPT(" ",99)),199,99)))</f>
        <v/>
      </c>
      <c r="DN91" s="42">
        <f>IF(Tasks[[#This Row],[_Res3Text]]="","",TRIM(MID(SUBSTITUTE(Tasks[[#This Row],[_Resources]],",",REPT(" ",99)),298,99)))</f>
        <v/>
      </c>
      <c r="DO91" s="42">
        <f>IF(Tasks[[#This Row],[_Res1Text]]="",0,IFERROR(MATCH(TRIM(LEFT(Tasks[[#This Row],[_Res1Text]],FIND("[",Tasks[[#This Row],[_Res1Text]]&amp;"[")-1)),res_Name,0),IFERROR(MATCH(TRIM(LEFT(Tasks[[#This Row],[_Res1Text]],FIND("[",Tasks[[#This Row],[_Res1Text]]&amp;"[")-1)),res_Initials,0),0)))</f>
        <v/>
      </c>
      <c r="DP91" s="42">
        <f>IF(Tasks[[#This Row],[_Res2Text]]="",0,IFERROR(MATCH(TRIM(LEFT(Tasks[[#This Row],[_Res2Text]],FIND("[",Tasks[[#This Row],[_Res2Text]]&amp;"[")-1)),res_Name,0),IFERROR(MATCH(TRIM(LEFT(Tasks[[#This Row],[_Res2Text]],FIND("[",Tasks[[#This Row],[_Res2Text]]&amp;"[")-1)),res_Initials,0),0)))</f>
        <v/>
      </c>
      <c r="DQ91" s="42">
        <f>IF(Tasks[[#This Row],[_Res3Text]]="",0,IFERROR(MATCH(TRIM(LEFT(Tasks[[#This Row],[_Res3Text]],FIND("[",Tasks[[#This Row],[_Res3Text]]&amp;"[")-1)),res_Name,0),IFERROR(MATCH(TRIM(LEFT(Tasks[[#This Row],[_Res3Text]],FIND("[",Tasks[[#This Row],[_Res3Text]]&amp;"[")-1)),res_Initials,0),0)))</f>
        <v/>
      </c>
      <c r="DR91" s="42">
        <f>IF(Tasks[[#This Row],[_Res4Text]]="",0,IFERROR(MATCH(TRIM(LEFT(Tasks[[#This Row],[_Res4Text]],FIND("[",Tasks[[#This Row],[_Res4Text]]&amp;"[")-1)),res_Name,0),IFERROR(MATCH(TRIM(LEFT(Tasks[[#This Row],[_Res4Text]],FIND("[",Tasks[[#This Row],[_Res4Text]]&amp;"[")-1)),res_Initials,0),0)))</f>
        <v/>
      </c>
      <c r="DS91" s="42">
        <f>IF(Tasks[[#This Row],[_Res1Text]]="","",IF(Tasks[[#This Row],[_Res1Row]]&gt;0,INDEX(res_Name,Tasks[[#This Row],[_Res1Row]]),TRIM(LEFT(Tasks[[#This Row],[_Res1Text]],FIND("[",Tasks[[#This Row],[_Res1Text]]&amp;"[")-1))))</f>
        <v/>
      </c>
      <c r="DT9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1" s="42">
        <f>IF(NOT(Tasks[[#This Row],[_IsLeaf]]=1),0,(Tasks[[#This Row],[_Resource1]]&lt;&gt;"")+(Tasks[[#This Row],[_Res2]]&lt;&gt;"")+(Tasks[[#This Row],[_Res3]]&lt;&gt;"")+(Tasks[[#This Row],[_Res4]]&lt;&gt;""))</f>
        <v/>
      </c>
      <c r="DV91" s="42">
        <f>IF(Tasks[[#This Row],[_Res2Text]]="","",IF(Tasks[[#This Row],[_Res2Row]]&gt;0,INDEX(res_Name,Tasks[[#This Row],[_Res2Row]]),TRIM(LEFT(Tasks[[#This Row],[_Res2Text]],FIND("[",Tasks[[#This Row],[_Res2Text]]&amp;"[")-1))))</f>
        <v/>
      </c>
      <c r="DW9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1" s="42">
        <f>IF(OR(NOT(Tasks[[#This Row],[_IsLeaf]]=1),Tasks[[#This Row],[_Res2Row]]=0),0,N(Tasks[[#This Row],[_Days]])*HoursPerDay*IF(Tasks[[#This Row],[_Res2Units]]="",DefaultUnits,Tasks[[#This Row],[_Res2Units]]))</f>
        <v/>
      </c>
      <c r="DY91" s="42">
        <f>IF(AND(AND(Tasks[[#This Row],[_IsLeaf]]=1,Tasks[[#This Row],[_LeafTotalWork]]&gt;0),Tasks[[#This Row],[_Res2Work]]&gt;0),Tasks[[#This Row],[_Res2Work]]/(Tasks[[#This Row],[_FinishWorkday]]-Tasks[[#This Row],[_StartWorkday]]+1),0)</f>
        <v/>
      </c>
      <c r="DZ91" s="42">
        <f>Tasks[[#This Row],[_Res2WorkPerWD]]*MAX(0,Tasks[[#This Row],[_StartWorkday]]-1)</f>
        <v/>
      </c>
      <c r="EA91" s="42">
        <f>Tasks[[#This Row],[_Res2Work]]*Tasks[[#This Row],[_LeafProgress]]</f>
        <v/>
      </c>
      <c r="EB91" s="42">
        <f>IF(Tasks[[#This Row],[_Res3Text]]="","",IF(Tasks[[#This Row],[_Res3Row]]&gt;0,INDEX(res_Name,Tasks[[#This Row],[_Res3Row]]),TRIM(LEFT(Tasks[[#This Row],[_Res3Text]],FIND("[",Tasks[[#This Row],[_Res3Text]]&amp;"[")-1))))</f>
        <v/>
      </c>
      <c r="EC9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1" s="42">
        <f>IF(OR(NOT(Tasks[[#This Row],[_IsLeaf]]=1),Tasks[[#This Row],[_Res3Row]]=0),0,N(Tasks[[#This Row],[_Days]])*HoursPerDay*IF(Tasks[[#This Row],[_Res3Units]]="",DefaultUnits,Tasks[[#This Row],[_Res3Units]]))</f>
        <v/>
      </c>
      <c r="EE91" s="42">
        <f>IF(AND(AND(Tasks[[#This Row],[_IsLeaf]]=1,Tasks[[#This Row],[_LeafTotalWork]]&gt;0),Tasks[[#This Row],[_Res3Work]]&gt;0),Tasks[[#This Row],[_Res3Work]]/(Tasks[[#This Row],[_FinishWorkday]]-Tasks[[#This Row],[_StartWorkday]]+1),0)</f>
        <v/>
      </c>
      <c r="EF91" s="42">
        <f>Tasks[[#This Row],[_Res3WorkPerWD]]*MAX(0,Tasks[[#This Row],[_StartWorkday]]-1)</f>
        <v/>
      </c>
      <c r="EG91" s="42">
        <f>Tasks[[#This Row],[_Res3Work]]*Tasks[[#This Row],[_LeafProgress]]</f>
        <v/>
      </c>
      <c r="EH91" s="42">
        <f>IF(Tasks[[#This Row],[_Res4Text]]="","",IF(Tasks[[#This Row],[_Res4Row]]&gt;0,INDEX(res_Name,Tasks[[#This Row],[_Res4Row]]),TRIM(LEFT(Tasks[[#This Row],[_Res4Text]],FIND("[",Tasks[[#This Row],[_Res4Text]]&amp;"[")-1))))</f>
        <v/>
      </c>
      <c r="EI9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1" s="42">
        <f>IF(OR(NOT(Tasks[[#This Row],[_IsLeaf]]=1),Tasks[[#This Row],[_Res4Row]]=0),0,N(Tasks[[#This Row],[_Days]])*HoursPerDay*IF(Tasks[[#This Row],[_Res4Units]]="",DefaultUnits,Tasks[[#This Row],[_Res4Units]]))</f>
        <v/>
      </c>
      <c r="EK91" s="42">
        <f>IF(AND(AND(Tasks[[#This Row],[_IsLeaf]]=1,Tasks[[#This Row],[_LeafTotalWork]]&gt;0),Tasks[[#This Row],[_Res4Work]]&gt;0),Tasks[[#This Row],[_Res4Work]]/(Tasks[[#This Row],[_FinishWorkday]]-Tasks[[#This Row],[_StartWorkday]]+1),0)</f>
        <v/>
      </c>
      <c r="EL91" s="42">
        <f>Tasks[[#This Row],[_Res4WorkPerWD]]*MAX(0,Tasks[[#This Row],[_StartWorkday]]-1)</f>
        <v/>
      </c>
      <c r="EM91" s="42">
        <f>Tasks[[#This Row],[_Res4Work]]*Tasks[[#This Row],[_LeafProgress]]</f>
        <v/>
      </c>
      <c r="EN91" s="42">
        <f>IF(ISNUMBER(Tasks[[#This Row],[% Complete]]),Tasks[[#This Row],[% Complete]],IF(Tasks[[#This Row],[Stage]]="",0,IFERROR(INDEX(stg_Pct,MATCH(Tasks[[#This Row],[Stage]],stg_Name,0)),0)))</f>
        <v/>
      </c>
      <c r="EO91" s="42">
        <f>IF(NOT(Tasks[[#This Row],[_IsLeaf]]=1),0,IF(N(Tasks[[#This Row],[Actual Finish]])&gt;0,1,MIN(1,Tasks[[#This Row],[_Pct]])))</f>
        <v/>
      </c>
      <c r="EP91" s="42">
        <f>IF(OR(NOT(Tasks[[#This Row],[_IsLeaf]]=1),Tasks[[#This Row],[_Res1Row]]=0),0,N(Tasks[[#This Row],[_Days]])*HoursPerDay*IF(Tasks[[#This Row],[_Units1]]="",DefaultUnits,Tasks[[#This Row],[_Units1]]))</f>
        <v/>
      </c>
      <c r="EQ91" s="42">
        <f>Tasks[[#This Row],[_LeafWork]]+Tasks[[#This Row],[_Res2Work]]+Tasks[[#This Row],[_Res3Work]]+Tasks[[#This Row],[_Res4Work]]</f>
        <v/>
      </c>
      <c r="ER9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1" s="42">
        <f>IF(NOT(Tasks[[#This Row],[_IsLeaf]]=1),0,MAX(_xlfn.MAXIFS(Tasks[_Row],Tasks[_Pred1UID],Tasks[[#This Row],[UID]]),_xlfn.MAXIFS(Tasks[_Row],Tasks[_Pred2UID],Tasks[[#This Row],[UID]]),_xlfn.MAXIFS(Tasks[_Row],Tasks[_Pred3UID],Tasks[[#This Row],[UID]]),_xlfn.MAXIFS(Tasks[_Row],Tasks[_Pred4UID],Tasks[[#This Row],[UID]])))</f>
        <v/>
      </c>
      <c r="FA9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1" s="88">
        <f>IF(NOT(Tasks[[#This Row],[_IsLeaf]]=1),"",IF(N(Tasks[[#This Row],[_Days]])&lt;=0,Tasks[[#This Row],[_LeafLateFinish]],WORKDAY.INTL(Tasks[[#This Row],[_LeafLateFinish]],-(Tasks[[#This Row],[_Days]]-1),WorkWeek,Holidays)))</f>
        <v/>
      </c>
      <c r="FD9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1" s="42">
        <f>AND(Tasks[[#This Row],[_IsLeaf]]=1,Tasks[[#This Row],[_LeafProgress]]&lt;1,N(Tasks[[#This Row],[_LeafTotalSlack]])&lt;=CriticalSlackDays)</f>
        <v/>
      </c>
      <c r="FF91" s="42">
        <f>IF(AND(Tasks[[#This Row],[_IsLeaf]]=1,Tasks[[#This Row],[_ConstraintCode]]=1,Tasks[[#This Row],[Mode]]&lt;&gt;"Manual",N(Tasks[[#This Row],[Actual Start]])=0),MAX(0,N(Tasks[[#This Row],[Free Slack]])),0)</f>
        <v/>
      </c>
      <c r="FG91" s="88">
        <f>IF(NOT(Tasks[[#This Row],[_IsLeaf]]=1),"",IF(Tasks[[#This Row],[_AlapShift]]=0,Tasks[[#This Row],[_LeafCalcStart]],WORKDAY.INTL(Tasks[[#This Row],[_LeafCalcStart]],Tasks[[#This Row],[_AlapShift]],WorkWeek,Holidays)))</f>
        <v/>
      </c>
      <c r="FH91" s="88">
        <f>IF(NOT(Tasks[[#This Row],[_IsLeaf]]=1),"",IF(Tasks[[#This Row],[_AlapShift]]=0,Tasks[[#This Row],[_LeafCalcFinish]],WORKDAY.INTL(Tasks[[#This Row],[_LeafCalcFinish]],Tasks[[#This Row],[_AlapShift]],WorkWeek,Holidays)))</f>
        <v/>
      </c>
      <c r="FI91" s="88">
        <f>IF(NOT(Tasks[[#This Row],[_IsLeaf]]=1),"",IF(Tasks[[#This Row],[_AlapShift]]=0,Tasks[[#This Row],[_LeafFcstStart]],WORKDAY.INTL(Tasks[[#This Row],[_LeafFcstStart]],Tasks[[#This Row],[_AlapShift]],WorkWeek,Holidays)))</f>
        <v/>
      </c>
      <c r="FJ91" s="88">
        <f>IF(NOT(Tasks[[#This Row],[_IsLeaf]]=1),"",IF(Tasks[[#This Row],[_AlapShift]]=0,Tasks[[#This Row],[_LeafFcstFinish]],WORKDAY.INTL(Tasks[[#This Row],[_LeafFcstFinish]],Tasks[[#This Row],[_AlapShift]],WorkWeek,Holidays)))</f>
        <v/>
      </c>
      <c r="FK91" s="88">
        <f>IF(Tasks[[#This Row],[Task Name]]="","",IF(Tasks[[#This Row],[_IsSummary]],MIN(INDEX(Tasks[_ShownCalcStart],Tasks[[#This Row],[_Row]]+1):INDEX(Tasks[_ShownCalcStart],Tasks[[#This Row],[_Row]]+Tasks[[#This Row],[_Descendants]])),Tasks[[#This Row],[_ShownCalcStart]]))</f>
        <v/>
      </c>
      <c r="FL91" s="88">
        <f>IF(Tasks[[#This Row],[Task Name]]="","",IF(Tasks[[#This Row],[_IsSummary]],MAX(INDEX(Tasks[_ShownCalcFinish],Tasks[[#This Row],[_Row]]+1):INDEX(Tasks[_ShownCalcFinish],Tasks[[#This Row],[_Row]]+Tasks[[#This Row],[_Descendants]])),Tasks[[#This Row],[_ShownCalcFinish]]))</f>
        <v/>
      </c>
      <c r="FM9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1" s="42">
        <f>IF(AND(Tasks[[#This Row],[_IsLeaf]]=1,Tasks[[#This Row],[_LeafTotalWork]]&gt;0),NETWORKDAYS.INTL(ProjectStart,Tasks[[#This Row],[_ShownFcstStart]],WorkWeek,Holidays),0)</f>
        <v/>
      </c>
      <c r="FZ91" s="42">
        <f>IF(AND(Tasks[[#This Row],[_IsLeaf]]=1,Tasks[[#This Row],[_LeafTotalWork]]&gt;0),MAX(Tasks[[#This Row],[_StartWorkday]],NETWORKDAYS.INTL(ProjectStart,Tasks[[#This Row],[_ShownFcstFinish]],WorkWeek,Holidays)),0)</f>
        <v/>
      </c>
      <c r="GA91" s="42">
        <f>IF(AND(Tasks[[#This Row],[_IsLeaf]]=1,Tasks[[#This Row],[_LeafTotalWork]]&gt;0),Tasks[[#This Row],[_LeafWork]]/(Tasks[[#This Row],[_FinishWorkday]]-Tasks[[#This Row],[_StartWorkday]]+1),0)</f>
        <v/>
      </c>
      <c r="GB91" s="42">
        <f>Tasks[[#This Row],[_WorkPerWorkday]]*(Tasks[[#This Row],[_StartWorkday]]-1)</f>
        <v/>
      </c>
      <c r="GC91" s="42">
        <f>IF(Tasks[[#This Row],[_IsLeaf]]=1,MAX(N(Tasks[[#This Row],[_Days]]),0.1),0)</f>
        <v/>
      </c>
      <c r="GD91" s="42">
        <f>Tasks[[#This Row],[_WeightDur]]*Tasks[[#This Row],[_LeafProgress]]</f>
        <v/>
      </c>
      <c r="GE91" s="42">
        <f>Tasks[[#This Row],[_WeightDur]]*Tasks[[#This Row],[_PlannedPct]]</f>
        <v/>
      </c>
      <c r="GF9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1" s="42">
        <f>IF(AND(Tasks[[#This Row],[_IsLeaf]]=1,N(Tasks[[#This Row],[_Days]])=0,Tasks[[#This Row],[_LeafProgress]]&lt;1),Tasks[[#This Row],[_ShownFcstFinish]]+Tasks[[#This Row],[_Row]]/100000,"")</f>
        <v/>
      </c>
      <c r="GH9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1" s="42">
        <f>IF(Tasks[[#This Row],[Task Name]]="","",LEFT(Tasks[[#This Row],[WBS]],FIND(".",Tasks[[#This Row],[WBS]]&amp;".")-1))</f>
        <v/>
      </c>
      <c r="GJ91" s="42">
        <f>IF(AND(Tasks[[#This Row],[Task Name]]&lt;&gt;"",Tasks[[#This Row],[_Level]]=1),Tasks[[#This Row],[_Row]],"")</f>
        <v/>
      </c>
      <c r="GK91" s="42">
        <f>IF(AND(Tasks[[#This Row],[_IsLeaf]]=1,N(Tasks[[#This Row],[_Days]])=0),Tasks[[#This Row],[Planned Finish]]+Tasks[[#This Row],[_Row]]/100000,"")</f>
        <v/>
      </c>
      <c r="GL91" s="42">
        <f>IF(AND(Tasks[[#This Row],[_IsLeaf]]=1,Tasks[[#This Row],[_LeafProgress]]&lt;1,OR(N(Tasks[[#This Row],[Finish Var]])&gt;0,Tasks[[#This Row],[Status]]="Late Start")),MAX(0,Tasks[[#This Row],[Finish Var]])+1-Tasks[[#This Row],[_Row]]/1000000,"")</f>
        <v/>
      </c>
      <c r="GM91" s="42">
        <f>IF(AND(Tasks[[#This Row],[_IsLeaf]]=1,N(Tasks[[#This Row],[Actual Start]])=0,Tasks[[#This Row],[_ShownFcstStart]]&gt;=StatusDate,Tasks[[#This Row],[_ShownFcstStart]]&lt;=LookaheadEnd),Tasks[[#This Row],[_ShownFcstStart]]+Tasks[[#This Row],[_Row]]/100000,"")</f>
        <v/>
      </c>
      <c r="GN91" s="42">
        <f>IF(AND(Tasks[[#This Row],[_IsLeaf]]=1,Tasks[[#This Row],[_LeafProgress]]&lt;1,Tasks[[#This Row],[_ShownFcstFinish]]&gt;=StatusDate,Tasks[[#This Row],[_ShownFcstFinish]]&lt;=LookaheadEnd),Tasks[[#This Row],[_ShownFcstFinish]]+Tasks[[#This Row],[_Row]]/100000,"")</f>
        <v/>
      </c>
      <c r="GO91" s="42">
        <f>IF(Tasks[[#This Row],[_LeafCritical]],Tasks[[#This Row],[_ShownFcstStart]]+Tasks[[#This Row],[_Row]]/100000,"")</f>
        <v/>
      </c>
      <c r="GP91" s="42">
        <f>Tasks[[#This Row],[_LeafWork]]*Tasks[[#This Row],[_LeafProgress]]</f>
        <v/>
      </c>
      <c r="GQ91" s="88">
        <f>IF(AND(Tasks[[#This Row],[_IsLeaf]]=1,Tasks[[#This Row],[_LeafProgress]]&gt;=1),IF(N(Tasks[[#This Row],[Actual Finish]])&gt;0,Tasks[[#This Row],[Actual Finish]],Tasks[[#This Row],[_ShownFcstFinish]]),"")</f>
        <v/>
      </c>
      <c r="GR91" s="42">
        <f>IF(Tasks[[#This Row],[_IsLeaf]]=1,N(Tasks[[#This Row],[Story Points]]),0)</f>
        <v/>
      </c>
      <c r="GS91" s="42">
        <f>""</f>
        <v/>
      </c>
      <c r="GT91" s="42">
        <f>IF(Tasks[[#This Row],[Task Name]]="",FALSE(),AND(Tasks[[#This Row],[_IsLeaf]]=1,N(Tasks[[#This Row],[_Days]])=0))</f>
        <v/>
      </c>
      <c r="GU91" s="88">
        <f>IF(Tasks[[#This Row],[Task Name]]="",0,IF(AND(Tasks[[#This Row],[_IsLeaf]]=1,NOT(Tasks[[#This Row],[_IsMilestone]]),N(Tasks[[#This Row],[Progress]])&gt;0),Tasks[[#This Row],[Start]],0))</f>
        <v/>
      </c>
      <c r="GV91" s="88">
        <f>IF(Tasks[[#This Row],[_DoneFrom]]=0,0,IF(Tasks[[#This Row],[Progress]]&gt;=1,Tasks[[#This Row],[Finish]],MAX(Tasks[[#This Row],[_DoneFrom]],Tasks[[#This Row],[Start]]+ROUND((Tasks[[#This Row],[Finish]]-Tasks[[#This Row],[Start]]+1)*Tasks[[#This Row],[Progress]],0)-1)))</f>
        <v/>
      </c>
      <c r="GW91" s="88">
        <f>IF(Tasks[[#This Row],[Task Name]]="",0,IF(OR(NOT(Tasks[[#This Row],[_IsLeaf]]=1),Tasks[[#This Row],[_IsMilestone]],N(Tasks[[#This Row],[Progress]])&gt;=1),0,IF(Tasks[[#This Row],[_DoneTo]]&gt;0,Tasks[[#This Row],[_DoneTo]]+1,Tasks[[#This Row],[Start]])))</f>
        <v/>
      </c>
      <c r="GX91" s="88">
        <f>IF(Tasks[[#This Row],[_RemFrom]]=0,0,Tasks[[#This Row],[Finish]])</f>
        <v/>
      </c>
      <c r="GY91" s="42">
        <f>IF(Tasks[[#This Row],[Task Name]]="",FALSE(),OR(NOT(BaselineSet),N(Tasks[[#This Row],[Baseline Start]])&gt;0))</f>
        <v/>
      </c>
      <c r="GZ91" s="42">
        <f>IF(AND(Sandbox="Yes",L_PARSE_DURATION(Tasks[[#This Row],[Sandbox Duration]])&lt;&gt;""),L_PARSE_DURATION(Tasks[[#This Row],[Sandbox Duration]]),L_PARSE_DURATION(Tasks[[#This Row],[Duration]]))</f>
        <v/>
      </c>
      <c r="HA9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1" s="42">
        <f>IF(Tasks[[#This Row],[_IsLeaf]]=1,Tasks[[#This Row],[_Row]],"")</f>
        <v/>
      </c>
      <c r="HD91" s="42">
        <f>IFERROR(INDEX(Tasks[UID],SMALL(Tasks[_PickKey],Tasks[[#This Row],[_Row]]))&amp;" "&amp;INDEX(Tasks[Task Name],SMALL(Tasks[_PickKey],Tasks[[#This Row],[_Row]])),"")</f>
        <v/>
      </c>
      <c r="HE91" s="42">
        <f>IF(Tasks[[#This Row],[Task Name]]="","",IF(Tasks[[#This Row],[_IsSummary]],NETWORKDAYS.INTL(Tasks[[#This Row],[Start]],Tasks[[#This Row],[Finish]],WorkWeek,Holidays),N(Tasks[[#This Row],[_Days]])))</f>
        <v/>
      </c>
      <c r="HF91" s="42">
        <f>IF(Tasks[[#This Row],[Expected]]="",0,((Tasks[[#This Row],[Pessimistic]]-Tasks[[#This Row],[Optimistic]])/6)^2)</f>
        <v/>
      </c>
      <c r="HG91" s="42">
        <f>IF(Tasks[[#This Row],[Expected]]="",0,Tasks[[#This Row],[Expected]]-N(Tasks[[#This Row],[_Days]]))</f>
        <v/>
      </c>
    </row>
    <row r="92">
      <c r="A92" s="21">
        <f>IF(Tasks[[#This Row],[Task Name]]="","",COUNTA(Tasks[[#Headers],[Task Name]]:Tasks[[#This Row],[Task Name]])-1)</f>
        <v/>
      </c>
      <c r="B92" s="22" t="n">
        <v>100</v>
      </c>
      <c r="C92" s="22" t="n"/>
      <c r="D92" s="23" t="n"/>
      <c r="E92" s="22" t="n"/>
      <c r="F92" s="23" t="n"/>
      <c r="G92" s="22" t="n"/>
      <c r="H92" s="22" t="n"/>
      <c r="I92" s="23" t="n"/>
      <c r="J92" s="22" t="n"/>
      <c r="K92" s="22" t="n"/>
      <c r="L92" s="23" t="n"/>
      <c r="M92" s="22" t="n"/>
      <c r="N92" s="22" t="n"/>
      <c r="O92" s="23" t="n"/>
      <c r="P92" s="22" t="n"/>
      <c r="Q92" s="22" t="n"/>
      <c r="R92" s="23" t="n"/>
      <c r="S92" s="23" t="n"/>
      <c r="T92" s="82" t="n"/>
      <c r="U92" s="23" t="n"/>
      <c r="V92" s="82" t="n"/>
      <c r="W92" s="23" t="n"/>
      <c r="X92" s="82" t="n"/>
      <c r="Y92" s="23" t="n"/>
      <c r="Z92" s="82" t="n"/>
      <c r="AA92" s="23" t="n"/>
      <c r="AB92" s="23" t="n"/>
      <c r="AC92" s="7" t="n"/>
      <c r="AD92" s="7" t="n"/>
      <c r="AE92" s="61">
        <f>IF(Tasks[[#This Row],[Task Name]]="","",IF(Tasks[[#This Row],[_IsSummary]],MIN(INDEX(Tasks[_ShownFcstStart],Tasks[[#This Row],[_Row]]+1):INDEX(Tasks[_ShownFcstStart],Tasks[[#This Row],[_Row]]+Tasks[[#This Row],[_Descendants]])),Tasks[[#This Row],[_ShownFcstStart]]))</f>
        <v/>
      </c>
      <c r="AF92" s="61">
        <f>IF(Tasks[[#This Row],[Task Name]]="","",IF(Tasks[[#This Row],[_IsSummary]],MAX(INDEX(Tasks[_ShownFcstFinish],Tasks[[#This Row],[_Row]]+1):INDEX(Tasks[_ShownFcstFinish],Tasks[[#This Row],[_Row]]+Tasks[[#This Row],[_Descendants]])),Tasks[[#This Row],[_ShownFcstFinish]]))</f>
        <v/>
      </c>
      <c r="AG92" s="21">
        <f>""</f>
        <v/>
      </c>
      <c r="AH92" s="23" t="n"/>
      <c r="AI9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2" s="7" t="n"/>
      <c r="AK92" s="22" t="n"/>
      <c r="AL92" s="23" t="n"/>
      <c r="AM92" s="7" t="n"/>
      <c r="AN92" s="21">
        <f>IF(Tasks[[#This Row],[Task Name]]="","",IF(Tasks[[#This Row],[Finish]]&gt;=Tasks[[#This Row],[Planned Finish]],NETWORKDAYS.INTL(Tasks[[#This Row],[Planned Finish]],Tasks[[#This Row],[Finish]],WorkWeek,Holidays)-1,1-NETWORKDAYS.INTL(Tasks[[#This Row],[Finish]],Tasks[[#This Row],[Planned Finish]],WorkWeek,Holidays)))</f>
        <v/>
      </c>
      <c r="AO92" s="21">
        <f>IF(Tasks[[#This Row],[Task Name]]="","",IF(Tasks[[#This Row],[Progress]]&gt;=1,"Complete",IF(OR(N(Tasks[[#This Row],[Actual Start]])&gt;0,Tasks[[#This Row],[Progress]]&gt;0),IF(Tasks[[#This Row],[Finish Var]]&gt;0,"Behind","In Progress"),IF(Tasks[[#This Row],[Planned Start]]&lt;StatusDate,"Late Start","Not Started"))))</f>
        <v/>
      </c>
      <c r="AP92" s="21">
        <f>IF(Tasks[[#This Row],[Task Name]]="","",IF(IF(Tasks[[#This Row],[_IsSummary]],COUNTIF(INDEX(Tasks[_LeafCritical],Tasks[[#This Row],[_Row]]+1):INDEX(Tasks[_LeafCritical],Tasks[[#This Row],[_Row]]+Tasks[[#This Row],[_Descendants]]),TRUE())&gt;0,Tasks[[#This Row],[_LeafCritical]]),"Yes",""))</f>
        <v/>
      </c>
      <c r="AQ92" s="61">
        <f>IF(Tasks[[#This Row],[Task Name]]="","",IF(N(Tasks[[#This Row],[Baseline Start]])&gt;0,Tasks[[#This Row],[Baseline Start]],Tasks[[#This Row],[_CalcStart]]))</f>
        <v/>
      </c>
      <c r="AR92" s="61">
        <f>IF(Tasks[[#This Row],[Task Name]]="","",IF(N(Tasks[[#This Row],[Baseline Finish]])&gt;0,Tasks[[#This Row],[Baseline Finish]],Tasks[[#This Row],[_CalcFinish]]))</f>
        <v/>
      </c>
      <c r="AS92" s="21">
        <f>IF(Tasks[[#This Row],[Task Name]]="","",IF(Tasks[[#This Row],[Start]]&gt;=Tasks[[#This Row],[Planned Start]],NETWORKDAYS.INTL(Tasks[[#This Row],[Planned Start]],Tasks[[#This Row],[Start]],WorkWeek,Holidays)-1,1-NETWORKDAYS.INTL(Tasks[[#This Row],[Start]],Tasks[[#This Row],[Planned Start]],WorkWeek,Holidays)))</f>
        <v/>
      </c>
      <c r="AT92" s="61">
        <f>IF(Tasks[[#This Row],[Task Name]]="","",IF(Tasks[[#This Row],[_IsSummary]],MIN(INDEX(Tasks[_LeafLateStart],Tasks[[#This Row],[_Row]]+1):INDEX(Tasks[_LeafLateStart],Tasks[[#This Row],[_Row]]+Tasks[[#This Row],[_Descendants]])),Tasks[[#This Row],[_LeafLateStart]]))</f>
        <v/>
      </c>
      <c r="AU92" s="61">
        <f>IF(Tasks[[#This Row],[Task Name]]="","",IF(Tasks[[#This Row],[_IsSummary]],MAX(INDEX(Tasks[_LeafLateFinish],Tasks[[#This Row],[_Row]]+1):INDEX(Tasks[_LeafLateFinish],Tasks[[#This Row],[_Row]]+Tasks[[#This Row],[_Descendants]])),Tasks[[#This Row],[_LeafLateFinish]]))</f>
        <v/>
      </c>
      <c r="AV92" s="21">
        <f>IF(Tasks[[#This Row],[Task Name]]="","",IF(Tasks[[#This Row],[_IsSummary]],MIN(INDEX(Tasks[_LeafTotalSlack],Tasks[[#This Row],[_Row]]+1):INDEX(Tasks[_LeafTotalSlack],Tasks[[#This Row],[_Row]]+Tasks[[#This Row],[_Descendants]])),Tasks[[#This Row],[_LeafTotalSlack]]))</f>
        <v/>
      </c>
      <c r="AW9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3" t="n"/>
      <c r="BA9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f>IF(Tasks[[#This Row],[Task Name]]="","",IF(Tasks[[#This Row],[_Level]]&lt;=OutlineShowLevel,"Yes","No"))</f>
        <v/>
      </c>
      <c r="BE92" s="84">
        <f>IF(Tasks[[#This Row],[Task Name]]="","",IF(Tasks[[#This Row],[_IsSummary]],SUM(INDEX(Tasks[_LeafTotalWork],Tasks[[#This Row],[_Row]]+1):INDEX(Tasks[_LeafTotalWork],Tasks[[#This Row],[_Row]]+Tasks[[#This Row],[_Descendants]])),Tasks[[#This Row],[_LeafTotalWork]]))</f>
        <v/>
      </c>
      <c r="BF92" s="23" t="n"/>
      <c r="BG9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f>""</f>
        <v/>
      </c>
      <c r="BI92" s="85" t="n"/>
      <c r="BJ92" s="22" t="n"/>
      <c r="BK92" s="21">
        <f>IF(OR(Tasks[[#This Row],[Task Name]]="",Tasks[[#This Row],[Baseline Duration]]=""),"",Tasks[[#This Row],[_SpanDays]]-N(Tasks[[#This Row],[Baseline Duration]]))</f>
        <v/>
      </c>
      <c r="BL92" s="84">
        <f>IF(OR(Tasks[[#This Row],[Task Name]]="",Tasks[[#This Row],[Baseline Work]]=""),"",Tasks[[#This Row],[Work]]-N(Tasks[[#This Row],[Baseline Work]]))</f>
        <v/>
      </c>
      <c r="BM92" s="61">
        <f>IF(Tasks[[#This Row],[Task Name]]="","",IF(OR(TakeBaseline="Yes",N(Tasks[[#This Row],[Baseline Start]])=0),Tasks[[#This Row],[Start]],Tasks[[#This Row],[Baseline Start]]))</f>
        <v/>
      </c>
      <c r="BN92" s="61">
        <f>IF(Tasks[[#This Row],[Task Name]]="","",IF(OR(TakeBaseline="Yes",N(Tasks[[#This Row],[Baseline Finish]])=0),Tasks[[#This Row],[Finish]],Tasks[[#This Row],[Baseline Finish]]))</f>
        <v/>
      </c>
      <c r="BO92" s="21">
        <f>IF(Tasks[[#This Row],[Task Name]]="","",IF(OR(TakeBaseline="Yes",N(Tasks[[#This Row],[Baseline Duration]])=0),Tasks[[#This Row],[_SpanDays]],Tasks[[#This Row],[Baseline Duration]]))</f>
        <v/>
      </c>
      <c r="BP92" s="84">
        <f>IF(Tasks[[#This Row],[Task Name]]="","",IF(OR(TakeBaseline="Yes",N(Tasks[[#This Row],[Baseline Work]])=0),Tasks[[#This Row],[Work]],Tasks[[#This Row],[Baseline Work]]))</f>
        <v/>
      </c>
      <c r="BQ92" s="7" t="n"/>
      <c r="BR92" s="7" t="n"/>
      <c r="BS92" s="22" t="n"/>
      <c r="BT92" s="86" t="n"/>
      <c r="BU92" s="23" t="n"/>
      <c r="BV92" s="23" t="n"/>
      <c r="BW92" s="23" t="n"/>
      <c r="BX92" s="87">
        <f>IF(AND(Tasks[[#This Row],[_IsLeaf]]=1,ISNUMBER(Tasks[[#This Row],[Optimistic]]),ISNUMBER(Tasks[[#This Row],[Pessimistic]])),ROUND((Tasks[[#This Row],[Optimistic]]+4*N(Tasks[[#This Row],[_Days]])+Tasks[[#This Row],[Pessimistic]])/6,1),"")</f>
        <v/>
      </c>
      <c r="BY92" s="85" t="n"/>
      <c r="BZ92" s="85" t="n"/>
      <c r="CA92" s="22" t="n"/>
      <c r="CB92" s="42">
        <f>IF(Tasks[[#This Row],[Task Name]]="","",MAX(1,N(Tasks[[#This Row],[Level]])))</f>
        <v/>
      </c>
      <c r="CC92" s="42">
        <f>ROW()-ROW(Tasks[[#Headers],[ID]])</f>
        <v/>
      </c>
      <c r="CD92" s="42">
        <f>IF(OR(Tasks[[#This Row],[Task Name]]="",Tasks[[#This Row],[_Level]]&lt;=1),0,IFERROR(LOOKUP(2,1/(Tasks[[#Headers],[_Level]]:Tasks[[#This Row],[_Level]]=Tasks[[#This Row],[_Level]]-1),ROW(Tasks[[#Headers],[_Level]]:Tasks[[#This Row],[_Level]])),0))</f>
        <v/>
      </c>
      <c r="CE92" s="42">
        <f>IFERROR(N(INDEX(Tasks[_Level],Tasks[[#This Row],[_Row]]+1)),0)</f>
        <v/>
      </c>
      <c r="CF92" s="42">
        <f>AND(Tasks[[#This Row],[Task Name]]&lt;&gt;"",Tasks[[#This Row],[_NextLevel]]&gt;Tasks[[#This Row],[_Level]])</f>
        <v/>
      </c>
      <c r="CG92" s="42">
        <f>IF(Tasks[[#This Row],[_IsSummary]],COUNTIF(Tasks[WBS],Tasks[[#This Row],[WBS]]&amp;".*"),0)</f>
        <v/>
      </c>
      <c r="CH92" s="42">
        <f>IF(AND(Tasks[[#This Row],[Task Name]]&lt;&gt;"",NOT(Tasks[[#This Row],[_IsSummary]])),1,0)</f>
        <v/>
      </c>
      <c r="CI92" s="42">
        <f>IF(N(Tasks[[#This Row],[_Pred1UID]])=0,0,IFERROR(MATCH(Tasks[[#This Row],[_Pred1UID]],Tasks[UID],0),-1))</f>
        <v/>
      </c>
      <c r="CJ92" s="42">
        <f>IF(N(Tasks[[#This Row],[_Pred2UID]])=0,0,IFERROR(MATCH(Tasks[[#This Row],[_Pred2UID]],Tasks[UID],0),-1))</f>
        <v/>
      </c>
      <c r="CK92" s="42">
        <f>IF(N(Tasks[[#This Row],[_Pred3UID]])=0,0,IFERROR(MATCH(Tasks[[#This Row],[_Pred3UID]],Tasks[UID],0),-1))</f>
        <v/>
      </c>
      <c r="CL92" s="42">
        <f>IF(N(Tasks[[#This Row],[_Pred4UID]])=0,0,IFERROR(MATCH(Tasks[[#This Row],[_Pred4UID]],Tasks[UID],0),-1))</f>
        <v/>
      </c>
      <c r="CM9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2" s="88">
        <f>IF(N(Tasks[[#This Row],[Constraint Date]])=0,0,IF(AND(OR(Tasks[[#This Row],[_ConstraintCode]]=3,Tasks[[#This Row],[_ConstraintCode]]=6,Tasks[[#This Row],[_ConstraintCode]]=7),N(Tasks[[#This Row],[_Days]])&gt;1),WORKDAY.INTL(N(Tasks[[#This Row],[Constraint Date]]),-(N(Tasks[[#This Row],[_Days]])-1),WorkWeek,Holidays),N(Tasks[[#This Row],[Constraint Date]])))</f>
        <v/>
      </c>
      <c r="CO92" s="88">
        <f>IF(OR(Tasks[[#This Row],[_ConstraintCode]]=2,Tasks[[#This Row],[_ConstraintCode]]=3,Tasks[[#This Row],[_ConstraintCode]]=4,Tasks[[#This Row],[_ConstraintCode]]=6),Tasks[[#This Row],[_ConstraintStart]],0)</f>
        <v/>
      </c>
      <c r="CP92" s="88">
        <f>IF(OR(Tasks[[#This Row],[_ConstraintCode]]=2,Tasks[[#This Row],[_ConstraintCode]]=3,Tasks[[#This Row],[_ConstraintCode]]=5,Tasks[[#This Row],[_ConstraintCode]]=7),Tasks[[#This Row],[_ConstraintStart]],2958465)</f>
        <v/>
      </c>
      <c r="CQ9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2" s="88">
        <f>IF(NOT(Tasks[[#This Row],[_IsLeaf]]=1),"",IF(N(Tasks[[#This Row],[_Days]])&lt;=0,Tasks[[#This Row],[_LeafCalcStart]],WORKDAY.INTL(Tasks[[#This Row],[_LeafCalcStart]],Tasks[[#This Row],[_Days]]-1,WorkWeek,Holidays)))</f>
        <v/>
      </c>
      <c r="CS9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2" s="42">
        <f>IF(Tasks[[#This Row],[_Predecessors]]="","",TRIM(MID(SUBSTITUTE(SUBSTITUTE(SUBSTITUTE(UPPER(Tasks[[#This Row],[_Predecessors]]),";",",")," ",""),",",REPT(" ",99)),1,99)))</f>
        <v/>
      </c>
      <c r="CV92" s="42">
        <f>IF(Tasks[[#This Row],[_Pred1Text]]="","",IFERROR(VALUE(LEFT(Tasks[[#This Row],[_Pred1Text]],MIN(FIND("F",Tasks[[#This Row],[_Pred1Text]]&amp;"F"),FIND("S",Tasks[[#This Row],[_Pred1Text]]&amp;"S"),FIND("+",Tasks[[#This Row],[_Pred1Text]]&amp;"+"),FIND("-",Tasks[[#This Row],[_Pred1Text]]&amp;"-"))-1)),""))</f>
        <v/>
      </c>
      <c r="CW9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2" s="42">
        <f>IF(Tasks[[#This Row],[_Pred1Text]]="","",TRIM(MID(SUBSTITUTE(SUBSTITUTE(SUBSTITUTE(UPPER(Tasks[[#This Row],[_Predecessors]]),";",",")," ",""),",",REPT(" ",99)),100,99)))</f>
        <v/>
      </c>
      <c r="CZ92" s="42">
        <f>IF(Tasks[[#This Row],[_Pred2Text]]="","",IFERROR(VALUE(LEFT(Tasks[[#This Row],[_Pred2Text]],MIN(FIND("F",Tasks[[#This Row],[_Pred2Text]]&amp;"F"),FIND("S",Tasks[[#This Row],[_Pred2Text]]&amp;"S"),FIND("+",Tasks[[#This Row],[_Pred2Text]]&amp;"+"),FIND("-",Tasks[[#This Row],[_Pred2Text]]&amp;"-"))-1)),""))</f>
        <v/>
      </c>
      <c r="DA9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2" s="42">
        <f>IF(Tasks[[#This Row],[_Pred2Text]]="","",TRIM(MID(SUBSTITUTE(SUBSTITUTE(SUBSTITUTE(UPPER(Tasks[[#This Row],[_Predecessors]]),";",",")," ",""),",",REPT(" ",99)),199,99)))</f>
        <v/>
      </c>
      <c r="DD92" s="42">
        <f>IF(Tasks[[#This Row],[_Pred3Text]]="","",IFERROR(VALUE(LEFT(Tasks[[#This Row],[_Pred3Text]],MIN(FIND("F",Tasks[[#This Row],[_Pred3Text]]&amp;"F"),FIND("S",Tasks[[#This Row],[_Pred3Text]]&amp;"S"),FIND("+",Tasks[[#This Row],[_Pred3Text]]&amp;"+"),FIND("-",Tasks[[#This Row],[_Pred3Text]]&amp;"-"))-1)),""))</f>
        <v/>
      </c>
      <c r="DE9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2" s="42">
        <f>IF(Tasks[[#This Row],[_Pred3Text]]="","",TRIM(MID(SUBSTITUTE(SUBSTITUTE(SUBSTITUTE(UPPER(Tasks[[#This Row],[_Predecessors]]),";",",")," ",""),",",REPT(" ",99)),298,99)))</f>
        <v/>
      </c>
      <c r="DH92" s="42">
        <f>IF(Tasks[[#This Row],[_Pred4Text]]="","",IFERROR(VALUE(LEFT(Tasks[[#This Row],[_Pred4Text]],MIN(FIND("F",Tasks[[#This Row],[_Pred4Text]]&amp;"F"),FIND("S",Tasks[[#This Row],[_Pred4Text]]&amp;"S"),FIND("+",Tasks[[#This Row],[_Pred4Text]]&amp;"+"),FIND("-",Tasks[[#This Row],[_Pred4Text]]&amp;"-"))-1)),""))</f>
        <v/>
      </c>
      <c r="DI9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2" s="42">
        <f>IF(OR(Tasks[[#This Row],[Task Name]]="",Tasks[[#This Row],[_Resources]]=""),"",TRIM(MID(SUBSTITUTE(Tasks[[#This Row],[_Resources]],",",REPT(" ",99)),1,99)))</f>
        <v/>
      </c>
      <c r="DL92" s="42">
        <f>IF(Tasks[[#This Row],[_Res1Text]]="","",TRIM(MID(SUBSTITUTE(Tasks[[#This Row],[_Resources]],",",REPT(" ",99)),100,99)))</f>
        <v/>
      </c>
      <c r="DM92" s="42">
        <f>IF(Tasks[[#This Row],[_Res2Text]]="","",TRIM(MID(SUBSTITUTE(Tasks[[#This Row],[_Resources]],",",REPT(" ",99)),199,99)))</f>
        <v/>
      </c>
      <c r="DN92" s="42">
        <f>IF(Tasks[[#This Row],[_Res3Text]]="","",TRIM(MID(SUBSTITUTE(Tasks[[#This Row],[_Resources]],",",REPT(" ",99)),298,99)))</f>
        <v/>
      </c>
      <c r="DO92" s="42">
        <f>IF(Tasks[[#This Row],[_Res1Text]]="",0,IFERROR(MATCH(TRIM(LEFT(Tasks[[#This Row],[_Res1Text]],FIND("[",Tasks[[#This Row],[_Res1Text]]&amp;"[")-1)),res_Name,0),IFERROR(MATCH(TRIM(LEFT(Tasks[[#This Row],[_Res1Text]],FIND("[",Tasks[[#This Row],[_Res1Text]]&amp;"[")-1)),res_Initials,0),0)))</f>
        <v/>
      </c>
      <c r="DP92" s="42">
        <f>IF(Tasks[[#This Row],[_Res2Text]]="",0,IFERROR(MATCH(TRIM(LEFT(Tasks[[#This Row],[_Res2Text]],FIND("[",Tasks[[#This Row],[_Res2Text]]&amp;"[")-1)),res_Name,0),IFERROR(MATCH(TRIM(LEFT(Tasks[[#This Row],[_Res2Text]],FIND("[",Tasks[[#This Row],[_Res2Text]]&amp;"[")-1)),res_Initials,0),0)))</f>
        <v/>
      </c>
      <c r="DQ92" s="42">
        <f>IF(Tasks[[#This Row],[_Res3Text]]="",0,IFERROR(MATCH(TRIM(LEFT(Tasks[[#This Row],[_Res3Text]],FIND("[",Tasks[[#This Row],[_Res3Text]]&amp;"[")-1)),res_Name,0),IFERROR(MATCH(TRIM(LEFT(Tasks[[#This Row],[_Res3Text]],FIND("[",Tasks[[#This Row],[_Res3Text]]&amp;"[")-1)),res_Initials,0),0)))</f>
        <v/>
      </c>
      <c r="DR92" s="42">
        <f>IF(Tasks[[#This Row],[_Res4Text]]="",0,IFERROR(MATCH(TRIM(LEFT(Tasks[[#This Row],[_Res4Text]],FIND("[",Tasks[[#This Row],[_Res4Text]]&amp;"[")-1)),res_Name,0),IFERROR(MATCH(TRIM(LEFT(Tasks[[#This Row],[_Res4Text]],FIND("[",Tasks[[#This Row],[_Res4Text]]&amp;"[")-1)),res_Initials,0),0)))</f>
        <v/>
      </c>
      <c r="DS92" s="42">
        <f>IF(Tasks[[#This Row],[_Res1Text]]="","",IF(Tasks[[#This Row],[_Res1Row]]&gt;0,INDEX(res_Name,Tasks[[#This Row],[_Res1Row]]),TRIM(LEFT(Tasks[[#This Row],[_Res1Text]],FIND("[",Tasks[[#This Row],[_Res1Text]]&amp;"[")-1))))</f>
        <v/>
      </c>
      <c r="DT9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2" s="42">
        <f>IF(NOT(Tasks[[#This Row],[_IsLeaf]]=1),0,(Tasks[[#This Row],[_Resource1]]&lt;&gt;"")+(Tasks[[#This Row],[_Res2]]&lt;&gt;"")+(Tasks[[#This Row],[_Res3]]&lt;&gt;"")+(Tasks[[#This Row],[_Res4]]&lt;&gt;""))</f>
        <v/>
      </c>
      <c r="DV92" s="42">
        <f>IF(Tasks[[#This Row],[_Res2Text]]="","",IF(Tasks[[#This Row],[_Res2Row]]&gt;0,INDEX(res_Name,Tasks[[#This Row],[_Res2Row]]),TRIM(LEFT(Tasks[[#This Row],[_Res2Text]],FIND("[",Tasks[[#This Row],[_Res2Text]]&amp;"[")-1))))</f>
        <v/>
      </c>
      <c r="DW9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2" s="42">
        <f>IF(OR(NOT(Tasks[[#This Row],[_IsLeaf]]=1),Tasks[[#This Row],[_Res2Row]]=0),0,N(Tasks[[#This Row],[_Days]])*HoursPerDay*IF(Tasks[[#This Row],[_Res2Units]]="",DefaultUnits,Tasks[[#This Row],[_Res2Units]]))</f>
        <v/>
      </c>
      <c r="DY92" s="42">
        <f>IF(AND(AND(Tasks[[#This Row],[_IsLeaf]]=1,Tasks[[#This Row],[_LeafTotalWork]]&gt;0),Tasks[[#This Row],[_Res2Work]]&gt;0),Tasks[[#This Row],[_Res2Work]]/(Tasks[[#This Row],[_FinishWorkday]]-Tasks[[#This Row],[_StartWorkday]]+1),0)</f>
        <v/>
      </c>
      <c r="DZ92" s="42">
        <f>Tasks[[#This Row],[_Res2WorkPerWD]]*MAX(0,Tasks[[#This Row],[_StartWorkday]]-1)</f>
        <v/>
      </c>
      <c r="EA92" s="42">
        <f>Tasks[[#This Row],[_Res2Work]]*Tasks[[#This Row],[_LeafProgress]]</f>
        <v/>
      </c>
      <c r="EB92" s="42">
        <f>IF(Tasks[[#This Row],[_Res3Text]]="","",IF(Tasks[[#This Row],[_Res3Row]]&gt;0,INDEX(res_Name,Tasks[[#This Row],[_Res3Row]]),TRIM(LEFT(Tasks[[#This Row],[_Res3Text]],FIND("[",Tasks[[#This Row],[_Res3Text]]&amp;"[")-1))))</f>
        <v/>
      </c>
      <c r="EC9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2" s="42">
        <f>IF(OR(NOT(Tasks[[#This Row],[_IsLeaf]]=1),Tasks[[#This Row],[_Res3Row]]=0),0,N(Tasks[[#This Row],[_Days]])*HoursPerDay*IF(Tasks[[#This Row],[_Res3Units]]="",DefaultUnits,Tasks[[#This Row],[_Res3Units]]))</f>
        <v/>
      </c>
      <c r="EE92" s="42">
        <f>IF(AND(AND(Tasks[[#This Row],[_IsLeaf]]=1,Tasks[[#This Row],[_LeafTotalWork]]&gt;0),Tasks[[#This Row],[_Res3Work]]&gt;0),Tasks[[#This Row],[_Res3Work]]/(Tasks[[#This Row],[_FinishWorkday]]-Tasks[[#This Row],[_StartWorkday]]+1),0)</f>
        <v/>
      </c>
      <c r="EF92" s="42">
        <f>Tasks[[#This Row],[_Res3WorkPerWD]]*MAX(0,Tasks[[#This Row],[_StartWorkday]]-1)</f>
        <v/>
      </c>
      <c r="EG92" s="42">
        <f>Tasks[[#This Row],[_Res3Work]]*Tasks[[#This Row],[_LeafProgress]]</f>
        <v/>
      </c>
      <c r="EH92" s="42">
        <f>IF(Tasks[[#This Row],[_Res4Text]]="","",IF(Tasks[[#This Row],[_Res4Row]]&gt;0,INDEX(res_Name,Tasks[[#This Row],[_Res4Row]]),TRIM(LEFT(Tasks[[#This Row],[_Res4Text]],FIND("[",Tasks[[#This Row],[_Res4Text]]&amp;"[")-1))))</f>
        <v/>
      </c>
      <c r="EI9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2" s="42">
        <f>IF(OR(NOT(Tasks[[#This Row],[_IsLeaf]]=1),Tasks[[#This Row],[_Res4Row]]=0),0,N(Tasks[[#This Row],[_Days]])*HoursPerDay*IF(Tasks[[#This Row],[_Res4Units]]="",DefaultUnits,Tasks[[#This Row],[_Res4Units]]))</f>
        <v/>
      </c>
      <c r="EK92" s="42">
        <f>IF(AND(AND(Tasks[[#This Row],[_IsLeaf]]=1,Tasks[[#This Row],[_LeafTotalWork]]&gt;0),Tasks[[#This Row],[_Res4Work]]&gt;0),Tasks[[#This Row],[_Res4Work]]/(Tasks[[#This Row],[_FinishWorkday]]-Tasks[[#This Row],[_StartWorkday]]+1),0)</f>
        <v/>
      </c>
      <c r="EL92" s="42">
        <f>Tasks[[#This Row],[_Res4WorkPerWD]]*MAX(0,Tasks[[#This Row],[_StartWorkday]]-1)</f>
        <v/>
      </c>
      <c r="EM92" s="42">
        <f>Tasks[[#This Row],[_Res4Work]]*Tasks[[#This Row],[_LeafProgress]]</f>
        <v/>
      </c>
      <c r="EN92" s="42">
        <f>IF(ISNUMBER(Tasks[[#This Row],[% Complete]]),Tasks[[#This Row],[% Complete]],IF(Tasks[[#This Row],[Stage]]="",0,IFERROR(INDEX(stg_Pct,MATCH(Tasks[[#This Row],[Stage]],stg_Name,0)),0)))</f>
        <v/>
      </c>
      <c r="EO92" s="42">
        <f>IF(NOT(Tasks[[#This Row],[_IsLeaf]]=1),0,IF(N(Tasks[[#This Row],[Actual Finish]])&gt;0,1,MIN(1,Tasks[[#This Row],[_Pct]])))</f>
        <v/>
      </c>
      <c r="EP92" s="42">
        <f>IF(OR(NOT(Tasks[[#This Row],[_IsLeaf]]=1),Tasks[[#This Row],[_Res1Row]]=0),0,N(Tasks[[#This Row],[_Days]])*HoursPerDay*IF(Tasks[[#This Row],[_Units1]]="",DefaultUnits,Tasks[[#This Row],[_Units1]]))</f>
        <v/>
      </c>
      <c r="EQ92" s="42">
        <f>Tasks[[#This Row],[_LeafWork]]+Tasks[[#This Row],[_Res2Work]]+Tasks[[#This Row],[_Res3Work]]+Tasks[[#This Row],[_Res4Work]]</f>
        <v/>
      </c>
      <c r="ER9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2" s="42">
        <f>IF(NOT(Tasks[[#This Row],[_IsLeaf]]=1),0,MAX(_xlfn.MAXIFS(Tasks[_Row],Tasks[_Pred1UID],Tasks[[#This Row],[UID]]),_xlfn.MAXIFS(Tasks[_Row],Tasks[_Pred2UID],Tasks[[#This Row],[UID]]),_xlfn.MAXIFS(Tasks[_Row],Tasks[_Pred3UID],Tasks[[#This Row],[UID]]),_xlfn.MAXIFS(Tasks[_Row],Tasks[_Pred4UID],Tasks[[#This Row],[UID]])))</f>
        <v/>
      </c>
      <c r="FA9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2" s="88">
        <f>IF(NOT(Tasks[[#This Row],[_IsLeaf]]=1),"",IF(N(Tasks[[#This Row],[_Days]])&lt;=0,Tasks[[#This Row],[_LeafLateFinish]],WORKDAY.INTL(Tasks[[#This Row],[_LeafLateFinish]],-(Tasks[[#This Row],[_Days]]-1),WorkWeek,Holidays)))</f>
        <v/>
      </c>
      <c r="FD9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2" s="42">
        <f>AND(Tasks[[#This Row],[_IsLeaf]]=1,Tasks[[#This Row],[_LeafProgress]]&lt;1,N(Tasks[[#This Row],[_LeafTotalSlack]])&lt;=CriticalSlackDays)</f>
        <v/>
      </c>
      <c r="FF92" s="42">
        <f>IF(AND(Tasks[[#This Row],[_IsLeaf]]=1,Tasks[[#This Row],[_ConstraintCode]]=1,Tasks[[#This Row],[Mode]]&lt;&gt;"Manual",N(Tasks[[#This Row],[Actual Start]])=0),MAX(0,N(Tasks[[#This Row],[Free Slack]])),0)</f>
        <v/>
      </c>
      <c r="FG92" s="88">
        <f>IF(NOT(Tasks[[#This Row],[_IsLeaf]]=1),"",IF(Tasks[[#This Row],[_AlapShift]]=0,Tasks[[#This Row],[_LeafCalcStart]],WORKDAY.INTL(Tasks[[#This Row],[_LeafCalcStart]],Tasks[[#This Row],[_AlapShift]],WorkWeek,Holidays)))</f>
        <v/>
      </c>
      <c r="FH92" s="88">
        <f>IF(NOT(Tasks[[#This Row],[_IsLeaf]]=1),"",IF(Tasks[[#This Row],[_AlapShift]]=0,Tasks[[#This Row],[_LeafCalcFinish]],WORKDAY.INTL(Tasks[[#This Row],[_LeafCalcFinish]],Tasks[[#This Row],[_AlapShift]],WorkWeek,Holidays)))</f>
        <v/>
      </c>
      <c r="FI92" s="88">
        <f>IF(NOT(Tasks[[#This Row],[_IsLeaf]]=1),"",IF(Tasks[[#This Row],[_AlapShift]]=0,Tasks[[#This Row],[_LeafFcstStart]],WORKDAY.INTL(Tasks[[#This Row],[_LeafFcstStart]],Tasks[[#This Row],[_AlapShift]],WorkWeek,Holidays)))</f>
        <v/>
      </c>
      <c r="FJ92" s="88">
        <f>IF(NOT(Tasks[[#This Row],[_IsLeaf]]=1),"",IF(Tasks[[#This Row],[_AlapShift]]=0,Tasks[[#This Row],[_LeafFcstFinish]],WORKDAY.INTL(Tasks[[#This Row],[_LeafFcstFinish]],Tasks[[#This Row],[_AlapShift]],WorkWeek,Holidays)))</f>
        <v/>
      </c>
      <c r="FK92" s="88">
        <f>IF(Tasks[[#This Row],[Task Name]]="","",IF(Tasks[[#This Row],[_IsSummary]],MIN(INDEX(Tasks[_ShownCalcStart],Tasks[[#This Row],[_Row]]+1):INDEX(Tasks[_ShownCalcStart],Tasks[[#This Row],[_Row]]+Tasks[[#This Row],[_Descendants]])),Tasks[[#This Row],[_ShownCalcStart]]))</f>
        <v/>
      </c>
      <c r="FL92" s="88">
        <f>IF(Tasks[[#This Row],[Task Name]]="","",IF(Tasks[[#This Row],[_IsSummary]],MAX(INDEX(Tasks[_ShownCalcFinish],Tasks[[#This Row],[_Row]]+1):INDEX(Tasks[_ShownCalcFinish],Tasks[[#This Row],[_Row]]+Tasks[[#This Row],[_Descendants]])),Tasks[[#This Row],[_ShownCalcFinish]]))</f>
        <v/>
      </c>
      <c r="FM9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2" s="42">
        <f>IF(AND(Tasks[[#This Row],[_IsLeaf]]=1,Tasks[[#This Row],[_LeafTotalWork]]&gt;0),NETWORKDAYS.INTL(ProjectStart,Tasks[[#This Row],[_ShownFcstStart]],WorkWeek,Holidays),0)</f>
        <v/>
      </c>
      <c r="FZ92" s="42">
        <f>IF(AND(Tasks[[#This Row],[_IsLeaf]]=1,Tasks[[#This Row],[_LeafTotalWork]]&gt;0),MAX(Tasks[[#This Row],[_StartWorkday]],NETWORKDAYS.INTL(ProjectStart,Tasks[[#This Row],[_ShownFcstFinish]],WorkWeek,Holidays)),0)</f>
        <v/>
      </c>
      <c r="GA92" s="42">
        <f>IF(AND(Tasks[[#This Row],[_IsLeaf]]=1,Tasks[[#This Row],[_LeafTotalWork]]&gt;0),Tasks[[#This Row],[_LeafWork]]/(Tasks[[#This Row],[_FinishWorkday]]-Tasks[[#This Row],[_StartWorkday]]+1),0)</f>
        <v/>
      </c>
      <c r="GB92" s="42">
        <f>Tasks[[#This Row],[_WorkPerWorkday]]*(Tasks[[#This Row],[_StartWorkday]]-1)</f>
        <v/>
      </c>
      <c r="GC92" s="42">
        <f>IF(Tasks[[#This Row],[_IsLeaf]]=1,MAX(N(Tasks[[#This Row],[_Days]]),0.1),0)</f>
        <v/>
      </c>
      <c r="GD92" s="42">
        <f>Tasks[[#This Row],[_WeightDur]]*Tasks[[#This Row],[_LeafProgress]]</f>
        <v/>
      </c>
      <c r="GE92" s="42">
        <f>Tasks[[#This Row],[_WeightDur]]*Tasks[[#This Row],[_PlannedPct]]</f>
        <v/>
      </c>
      <c r="GF9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2" s="42">
        <f>IF(AND(Tasks[[#This Row],[_IsLeaf]]=1,N(Tasks[[#This Row],[_Days]])=0,Tasks[[#This Row],[_LeafProgress]]&lt;1),Tasks[[#This Row],[_ShownFcstFinish]]+Tasks[[#This Row],[_Row]]/100000,"")</f>
        <v/>
      </c>
      <c r="GH9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2" s="42">
        <f>IF(Tasks[[#This Row],[Task Name]]="","",LEFT(Tasks[[#This Row],[WBS]],FIND(".",Tasks[[#This Row],[WBS]]&amp;".")-1))</f>
        <v/>
      </c>
      <c r="GJ92" s="42">
        <f>IF(AND(Tasks[[#This Row],[Task Name]]&lt;&gt;"",Tasks[[#This Row],[_Level]]=1),Tasks[[#This Row],[_Row]],"")</f>
        <v/>
      </c>
      <c r="GK92" s="42">
        <f>IF(AND(Tasks[[#This Row],[_IsLeaf]]=1,N(Tasks[[#This Row],[_Days]])=0),Tasks[[#This Row],[Planned Finish]]+Tasks[[#This Row],[_Row]]/100000,"")</f>
        <v/>
      </c>
      <c r="GL92" s="42">
        <f>IF(AND(Tasks[[#This Row],[_IsLeaf]]=1,Tasks[[#This Row],[_LeafProgress]]&lt;1,OR(N(Tasks[[#This Row],[Finish Var]])&gt;0,Tasks[[#This Row],[Status]]="Late Start")),MAX(0,Tasks[[#This Row],[Finish Var]])+1-Tasks[[#This Row],[_Row]]/1000000,"")</f>
        <v/>
      </c>
      <c r="GM92" s="42">
        <f>IF(AND(Tasks[[#This Row],[_IsLeaf]]=1,N(Tasks[[#This Row],[Actual Start]])=0,Tasks[[#This Row],[_ShownFcstStart]]&gt;=StatusDate,Tasks[[#This Row],[_ShownFcstStart]]&lt;=LookaheadEnd),Tasks[[#This Row],[_ShownFcstStart]]+Tasks[[#This Row],[_Row]]/100000,"")</f>
        <v/>
      </c>
      <c r="GN92" s="42">
        <f>IF(AND(Tasks[[#This Row],[_IsLeaf]]=1,Tasks[[#This Row],[_LeafProgress]]&lt;1,Tasks[[#This Row],[_ShownFcstFinish]]&gt;=StatusDate,Tasks[[#This Row],[_ShownFcstFinish]]&lt;=LookaheadEnd),Tasks[[#This Row],[_ShownFcstFinish]]+Tasks[[#This Row],[_Row]]/100000,"")</f>
        <v/>
      </c>
      <c r="GO92" s="42">
        <f>IF(Tasks[[#This Row],[_LeafCritical]],Tasks[[#This Row],[_ShownFcstStart]]+Tasks[[#This Row],[_Row]]/100000,"")</f>
        <v/>
      </c>
      <c r="GP92" s="42">
        <f>Tasks[[#This Row],[_LeafWork]]*Tasks[[#This Row],[_LeafProgress]]</f>
        <v/>
      </c>
      <c r="GQ92" s="88">
        <f>IF(AND(Tasks[[#This Row],[_IsLeaf]]=1,Tasks[[#This Row],[_LeafProgress]]&gt;=1),IF(N(Tasks[[#This Row],[Actual Finish]])&gt;0,Tasks[[#This Row],[Actual Finish]],Tasks[[#This Row],[_ShownFcstFinish]]),"")</f>
        <v/>
      </c>
      <c r="GR92" s="42">
        <f>IF(Tasks[[#This Row],[_IsLeaf]]=1,N(Tasks[[#This Row],[Story Points]]),0)</f>
        <v/>
      </c>
      <c r="GS92" s="42">
        <f>""</f>
        <v/>
      </c>
      <c r="GT92" s="42">
        <f>IF(Tasks[[#This Row],[Task Name]]="",FALSE(),AND(Tasks[[#This Row],[_IsLeaf]]=1,N(Tasks[[#This Row],[_Days]])=0))</f>
        <v/>
      </c>
      <c r="GU92" s="88">
        <f>IF(Tasks[[#This Row],[Task Name]]="",0,IF(AND(Tasks[[#This Row],[_IsLeaf]]=1,NOT(Tasks[[#This Row],[_IsMilestone]]),N(Tasks[[#This Row],[Progress]])&gt;0),Tasks[[#This Row],[Start]],0))</f>
        <v/>
      </c>
      <c r="GV92" s="88">
        <f>IF(Tasks[[#This Row],[_DoneFrom]]=0,0,IF(Tasks[[#This Row],[Progress]]&gt;=1,Tasks[[#This Row],[Finish]],MAX(Tasks[[#This Row],[_DoneFrom]],Tasks[[#This Row],[Start]]+ROUND((Tasks[[#This Row],[Finish]]-Tasks[[#This Row],[Start]]+1)*Tasks[[#This Row],[Progress]],0)-1)))</f>
        <v/>
      </c>
      <c r="GW92" s="88">
        <f>IF(Tasks[[#This Row],[Task Name]]="",0,IF(OR(NOT(Tasks[[#This Row],[_IsLeaf]]=1),Tasks[[#This Row],[_IsMilestone]],N(Tasks[[#This Row],[Progress]])&gt;=1),0,IF(Tasks[[#This Row],[_DoneTo]]&gt;0,Tasks[[#This Row],[_DoneTo]]+1,Tasks[[#This Row],[Start]])))</f>
        <v/>
      </c>
      <c r="GX92" s="88">
        <f>IF(Tasks[[#This Row],[_RemFrom]]=0,0,Tasks[[#This Row],[Finish]])</f>
        <v/>
      </c>
      <c r="GY92" s="42">
        <f>IF(Tasks[[#This Row],[Task Name]]="",FALSE(),OR(NOT(BaselineSet),N(Tasks[[#This Row],[Baseline Start]])&gt;0))</f>
        <v/>
      </c>
      <c r="GZ92" s="42">
        <f>IF(AND(Sandbox="Yes",L_PARSE_DURATION(Tasks[[#This Row],[Sandbox Duration]])&lt;&gt;""),L_PARSE_DURATION(Tasks[[#This Row],[Sandbox Duration]]),L_PARSE_DURATION(Tasks[[#This Row],[Duration]]))</f>
        <v/>
      </c>
      <c r="HA9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2" s="42">
        <f>IF(Tasks[[#This Row],[_IsLeaf]]=1,Tasks[[#This Row],[_Row]],"")</f>
        <v/>
      </c>
      <c r="HD92" s="42">
        <f>IFERROR(INDEX(Tasks[UID],SMALL(Tasks[_PickKey],Tasks[[#This Row],[_Row]]))&amp;" "&amp;INDEX(Tasks[Task Name],SMALL(Tasks[_PickKey],Tasks[[#This Row],[_Row]])),"")</f>
        <v/>
      </c>
      <c r="HE92" s="42">
        <f>IF(Tasks[[#This Row],[Task Name]]="","",IF(Tasks[[#This Row],[_IsSummary]],NETWORKDAYS.INTL(Tasks[[#This Row],[Start]],Tasks[[#This Row],[Finish]],WorkWeek,Holidays),N(Tasks[[#This Row],[_Days]])))</f>
        <v/>
      </c>
      <c r="HF92" s="42">
        <f>IF(Tasks[[#This Row],[Expected]]="",0,((Tasks[[#This Row],[Pessimistic]]-Tasks[[#This Row],[Optimistic]])/6)^2)</f>
        <v/>
      </c>
      <c r="HG92" s="42">
        <f>IF(Tasks[[#This Row],[Expected]]="",0,Tasks[[#This Row],[Expected]]-N(Tasks[[#This Row],[_Days]]))</f>
        <v/>
      </c>
    </row>
    <row r="93">
      <c r="A93" s="21">
        <f>IF(Tasks[[#This Row],[Task Name]]="","",COUNTA(Tasks[[#Headers],[Task Name]]:Tasks[[#This Row],[Task Name]])-1)</f>
        <v/>
      </c>
      <c r="B93" s="22" t="n">
        <v>101</v>
      </c>
      <c r="C93" s="22" t="n"/>
      <c r="D93" s="23" t="n"/>
      <c r="E93" s="22" t="n"/>
      <c r="F93" s="23" t="n"/>
      <c r="G93" s="22" t="n"/>
      <c r="H93" s="22" t="n"/>
      <c r="I93" s="23" t="n"/>
      <c r="J93" s="22" t="n"/>
      <c r="K93" s="22" t="n"/>
      <c r="L93" s="23" t="n"/>
      <c r="M93" s="22" t="n"/>
      <c r="N93" s="22" t="n"/>
      <c r="O93" s="23" t="n"/>
      <c r="P93" s="22" t="n"/>
      <c r="Q93" s="22" t="n"/>
      <c r="R93" s="23" t="n"/>
      <c r="S93" s="23" t="n"/>
      <c r="T93" s="82" t="n"/>
      <c r="U93" s="23" t="n"/>
      <c r="V93" s="82" t="n"/>
      <c r="W93" s="23" t="n"/>
      <c r="X93" s="82" t="n"/>
      <c r="Y93" s="23" t="n"/>
      <c r="Z93" s="82" t="n"/>
      <c r="AA93" s="23" t="n"/>
      <c r="AB93" s="23" t="n"/>
      <c r="AC93" s="7" t="n"/>
      <c r="AD93" s="7" t="n"/>
      <c r="AE93" s="61">
        <f>IF(Tasks[[#This Row],[Task Name]]="","",IF(Tasks[[#This Row],[_IsSummary]],MIN(INDEX(Tasks[_ShownFcstStart],Tasks[[#This Row],[_Row]]+1):INDEX(Tasks[_ShownFcstStart],Tasks[[#This Row],[_Row]]+Tasks[[#This Row],[_Descendants]])),Tasks[[#This Row],[_ShownFcstStart]]))</f>
        <v/>
      </c>
      <c r="AF93" s="61">
        <f>IF(Tasks[[#This Row],[Task Name]]="","",IF(Tasks[[#This Row],[_IsSummary]],MAX(INDEX(Tasks[_ShownFcstFinish],Tasks[[#This Row],[_Row]]+1):INDEX(Tasks[_ShownFcstFinish],Tasks[[#This Row],[_Row]]+Tasks[[#This Row],[_Descendants]])),Tasks[[#This Row],[_ShownFcstFinish]]))</f>
        <v/>
      </c>
      <c r="AG93" s="21">
        <f>""</f>
        <v/>
      </c>
      <c r="AH93" s="23" t="n"/>
      <c r="AI9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3" s="7" t="n"/>
      <c r="AK93" s="22" t="n"/>
      <c r="AL93" s="23" t="n"/>
      <c r="AM93" s="7" t="n"/>
      <c r="AN93" s="21">
        <f>IF(Tasks[[#This Row],[Task Name]]="","",IF(Tasks[[#This Row],[Finish]]&gt;=Tasks[[#This Row],[Planned Finish]],NETWORKDAYS.INTL(Tasks[[#This Row],[Planned Finish]],Tasks[[#This Row],[Finish]],WorkWeek,Holidays)-1,1-NETWORKDAYS.INTL(Tasks[[#This Row],[Finish]],Tasks[[#This Row],[Planned Finish]],WorkWeek,Holidays)))</f>
        <v/>
      </c>
      <c r="AO93" s="21">
        <f>IF(Tasks[[#This Row],[Task Name]]="","",IF(Tasks[[#This Row],[Progress]]&gt;=1,"Complete",IF(OR(N(Tasks[[#This Row],[Actual Start]])&gt;0,Tasks[[#This Row],[Progress]]&gt;0),IF(Tasks[[#This Row],[Finish Var]]&gt;0,"Behind","In Progress"),IF(Tasks[[#This Row],[Planned Start]]&lt;StatusDate,"Late Start","Not Started"))))</f>
        <v/>
      </c>
      <c r="AP93" s="21">
        <f>IF(Tasks[[#This Row],[Task Name]]="","",IF(IF(Tasks[[#This Row],[_IsSummary]],COUNTIF(INDEX(Tasks[_LeafCritical],Tasks[[#This Row],[_Row]]+1):INDEX(Tasks[_LeafCritical],Tasks[[#This Row],[_Row]]+Tasks[[#This Row],[_Descendants]]),TRUE())&gt;0,Tasks[[#This Row],[_LeafCritical]]),"Yes",""))</f>
        <v/>
      </c>
      <c r="AQ93" s="61">
        <f>IF(Tasks[[#This Row],[Task Name]]="","",IF(N(Tasks[[#This Row],[Baseline Start]])&gt;0,Tasks[[#This Row],[Baseline Start]],Tasks[[#This Row],[_CalcStart]]))</f>
        <v/>
      </c>
      <c r="AR93" s="61">
        <f>IF(Tasks[[#This Row],[Task Name]]="","",IF(N(Tasks[[#This Row],[Baseline Finish]])&gt;0,Tasks[[#This Row],[Baseline Finish]],Tasks[[#This Row],[_CalcFinish]]))</f>
        <v/>
      </c>
      <c r="AS93" s="21">
        <f>IF(Tasks[[#This Row],[Task Name]]="","",IF(Tasks[[#This Row],[Start]]&gt;=Tasks[[#This Row],[Planned Start]],NETWORKDAYS.INTL(Tasks[[#This Row],[Planned Start]],Tasks[[#This Row],[Start]],WorkWeek,Holidays)-1,1-NETWORKDAYS.INTL(Tasks[[#This Row],[Start]],Tasks[[#This Row],[Planned Start]],WorkWeek,Holidays)))</f>
        <v/>
      </c>
      <c r="AT93" s="61">
        <f>IF(Tasks[[#This Row],[Task Name]]="","",IF(Tasks[[#This Row],[_IsSummary]],MIN(INDEX(Tasks[_LeafLateStart],Tasks[[#This Row],[_Row]]+1):INDEX(Tasks[_LeafLateStart],Tasks[[#This Row],[_Row]]+Tasks[[#This Row],[_Descendants]])),Tasks[[#This Row],[_LeafLateStart]]))</f>
        <v/>
      </c>
      <c r="AU93" s="61">
        <f>IF(Tasks[[#This Row],[Task Name]]="","",IF(Tasks[[#This Row],[_IsSummary]],MAX(INDEX(Tasks[_LeafLateFinish],Tasks[[#This Row],[_Row]]+1):INDEX(Tasks[_LeafLateFinish],Tasks[[#This Row],[_Row]]+Tasks[[#This Row],[_Descendants]])),Tasks[[#This Row],[_LeafLateFinish]]))</f>
        <v/>
      </c>
      <c r="AV93" s="21">
        <f>IF(Tasks[[#This Row],[Task Name]]="","",IF(Tasks[[#This Row],[_IsSummary]],MIN(INDEX(Tasks[_LeafTotalSlack],Tasks[[#This Row],[_Row]]+1):INDEX(Tasks[_LeafTotalSlack],Tasks[[#This Row],[_Row]]+Tasks[[#This Row],[_Descendants]])),Tasks[[#This Row],[_LeafTotalSlack]]))</f>
        <v/>
      </c>
      <c r="AW9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3" t="n"/>
      <c r="BA9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f>IF(Tasks[[#This Row],[Task Name]]="","",IF(Tasks[[#This Row],[_Level]]&lt;=OutlineShowLevel,"Yes","No"))</f>
        <v/>
      </c>
      <c r="BE93" s="84">
        <f>IF(Tasks[[#This Row],[Task Name]]="","",IF(Tasks[[#This Row],[_IsSummary]],SUM(INDEX(Tasks[_LeafTotalWork],Tasks[[#This Row],[_Row]]+1):INDEX(Tasks[_LeafTotalWork],Tasks[[#This Row],[_Row]]+Tasks[[#This Row],[_Descendants]])),Tasks[[#This Row],[_LeafTotalWork]]))</f>
        <v/>
      </c>
      <c r="BF93" s="23" t="n"/>
      <c r="BG9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f>""</f>
        <v/>
      </c>
      <c r="BI93" s="85" t="n"/>
      <c r="BJ93" s="22" t="n"/>
      <c r="BK93" s="21">
        <f>IF(OR(Tasks[[#This Row],[Task Name]]="",Tasks[[#This Row],[Baseline Duration]]=""),"",Tasks[[#This Row],[_SpanDays]]-N(Tasks[[#This Row],[Baseline Duration]]))</f>
        <v/>
      </c>
      <c r="BL93" s="84">
        <f>IF(OR(Tasks[[#This Row],[Task Name]]="",Tasks[[#This Row],[Baseline Work]]=""),"",Tasks[[#This Row],[Work]]-N(Tasks[[#This Row],[Baseline Work]]))</f>
        <v/>
      </c>
      <c r="BM93" s="61">
        <f>IF(Tasks[[#This Row],[Task Name]]="","",IF(OR(TakeBaseline="Yes",N(Tasks[[#This Row],[Baseline Start]])=0),Tasks[[#This Row],[Start]],Tasks[[#This Row],[Baseline Start]]))</f>
        <v/>
      </c>
      <c r="BN93" s="61">
        <f>IF(Tasks[[#This Row],[Task Name]]="","",IF(OR(TakeBaseline="Yes",N(Tasks[[#This Row],[Baseline Finish]])=0),Tasks[[#This Row],[Finish]],Tasks[[#This Row],[Baseline Finish]]))</f>
        <v/>
      </c>
      <c r="BO93" s="21">
        <f>IF(Tasks[[#This Row],[Task Name]]="","",IF(OR(TakeBaseline="Yes",N(Tasks[[#This Row],[Baseline Duration]])=0),Tasks[[#This Row],[_SpanDays]],Tasks[[#This Row],[Baseline Duration]]))</f>
        <v/>
      </c>
      <c r="BP93" s="84">
        <f>IF(Tasks[[#This Row],[Task Name]]="","",IF(OR(TakeBaseline="Yes",N(Tasks[[#This Row],[Baseline Work]])=0),Tasks[[#This Row],[Work]],Tasks[[#This Row],[Baseline Work]]))</f>
        <v/>
      </c>
      <c r="BQ93" s="7" t="n"/>
      <c r="BR93" s="7" t="n"/>
      <c r="BS93" s="22" t="n"/>
      <c r="BT93" s="86" t="n"/>
      <c r="BU93" s="23" t="n"/>
      <c r="BV93" s="23" t="n"/>
      <c r="BW93" s="23" t="n"/>
      <c r="BX93" s="87">
        <f>IF(AND(Tasks[[#This Row],[_IsLeaf]]=1,ISNUMBER(Tasks[[#This Row],[Optimistic]]),ISNUMBER(Tasks[[#This Row],[Pessimistic]])),ROUND((Tasks[[#This Row],[Optimistic]]+4*N(Tasks[[#This Row],[_Days]])+Tasks[[#This Row],[Pessimistic]])/6,1),"")</f>
        <v/>
      </c>
      <c r="BY93" s="85" t="n"/>
      <c r="BZ93" s="85" t="n"/>
      <c r="CA93" s="22" t="n"/>
      <c r="CB93" s="42">
        <f>IF(Tasks[[#This Row],[Task Name]]="","",MAX(1,N(Tasks[[#This Row],[Level]])))</f>
        <v/>
      </c>
      <c r="CC93" s="42">
        <f>ROW()-ROW(Tasks[[#Headers],[ID]])</f>
        <v/>
      </c>
      <c r="CD93" s="42">
        <f>IF(OR(Tasks[[#This Row],[Task Name]]="",Tasks[[#This Row],[_Level]]&lt;=1),0,IFERROR(LOOKUP(2,1/(Tasks[[#Headers],[_Level]]:Tasks[[#This Row],[_Level]]=Tasks[[#This Row],[_Level]]-1),ROW(Tasks[[#Headers],[_Level]]:Tasks[[#This Row],[_Level]])),0))</f>
        <v/>
      </c>
      <c r="CE93" s="42">
        <f>IFERROR(N(INDEX(Tasks[_Level],Tasks[[#This Row],[_Row]]+1)),0)</f>
        <v/>
      </c>
      <c r="CF93" s="42">
        <f>AND(Tasks[[#This Row],[Task Name]]&lt;&gt;"",Tasks[[#This Row],[_NextLevel]]&gt;Tasks[[#This Row],[_Level]])</f>
        <v/>
      </c>
      <c r="CG93" s="42">
        <f>IF(Tasks[[#This Row],[_IsSummary]],COUNTIF(Tasks[WBS],Tasks[[#This Row],[WBS]]&amp;".*"),0)</f>
        <v/>
      </c>
      <c r="CH93" s="42">
        <f>IF(AND(Tasks[[#This Row],[Task Name]]&lt;&gt;"",NOT(Tasks[[#This Row],[_IsSummary]])),1,0)</f>
        <v/>
      </c>
      <c r="CI93" s="42">
        <f>IF(N(Tasks[[#This Row],[_Pred1UID]])=0,0,IFERROR(MATCH(Tasks[[#This Row],[_Pred1UID]],Tasks[UID],0),-1))</f>
        <v/>
      </c>
      <c r="CJ93" s="42">
        <f>IF(N(Tasks[[#This Row],[_Pred2UID]])=0,0,IFERROR(MATCH(Tasks[[#This Row],[_Pred2UID]],Tasks[UID],0),-1))</f>
        <v/>
      </c>
      <c r="CK93" s="42">
        <f>IF(N(Tasks[[#This Row],[_Pred3UID]])=0,0,IFERROR(MATCH(Tasks[[#This Row],[_Pred3UID]],Tasks[UID],0),-1))</f>
        <v/>
      </c>
      <c r="CL93" s="42">
        <f>IF(N(Tasks[[#This Row],[_Pred4UID]])=0,0,IFERROR(MATCH(Tasks[[#This Row],[_Pred4UID]],Tasks[UID],0),-1))</f>
        <v/>
      </c>
      <c r="CM9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3" s="88">
        <f>IF(N(Tasks[[#This Row],[Constraint Date]])=0,0,IF(AND(OR(Tasks[[#This Row],[_ConstraintCode]]=3,Tasks[[#This Row],[_ConstraintCode]]=6,Tasks[[#This Row],[_ConstraintCode]]=7),N(Tasks[[#This Row],[_Days]])&gt;1),WORKDAY.INTL(N(Tasks[[#This Row],[Constraint Date]]),-(N(Tasks[[#This Row],[_Days]])-1),WorkWeek,Holidays),N(Tasks[[#This Row],[Constraint Date]])))</f>
        <v/>
      </c>
      <c r="CO93" s="88">
        <f>IF(OR(Tasks[[#This Row],[_ConstraintCode]]=2,Tasks[[#This Row],[_ConstraintCode]]=3,Tasks[[#This Row],[_ConstraintCode]]=4,Tasks[[#This Row],[_ConstraintCode]]=6),Tasks[[#This Row],[_ConstraintStart]],0)</f>
        <v/>
      </c>
      <c r="CP93" s="88">
        <f>IF(OR(Tasks[[#This Row],[_ConstraintCode]]=2,Tasks[[#This Row],[_ConstraintCode]]=3,Tasks[[#This Row],[_ConstraintCode]]=5,Tasks[[#This Row],[_ConstraintCode]]=7),Tasks[[#This Row],[_ConstraintStart]],2958465)</f>
        <v/>
      </c>
      <c r="CQ9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3" s="88">
        <f>IF(NOT(Tasks[[#This Row],[_IsLeaf]]=1),"",IF(N(Tasks[[#This Row],[_Days]])&lt;=0,Tasks[[#This Row],[_LeafCalcStart]],WORKDAY.INTL(Tasks[[#This Row],[_LeafCalcStart]],Tasks[[#This Row],[_Days]]-1,WorkWeek,Holidays)))</f>
        <v/>
      </c>
      <c r="CS9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3" s="42">
        <f>IF(Tasks[[#This Row],[_Predecessors]]="","",TRIM(MID(SUBSTITUTE(SUBSTITUTE(SUBSTITUTE(UPPER(Tasks[[#This Row],[_Predecessors]]),";",",")," ",""),",",REPT(" ",99)),1,99)))</f>
        <v/>
      </c>
      <c r="CV93" s="42">
        <f>IF(Tasks[[#This Row],[_Pred1Text]]="","",IFERROR(VALUE(LEFT(Tasks[[#This Row],[_Pred1Text]],MIN(FIND("F",Tasks[[#This Row],[_Pred1Text]]&amp;"F"),FIND("S",Tasks[[#This Row],[_Pred1Text]]&amp;"S"),FIND("+",Tasks[[#This Row],[_Pred1Text]]&amp;"+"),FIND("-",Tasks[[#This Row],[_Pred1Text]]&amp;"-"))-1)),""))</f>
        <v/>
      </c>
      <c r="CW9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3" s="42">
        <f>IF(Tasks[[#This Row],[_Pred1Text]]="","",TRIM(MID(SUBSTITUTE(SUBSTITUTE(SUBSTITUTE(UPPER(Tasks[[#This Row],[_Predecessors]]),";",",")," ",""),",",REPT(" ",99)),100,99)))</f>
        <v/>
      </c>
      <c r="CZ93" s="42">
        <f>IF(Tasks[[#This Row],[_Pred2Text]]="","",IFERROR(VALUE(LEFT(Tasks[[#This Row],[_Pred2Text]],MIN(FIND("F",Tasks[[#This Row],[_Pred2Text]]&amp;"F"),FIND("S",Tasks[[#This Row],[_Pred2Text]]&amp;"S"),FIND("+",Tasks[[#This Row],[_Pred2Text]]&amp;"+"),FIND("-",Tasks[[#This Row],[_Pred2Text]]&amp;"-"))-1)),""))</f>
        <v/>
      </c>
      <c r="DA9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3" s="42">
        <f>IF(Tasks[[#This Row],[_Pred2Text]]="","",TRIM(MID(SUBSTITUTE(SUBSTITUTE(SUBSTITUTE(UPPER(Tasks[[#This Row],[_Predecessors]]),";",",")," ",""),",",REPT(" ",99)),199,99)))</f>
        <v/>
      </c>
      <c r="DD93" s="42">
        <f>IF(Tasks[[#This Row],[_Pred3Text]]="","",IFERROR(VALUE(LEFT(Tasks[[#This Row],[_Pred3Text]],MIN(FIND("F",Tasks[[#This Row],[_Pred3Text]]&amp;"F"),FIND("S",Tasks[[#This Row],[_Pred3Text]]&amp;"S"),FIND("+",Tasks[[#This Row],[_Pred3Text]]&amp;"+"),FIND("-",Tasks[[#This Row],[_Pred3Text]]&amp;"-"))-1)),""))</f>
        <v/>
      </c>
      <c r="DE9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3" s="42">
        <f>IF(Tasks[[#This Row],[_Pred3Text]]="","",TRIM(MID(SUBSTITUTE(SUBSTITUTE(SUBSTITUTE(UPPER(Tasks[[#This Row],[_Predecessors]]),";",",")," ",""),",",REPT(" ",99)),298,99)))</f>
        <v/>
      </c>
      <c r="DH93" s="42">
        <f>IF(Tasks[[#This Row],[_Pred4Text]]="","",IFERROR(VALUE(LEFT(Tasks[[#This Row],[_Pred4Text]],MIN(FIND("F",Tasks[[#This Row],[_Pred4Text]]&amp;"F"),FIND("S",Tasks[[#This Row],[_Pred4Text]]&amp;"S"),FIND("+",Tasks[[#This Row],[_Pred4Text]]&amp;"+"),FIND("-",Tasks[[#This Row],[_Pred4Text]]&amp;"-"))-1)),""))</f>
        <v/>
      </c>
      <c r="DI9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3" s="42">
        <f>IF(OR(Tasks[[#This Row],[Task Name]]="",Tasks[[#This Row],[_Resources]]=""),"",TRIM(MID(SUBSTITUTE(Tasks[[#This Row],[_Resources]],",",REPT(" ",99)),1,99)))</f>
        <v/>
      </c>
      <c r="DL93" s="42">
        <f>IF(Tasks[[#This Row],[_Res1Text]]="","",TRIM(MID(SUBSTITUTE(Tasks[[#This Row],[_Resources]],",",REPT(" ",99)),100,99)))</f>
        <v/>
      </c>
      <c r="DM93" s="42">
        <f>IF(Tasks[[#This Row],[_Res2Text]]="","",TRIM(MID(SUBSTITUTE(Tasks[[#This Row],[_Resources]],",",REPT(" ",99)),199,99)))</f>
        <v/>
      </c>
      <c r="DN93" s="42">
        <f>IF(Tasks[[#This Row],[_Res3Text]]="","",TRIM(MID(SUBSTITUTE(Tasks[[#This Row],[_Resources]],",",REPT(" ",99)),298,99)))</f>
        <v/>
      </c>
      <c r="DO93" s="42">
        <f>IF(Tasks[[#This Row],[_Res1Text]]="",0,IFERROR(MATCH(TRIM(LEFT(Tasks[[#This Row],[_Res1Text]],FIND("[",Tasks[[#This Row],[_Res1Text]]&amp;"[")-1)),res_Name,0),IFERROR(MATCH(TRIM(LEFT(Tasks[[#This Row],[_Res1Text]],FIND("[",Tasks[[#This Row],[_Res1Text]]&amp;"[")-1)),res_Initials,0),0)))</f>
        <v/>
      </c>
      <c r="DP93" s="42">
        <f>IF(Tasks[[#This Row],[_Res2Text]]="",0,IFERROR(MATCH(TRIM(LEFT(Tasks[[#This Row],[_Res2Text]],FIND("[",Tasks[[#This Row],[_Res2Text]]&amp;"[")-1)),res_Name,0),IFERROR(MATCH(TRIM(LEFT(Tasks[[#This Row],[_Res2Text]],FIND("[",Tasks[[#This Row],[_Res2Text]]&amp;"[")-1)),res_Initials,0),0)))</f>
        <v/>
      </c>
      <c r="DQ93" s="42">
        <f>IF(Tasks[[#This Row],[_Res3Text]]="",0,IFERROR(MATCH(TRIM(LEFT(Tasks[[#This Row],[_Res3Text]],FIND("[",Tasks[[#This Row],[_Res3Text]]&amp;"[")-1)),res_Name,0),IFERROR(MATCH(TRIM(LEFT(Tasks[[#This Row],[_Res3Text]],FIND("[",Tasks[[#This Row],[_Res3Text]]&amp;"[")-1)),res_Initials,0),0)))</f>
        <v/>
      </c>
      <c r="DR93" s="42">
        <f>IF(Tasks[[#This Row],[_Res4Text]]="",0,IFERROR(MATCH(TRIM(LEFT(Tasks[[#This Row],[_Res4Text]],FIND("[",Tasks[[#This Row],[_Res4Text]]&amp;"[")-1)),res_Name,0),IFERROR(MATCH(TRIM(LEFT(Tasks[[#This Row],[_Res4Text]],FIND("[",Tasks[[#This Row],[_Res4Text]]&amp;"[")-1)),res_Initials,0),0)))</f>
        <v/>
      </c>
      <c r="DS93" s="42">
        <f>IF(Tasks[[#This Row],[_Res1Text]]="","",IF(Tasks[[#This Row],[_Res1Row]]&gt;0,INDEX(res_Name,Tasks[[#This Row],[_Res1Row]]),TRIM(LEFT(Tasks[[#This Row],[_Res1Text]],FIND("[",Tasks[[#This Row],[_Res1Text]]&amp;"[")-1))))</f>
        <v/>
      </c>
      <c r="DT9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3" s="42">
        <f>IF(NOT(Tasks[[#This Row],[_IsLeaf]]=1),0,(Tasks[[#This Row],[_Resource1]]&lt;&gt;"")+(Tasks[[#This Row],[_Res2]]&lt;&gt;"")+(Tasks[[#This Row],[_Res3]]&lt;&gt;"")+(Tasks[[#This Row],[_Res4]]&lt;&gt;""))</f>
        <v/>
      </c>
      <c r="DV93" s="42">
        <f>IF(Tasks[[#This Row],[_Res2Text]]="","",IF(Tasks[[#This Row],[_Res2Row]]&gt;0,INDEX(res_Name,Tasks[[#This Row],[_Res2Row]]),TRIM(LEFT(Tasks[[#This Row],[_Res2Text]],FIND("[",Tasks[[#This Row],[_Res2Text]]&amp;"[")-1))))</f>
        <v/>
      </c>
      <c r="DW9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3" s="42">
        <f>IF(OR(NOT(Tasks[[#This Row],[_IsLeaf]]=1),Tasks[[#This Row],[_Res2Row]]=0),0,N(Tasks[[#This Row],[_Days]])*HoursPerDay*IF(Tasks[[#This Row],[_Res2Units]]="",DefaultUnits,Tasks[[#This Row],[_Res2Units]]))</f>
        <v/>
      </c>
      <c r="DY93" s="42">
        <f>IF(AND(AND(Tasks[[#This Row],[_IsLeaf]]=1,Tasks[[#This Row],[_LeafTotalWork]]&gt;0),Tasks[[#This Row],[_Res2Work]]&gt;0),Tasks[[#This Row],[_Res2Work]]/(Tasks[[#This Row],[_FinishWorkday]]-Tasks[[#This Row],[_StartWorkday]]+1),0)</f>
        <v/>
      </c>
      <c r="DZ93" s="42">
        <f>Tasks[[#This Row],[_Res2WorkPerWD]]*MAX(0,Tasks[[#This Row],[_StartWorkday]]-1)</f>
        <v/>
      </c>
      <c r="EA93" s="42">
        <f>Tasks[[#This Row],[_Res2Work]]*Tasks[[#This Row],[_LeafProgress]]</f>
        <v/>
      </c>
      <c r="EB93" s="42">
        <f>IF(Tasks[[#This Row],[_Res3Text]]="","",IF(Tasks[[#This Row],[_Res3Row]]&gt;0,INDEX(res_Name,Tasks[[#This Row],[_Res3Row]]),TRIM(LEFT(Tasks[[#This Row],[_Res3Text]],FIND("[",Tasks[[#This Row],[_Res3Text]]&amp;"[")-1))))</f>
        <v/>
      </c>
      <c r="EC9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3" s="42">
        <f>IF(OR(NOT(Tasks[[#This Row],[_IsLeaf]]=1),Tasks[[#This Row],[_Res3Row]]=0),0,N(Tasks[[#This Row],[_Days]])*HoursPerDay*IF(Tasks[[#This Row],[_Res3Units]]="",DefaultUnits,Tasks[[#This Row],[_Res3Units]]))</f>
        <v/>
      </c>
      <c r="EE93" s="42">
        <f>IF(AND(AND(Tasks[[#This Row],[_IsLeaf]]=1,Tasks[[#This Row],[_LeafTotalWork]]&gt;0),Tasks[[#This Row],[_Res3Work]]&gt;0),Tasks[[#This Row],[_Res3Work]]/(Tasks[[#This Row],[_FinishWorkday]]-Tasks[[#This Row],[_StartWorkday]]+1),0)</f>
        <v/>
      </c>
      <c r="EF93" s="42">
        <f>Tasks[[#This Row],[_Res3WorkPerWD]]*MAX(0,Tasks[[#This Row],[_StartWorkday]]-1)</f>
        <v/>
      </c>
      <c r="EG93" s="42">
        <f>Tasks[[#This Row],[_Res3Work]]*Tasks[[#This Row],[_LeafProgress]]</f>
        <v/>
      </c>
      <c r="EH93" s="42">
        <f>IF(Tasks[[#This Row],[_Res4Text]]="","",IF(Tasks[[#This Row],[_Res4Row]]&gt;0,INDEX(res_Name,Tasks[[#This Row],[_Res4Row]]),TRIM(LEFT(Tasks[[#This Row],[_Res4Text]],FIND("[",Tasks[[#This Row],[_Res4Text]]&amp;"[")-1))))</f>
        <v/>
      </c>
      <c r="EI9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3" s="42">
        <f>IF(OR(NOT(Tasks[[#This Row],[_IsLeaf]]=1),Tasks[[#This Row],[_Res4Row]]=0),0,N(Tasks[[#This Row],[_Days]])*HoursPerDay*IF(Tasks[[#This Row],[_Res4Units]]="",DefaultUnits,Tasks[[#This Row],[_Res4Units]]))</f>
        <v/>
      </c>
      <c r="EK93" s="42">
        <f>IF(AND(AND(Tasks[[#This Row],[_IsLeaf]]=1,Tasks[[#This Row],[_LeafTotalWork]]&gt;0),Tasks[[#This Row],[_Res4Work]]&gt;0),Tasks[[#This Row],[_Res4Work]]/(Tasks[[#This Row],[_FinishWorkday]]-Tasks[[#This Row],[_StartWorkday]]+1),0)</f>
        <v/>
      </c>
      <c r="EL93" s="42">
        <f>Tasks[[#This Row],[_Res4WorkPerWD]]*MAX(0,Tasks[[#This Row],[_StartWorkday]]-1)</f>
        <v/>
      </c>
      <c r="EM93" s="42">
        <f>Tasks[[#This Row],[_Res4Work]]*Tasks[[#This Row],[_LeafProgress]]</f>
        <v/>
      </c>
      <c r="EN93" s="42">
        <f>IF(ISNUMBER(Tasks[[#This Row],[% Complete]]),Tasks[[#This Row],[% Complete]],IF(Tasks[[#This Row],[Stage]]="",0,IFERROR(INDEX(stg_Pct,MATCH(Tasks[[#This Row],[Stage]],stg_Name,0)),0)))</f>
        <v/>
      </c>
      <c r="EO93" s="42">
        <f>IF(NOT(Tasks[[#This Row],[_IsLeaf]]=1),0,IF(N(Tasks[[#This Row],[Actual Finish]])&gt;0,1,MIN(1,Tasks[[#This Row],[_Pct]])))</f>
        <v/>
      </c>
      <c r="EP93" s="42">
        <f>IF(OR(NOT(Tasks[[#This Row],[_IsLeaf]]=1),Tasks[[#This Row],[_Res1Row]]=0),0,N(Tasks[[#This Row],[_Days]])*HoursPerDay*IF(Tasks[[#This Row],[_Units1]]="",DefaultUnits,Tasks[[#This Row],[_Units1]]))</f>
        <v/>
      </c>
      <c r="EQ93" s="42">
        <f>Tasks[[#This Row],[_LeafWork]]+Tasks[[#This Row],[_Res2Work]]+Tasks[[#This Row],[_Res3Work]]+Tasks[[#This Row],[_Res4Work]]</f>
        <v/>
      </c>
      <c r="ER9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3" s="42">
        <f>IF(NOT(Tasks[[#This Row],[_IsLeaf]]=1),0,MAX(_xlfn.MAXIFS(Tasks[_Row],Tasks[_Pred1UID],Tasks[[#This Row],[UID]]),_xlfn.MAXIFS(Tasks[_Row],Tasks[_Pred2UID],Tasks[[#This Row],[UID]]),_xlfn.MAXIFS(Tasks[_Row],Tasks[_Pred3UID],Tasks[[#This Row],[UID]]),_xlfn.MAXIFS(Tasks[_Row],Tasks[_Pred4UID],Tasks[[#This Row],[UID]])))</f>
        <v/>
      </c>
      <c r="FA9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3" s="88">
        <f>IF(NOT(Tasks[[#This Row],[_IsLeaf]]=1),"",IF(N(Tasks[[#This Row],[_Days]])&lt;=0,Tasks[[#This Row],[_LeafLateFinish]],WORKDAY.INTL(Tasks[[#This Row],[_LeafLateFinish]],-(Tasks[[#This Row],[_Days]]-1),WorkWeek,Holidays)))</f>
        <v/>
      </c>
      <c r="FD9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3" s="42">
        <f>AND(Tasks[[#This Row],[_IsLeaf]]=1,Tasks[[#This Row],[_LeafProgress]]&lt;1,N(Tasks[[#This Row],[_LeafTotalSlack]])&lt;=CriticalSlackDays)</f>
        <v/>
      </c>
      <c r="FF93" s="42">
        <f>IF(AND(Tasks[[#This Row],[_IsLeaf]]=1,Tasks[[#This Row],[_ConstraintCode]]=1,Tasks[[#This Row],[Mode]]&lt;&gt;"Manual",N(Tasks[[#This Row],[Actual Start]])=0),MAX(0,N(Tasks[[#This Row],[Free Slack]])),0)</f>
        <v/>
      </c>
      <c r="FG93" s="88">
        <f>IF(NOT(Tasks[[#This Row],[_IsLeaf]]=1),"",IF(Tasks[[#This Row],[_AlapShift]]=0,Tasks[[#This Row],[_LeafCalcStart]],WORKDAY.INTL(Tasks[[#This Row],[_LeafCalcStart]],Tasks[[#This Row],[_AlapShift]],WorkWeek,Holidays)))</f>
        <v/>
      </c>
      <c r="FH93" s="88">
        <f>IF(NOT(Tasks[[#This Row],[_IsLeaf]]=1),"",IF(Tasks[[#This Row],[_AlapShift]]=0,Tasks[[#This Row],[_LeafCalcFinish]],WORKDAY.INTL(Tasks[[#This Row],[_LeafCalcFinish]],Tasks[[#This Row],[_AlapShift]],WorkWeek,Holidays)))</f>
        <v/>
      </c>
      <c r="FI93" s="88">
        <f>IF(NOT(Tasks[[#This Row],[_IsLeaf]]=1),"",IF(Tasks[[#This Row],[_AlapShift]]=0,Tasks[[#This Row],[_LeafFcstStart]],WORKDAY.INTL(Tasks[[#This Row],[_LeafFcstStart]],Tasks[[#This Row],[_AlapShift]],WorkWeek,Holidays)))</f>
        <v/>
      </c>
      <c r="FJ93" s="88">
        <f>IF(NOT(Tasks[[#This Row],[_IsLeaf]]=1),"",IF(Tasks[[#This Row],[_AlapShift]]=0,Tasks[[#This Row],[_LeafFcstFinish]],WORKDAY.INTL(Tasks[[#This Row],[_LeafFcstFinish]],Tasks[[#This Row],[_AlapShift]],WorkWeek,Holidays)))</f>
        <v/>
      </c>
      <c r="FK93" s="88">
        <f>IF(Tasks[[#This Row],[Task Name]]="","",IF(Tasks[[#This Row],[_IsSummary]],MIN(INDEX(Tasks[_ShownCalcStart],Tasks[[#This Row],[_Row]]+1):INDEX(Tasks[_ShownCalcStart],Tasks[[#This Row],[_Row]]+Tasks[[#This Row],[_Descendants]])),Tasks[[#This Row],[_ShownCalcStart]]))</f>
        <v/>
      </c>
      <c r="FL93" s="88">
        <f>IF(Tasks[[#This Row],[Task Name]]="","",IF(Tasks[[#This Row],[_IsSummary]],MAX(INDEX(Tasks[_ShownCalcFinish],Tasks[[#This Row],[_Row]]+1):INDEX(Tasks[_ShownCalcFinish],Tasks[[#This Row],[_Row]]+Tasks[[#This Row],[_Descendants]])),Tasks[[#This Row],[_ShownCalcFinish]]))</f>
        <v/>
      </c>
      <c r="FM9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3" s="42">
        <f>IF(AND(Tasks[[#This Row],[_IsLeaf]]=1,Tasks[[#This Row],[_LeafTotalWork]]&gt;0),NETWORKDAYS.INTL(ProjectStart,Tasks[[#This Row],[_ShownFcstStart]],WorkWeek,Holidays),0)</f>
        <v/>
      </c>
      <c r="FZ93" s="42">
        <f>IF(AND(Tasks[[#This Row],[_IsLeaf]]=1,Tasks[[#This Row],[_LeafTotalWork]]&gt;0),MAX(Tasks[[#This Row],[_StartWorkday]],NETWORKDAYS.INTL(ProjectStart,Tasks[[#This Row],[_ShownFcstFinish]],WorkWeek,Holidays)),0)</f>
        <v/>
      </c>
      <c r="GA93" s="42">
        <f>IF(AND(Tasks[[#This Row],[_IsLeaf]]=1,Tasks[[#This Row],[_LeafTotalWork]]&gt;0),Tasks[[#This Row],[_LeafWork]]/(Tasks[[#This Row],[_FinishWorkday]]-Tasks[[#This Row],[_StartWorkday]]+1),0)</f>
        <v/>
      </c>
      <c r="GB93" s="42">
        <f>Tasks[[#This Row],[_WorkPerWorkday]]*(Tasks[[#This Row],[_StartWorkday]]-1)</f>
        <v/>
      </c>
      <c r="GC93" s="42">
        <f>IF(Tasks[[#This Row],[_IsLeaf]]=1,MAX(N(Tasks[[#This Row],[_Days]]),0.1),0)</f>
        <v/>
      </c>
      <c r="GD93" s="42">
        <f>Tasks[[#This Row],[_WeightDur]]*Tasks[[#This Row],[_LeafProgress]]</f>
        <v/>
      </c>
      <c r="GE93" s="42">
        <f>Tasks[[#This Row],[_WeightDur]]*Tasks[[#This Row],[_PlannedPct]]</f>
        <v/>
      </c>
      <c r="GF9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3" s="42">
        <f>IF(AND(Tasks[[#This Row],[_IsLeaf]]=1,N(Tasks[[#This Row],[_Days]])=0,Tasks[[#This Row],[_LeafProgress]]&lt;1),Tasks[[#This Row],[_ShownFcstFinish]]+Tasks[[#This Row],[_Row]]/100000,"")</f>
        <v/>
      </c>
      <c r="GH9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3" s="42">
        <f>IF(Tasks[[#This Row],[Task Name]]="","",LEFT(Tasks[[#This Row],[WBS]],FIND(".",Tasks[[#This Row],[WBS]]&amp;".")-1))</f>
        <v/>
      </c>
      <c r="GJ93" s="42">
        <f>IF(AND(Tasks[[#This Row],[Task Name]]&lt;&gt;"",Tasks[[#This Row],[_Level]]=1),Tasks[[#This Row],[_Row]],"")</f>
        <v/>
      </c>
      <c r="GK93" s="42">
        <f>IF(AND(Tasks[[#This Row],[_IsLeaf]]=1,N(Tasks[[#This Row],[_Days]])=0),Tasks[[#This Row],[Planned Finish]]+Tasks[[#This Row],[_Row]]/100000,"")</f>
        <v/>
      </c>
      <c r="GL93" s="42">
        <f>IF(AND(Tasks[[#This Row],[_IsLeaf]]=1,Tasks[[#This Row],[_LeafProgress]]&lt;1,OR(N(Tasks[[#This Row],[Finish Var]])&gt;0,Tasks[[#This Row],[Status]]="Late Start")),MAX(0,Tasks[[#This Row],[Finish Var]])+1-Tasks[[#This Row],[_Row]]/1000000,"")</f>
        <v/>
      </c>
      <c r="GM93" s="42">
        <f>IF(AND(Tasks[[#This Row],[_IsLeaf]]=1,N(Tasks[[#This Row],[Actual Start]])=0,Tasks[[#This Row],[_ShownFcstStart]]&gt;=StatusDate,Tasks[[#This Row],[_ShownFcstStart]]&lt;=LookaheadEnd),Tasks[[#This Row],[_ShownFcstStart]]+Tasks[[#This Row],[_Row]]/100000,"")</f>
        <v/>
      </c>
      <c r="GN93" s="42">
        <f>IF(AND(Tasks[[#This Row],[_IsLeaf]]=1,Tasks[[#This Row],[_LeafProgress]]&lt;1,Tasks[[#This Row],[_ShownFcstFinish]]&gt;=StatusDate,Tasks[[#This Row],[_ShownFcstFinish]]&lt;=LookaheadEnd),Tasks[[#This Row],[_ShownFcstFinish]]+Tasks[[#This Row],[_Row]]/100000,"")</f>
        <v/>
      </c>
      <c r="GO93" s="42">
        <f>IF(Tasks[[#This Row],[_LeafCritical]],Tasks[[#This Row],[_ShownFcstStart]]+Tasks[[#This Row],[_Row]]/100000,"")</f>
        <v/>
      </c>
      <c r="GP93" s="42">
        <f>Tasks[[#This Row],[_LeafWork]]*Tasks[[#This Row],[_LeafProgress]]</f>
        <v/>
      </c>
      <c r="GQ93" s="88">
        <f>IF(AND(Tasks[[#This Row],[_IsLeaf]]=1,Tasks[[#This Row],[_LeafProgress]]&gt;=1),IF(N(Tasks[[#This Row],[Actual Finish]])&gt;0,Tasks[[#This Row],[Actual Finish]],Tasks[[#This Row],[_ShownFcstFinish]]),"")</f>
        <v/>
      </c>
      <c r="GR93" s="42">
        <f>IF(Tasks[[#This Row],[_IsLeaf]]=1,N(Tasks[[#This Row],[Story Points]]),0)</f>
        <v/>
      </c>
      <c r="GS93" s="42">
        <f>""</f>
        <v/>
      </c>
      <c r="GT93" s="42">
        <f>IF(Tasks[[#This Row],[Task Name]]="",FALSE(),AND(Tasks[[#This Row],[_IsLeaf]]=1,N(Tasks[[#This Row],[_Days]])=0))</f>
        <v/>
      </c>
      <c r="GU93" s="88">
        <f>IF(Tasks[[#This Row],[Task Name]]="",0,IF(AND(Tasks[[#This Row],[_IsLeaf]]=1,NOT(Tasks[[#This Row],[_IsMilestone]]),N(Tasks[[#This Row],[Progress]])&gt;0),Tasks[[#This Row],[Start]],0))</f>
        <v/>
      </c>
      <c r="GV93" s="88">
        <f>IF(Tasks[[#This Row],[_DoneFrom]]=0,0,IF(Tasks[[#This Row],[Progress]]&gt;=1,Tasks[[#This Row],[Finish]],MAX(Tasks[[#This Row],[_DoneFrom]],Tasks[[#This Row],[Start]]+ROUND((Tasks[[#This Row],[Finish]]-Tasks[[#This Row],[Start]]+1)*Tasks[[#This Row],[Progress]],0)-1)))</f>
        <v/>
      </c>
      <c r="GW93" s="88">
        <f>IF(Tasks[[#This Row],[Task Name]]="",0,IF(OR(NOT(Tasks[[#This Row],[_IsLeaf]]=1),Tasks[[#This Row],[_IsMilestone]],N(Tasks[[#This Row],[Progress]])&gt;=1),0,IF(Tasks[[#This Row],[_DoneTo]]&gt;0,Tasks[[#This Row],[_DoneTo]]+1,Tasks[[#This Row],[Start]])))</f>
        <v/>
      </c>
      <c r="GX93" s="88">
        <f>IF(Tasks[[#This Row],[_RemFrom]]=0,0,Tasks[[#This Row],[Finish]])</f>
        <v/>
      </c>
      <c r="GY93" s="42">
        <f>IF(Tasks[[#This Row],[Task Name]]="",FALSE(),OR(NOT(BaselineSet),N(Tasks[[#This Row],[Baseline Start]])&gt;0))</f>
        <v/>
      </c>
      <c r="GZ93" s="42">
        <f>IF(AND(Sandbox="Yes",L_PARSE_DURATION(Tasks[[#This Row],[Sandbox Duration]])&lt;&gt;""),L_PARSE_DURATION(Tasks[[#This Row],[Sandbox Duration]]),L_PARSE_DURATION(Tasks[[#This Row],[Duration]]))</f>
        <v/>
      </c>
      <c r="HA9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3" s="42">
        <f>IF(Tasks[[#This Row],[_IsLeaf]]=1,Tasks[[#This Row],[_Row]],"")</f>
        <v/>
      </c>
      <c r="HD93" s="42">
        <f>IFERROR(INDEX(Tasks[UID],SMALL(Tasks[_PickKey],Tasks[[#This Row],[_Row]]))&amp;" "&amp;INDEX(Tasks[Task Name],SMALL(Tasks[_PickKey],Tasks[[#This Row],[_Row]])),"")</f>
        <v/>
      </c>
      <c r="HE93" s="42">
        <f>IF(Tasks[[#This Row],[Task Name]]="","",IF(Tasks[[#This Row],[_IsSummary]],NETWORKDAYS.INTL(Tasks[[#This Row],[Start]],Tasks[[#This Row],[Finish]],WorkWeek,Holidays),N(Tasks[[#This Row],[_Days]])))</f>
        <v/>
      </c>
      <c r="HF93" s="42">
        <f>IF(Tasks[[#This Row],[Expected]]="",0,((Tasks[[#This Row],[Pessimistic]]-Tasks[[#This Row],[Optimistic]])/6)^2)</f>
        <v/>
      </c>
      <c r="HG93" s="42">
        <f>IF(Tasks[[#This Row],[Expected]]="",0,Tasks[[#This Row],[Expected]]-N(Tasks[[#This Row],[_Days]]))</f>
        <v/>
      </c>
    </row>
    <row r="94">
      <c r="A94" s="21">
        <f>IF(Tasks[[#This Row],[Task Name]]="","",COUNTA(Tasks[[#Headers],[Task Name]]:Tasks[[#This Row],[Task Name]])-1)</f>
        <v/>
      </c>
      <c r="B94" s="22" t="n">
        <v>102</v>
      </c>
      <c r="C94" s="22" t="n"/>
      <c r="D94" s="23" t="n"/>
      <c r="E94" s="22" t="n"/>
      <c r="F94" s="23" t="n"/>
      <c r="G94" s="22" t="n"/>
      <c r="H94" s="22" t="n"/>
      <c r="I94" s="23" t="n"/>
      <c r="J94" s="22" t="n"/>
      <c r="K94" s="22" t="n"/>
      <c r="L94" s="23" t="n"/>
      <c r="M94" s="22" t="n"/>
      <c r="N94" s="22" t="n"/>
      <c r="O94" s="23" t="n"/>
      <c r="P94" s="22" t="n"/>
      <c r="Q94" s="22" t="n"/>
      <c r="R94" s="23" t="n"/>
      <c r="S94" s="23" t="n"/>
      <c r="T94" s="82" t="n"/>
      <c r="U94" s="23" t="n"/>
      <c r="V94" s="82" t="n"/>
      <c r="W94" s="23" t="n"/>
      <c r="X94" s="82" t="n"/>
      <c r="Y94" s="23" t="n"/>
      <c r="Z94" s="82" t="n"/>
      <c r="AA94" s="23" t="n"/>
      <c r="AB94" s="23" t="n"/>
      <c r="AC94" s="7" t="n"/>
      <c r="AD94" s="7" t="n"/>
      <c r="AE94" s="61">
        <f>IF(Tasks[[#This Row],[Task Name]]="","",IF(Tasks[[#This Row],[_IsSummary]],MIN(INDEX(Tasks[_ShownFcstStart],Tasks[[#This Row],[_Row]]+1):INDEX(Tasks[_ShownFcstStart],Tasks[[#This Row],[_Row]]+Tasks[[#This Row],[_Descendants]])),Tasks[[#This Row],[_ShownFcstStart]]))</f>
        <v/>
      </c>
      <c r="AF94" s="61">
        <f>IF(Tasks[[#This Row],[Task Name]]="","",IF(Tasks[[#This Row],[_IsSummary]],MAX(INDEX(Tasks[_ShownFcstFinish],Tasks[[#This Row],[_Row]]+1):INDEX(Tasks[_ShownFcstFinish],Tasks[[#This Row],[_Row]]+Tasks[[#This Row],[_Descendants]])),Tasks[[#This Row],[_ShownFcstFinish]]))</f>
        <v/>
      </c>
      <c r="AG94" s="21">
        <f>""</f>
        <v/>
      </c>
      <c r="AH94" s="23" t="n"/>
      <c r="AI9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4" s="7" t="n"/>
      <c r="AK94" s="22" t="n"/>
      <c r="AL94" s="23" t="n"/>
      <c r="AM94" s="7" t="n"/>
      <c r="AN94" s="21">
        <f>IF(Tasks[[#This Row],[Task Name]]="","",IF(Tasks[[#This Row],[Finish]]&gt;=Tasks[[#This Row],[Planned Finish]],NETWORKDAYS.INTL(Tasks[[#This Row],[Planned Finish]],Tasks[[#This Row],[Finish]],WorkWeek,Holidays)-1,1-NETWORKDAYS.INTL(Tasks[[#This Row],[Finish]],Tasks[[#This Row],[Planned Finish]],WorkWeek,Holidays)))</f>
        <v/>
      </c>
      <c r="AO94" s="21">
        <f>IF(Tasks[[#This Row],[Task Name]]="","",IF(Tasks[[#This Row],[Progress]]&gt;=1,"Complete",IF(OR(N(Tasks[[#This Row],[Actual Start]])&gt;0,Tasks[[#This Row],[Progress]]&gt;0),IF(Tasks[[#This Row],[Finish Var]]&gt;0,"Behind","In Progress"),IF(Tasks[[#This Row],[Planned Start]]&lt;StatusDate,"Late Start","Not Started"))))</f>
        <v/>
      </c>
      <c r="AP94" s="21">
        <f>IF(Tasks[[#This Row],[Task Name]]="","",IF(IF(Tasks[[#This Row],[_IsSummary]],COUNTIF(INDEX(Tasks[_LeafCritical],Tasks[[#This Row],[_Row]]+1):INDEX(Tasks[_LeafCritical],Tasks[[#This Row],[_Row]]+Tasks[[#This Row],[_Descendants]]),TRUE())&gt;0,Tasks[[#This Row],[_LeafCritical]]),"Yes",""))</f>
        <v/>
      </c>
      <c r="AQ94" s="61">
        <f>IF(Tasks[[#This Row],[Task Name]]="","",IF(N(Tasks[[#This Row],[Baseline Start]])&gt;0,Tasks[[#This Row],[Baseline Start]],Tasks[[#This Row],[_CalcStart]]))</f>
        <v/>
      </c>
      <c r="AR94" s="61">
        <f>IF(Tasks[[#This Row],[Task Name]]="","",IF(N(Tasks[[#This Row],[Baseline Finish]])&gt;0,Tasks[[#This Row],[Baseline Finish]],Tasks[[#This Row],[_CalcFinish]]))</f>
        <v/>
      </c>
      <c r="AS94" s="21">
        <f>IF(Tasks[[#This Row],[Task Name]]="","",IF(Tasks[[#This Row],[Start]]&gt;=Tasks[[#This Row],[Planned Start]],NETWORKDAYS.INTL(Tasks[[#This Row],[Planned Start]],Tasks[[#This Row],[Start]],WorkWeek,Holidays)-1,1-NETWORKDAYS.INTL(Tasks[[#This Row],[Start]],Tasks[[#This Row],[Planned Start]],WorkWeek,Holidays)))</f>
        <v/>
      </c>
      <c r="AT94" s="61">
        <f>IF(Tasks[[#This Row],[Task Name]]="","",IF(Tasks[[#This Row],[_IsSummary]],MIN(INDEX(Tasks[_LeafLateStart],Tasks[[#This Row],[_Row]]+1):INDEX(Tasks[_LeafLateStart],Tasks[[#This Row],[_Row]]+Tasks[[#This Row],[_Descendants]])),Tasks[[#This Row],[_LeafLateStart]]))</f>
        <v/>
      </c>
      <c r="AU94" s="61">
        <f>IF(Tasks[[#This Row],[Task Name]]="","",IF(Tasks[[#This Row],[_IsSummary]],MAX(INDEX(Tasks[_LeafLateFinish],Tasks[[#This Row],[_Row]]+1):INDEX(Tasks[_LeafLateFinish],Tasks[[#This Row],[_Row]]+Tasks[[#This Row],[_Descendants]])),Tasks[[#This Row],[_LeafLateFinish]]))</f>
        <v/>
      </c>
      <c r="AV94" s="21">
        <f>IF(Tasks[[#This Row],[Task Name]]="","",IF(Tasks[[#This Row],[_IsSummary]],MIN(INDEX(Tasks[_LeafTotalSlack],Tasks[[#This Row],[_Row]]+1):INDEX(Tasks[_LeafTotalSlack],Tasks[[#This Row],[_Row]]+Tasks[[#This Row],[_Descendants]])),Tasks[[#This Row],[_LeafTotalSlack]]))</f>
        <v/>
      </c>
      <c r="AW9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3" t="n"/>
      <c r="BA9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f>IF(Tasks[[#This Row],[Task Name]]="","",IF(Tasks[[#This Row],[_Level]]&lt;=OutlineShowLevel,"Yes","No"))</f>
        <v/>
      </c>
      <c r="BE94" s="84">
        <f>IF(Tasks[[#This Row],[Task Name]]="","",IF(Tasks[[#This Row],[_IsSummary]],SUM(INDEX(Tasks[_LeafTotalWork],Tasks[[#This Row],[_Row]]+1):INDEX(Tasks[_LeafTotalWork],Tasks[[#This Row],[_Row]]+Tasks[[#This Row],[_Descendants]])),Tasks[[#This Row],[_LeafTotalWork]]))</f>
        <v/>
      </c>
      <c r="BF94" s="23" t="n"/>
      <c r="BG9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f>""</f>
        <v/>
      </c>
      <c r="BI94" s="85" t="n"/>
      <c r="BJ94" s="22" t="n"/>
      <c r="BK94" s="21">
        <f>IF(OR(Tasks[[#This Row],[Task Name]]="",Tasks[[#This Row],[Baseline Duration]]=""),"",Tasks[[#This Row],[_SpanDays]]-N(Tasks[[#This Row],[Baseline Duration]]))</f>
        <v/>
      </c>
      <c r="BL94" s="84">
        <f>IF(OR(Tasks[[#This Row],[Task Name]]="",Tasks[[#This Row],[Baseline Work]]=""),"",Tasks[[#This Row],[Work]]-N(Tasks[[#This Row],[Baseline Work]]))</f>
        <v/>
      </c>
      <c r="BM94" s="61">
        <f>IF(Tasks[[#This Row],[Task Name]]="","",IF(OR(TakeBaseline="Yes",N(Tasks[[#This Row],[Baseline Start]])=0),Tasks[[#This Row],[Start]],Tasks[[#This Row],[Baseline Start]]))</f>
        <v/>
      </c>
      <c r="BN94" s="61">
        <f>IF(Tasks[[#This Row],[Task Name]]="","",IF(OR(TakeBaseline="Yes",N(Tasks[[#This Row],[Baseline Finish]])=0),Tasks[[#This Row],[Finish]],Tasks[[#This Row],[Baseline Finish]]))</f>
        <v/>
      </c>
      <c r="BO94" s="21">
        <f>IF(Tasks[[#This Row],[Task Name]]="","",IF(OR(TakeBaseline="Yes",N(Tasks[[#This Row],[Baseline Duration]])=0),Tasks[[#This Row],[_SpanDays]],Tasks[[#This Row],[Baseline Duration]]))</f>
        <v/>
      </c>
      <c r="BP94" s="84">
        <f>IF(Tasks[[#This Row],[Task Name]]="","",IF(OR(TakeBaseline="Yes",N(Tasks[[#This Row],[Baseline Work]])=0),Tasks[[#This Row],[Work]],Tasks[[#This Row],[Baseline Work]]))</f>
        <v/>
      </c>
      <c r="BQ94" s="7" t="n"/>
      <c r="BR94" s="7" t="n"/>
      <c r="BS94" s="22" t="n"/>
      <c r="BT94" s="86" t="n"/>
      <c r="BU94" s="23" t="n"/>
      <c r="BV94" s="23" t="n"/>
      <c r="BW94" s="23" t="n"/>
      <c r="BX94" s="87">
        <f>IF(AND(Tasks[[#This Row],[_IsLeaf]]=1,ISNUMBER(Tasks[[#This Row],[Optimistic]]),ISNUMBER(Tasks[[#This Row],[Pessimistic]])),ROUND((Tasks[[#This Row],[Optimistic]]+4*N(Tasks[[#This Row],[_Days]])+Tasks[[#This Row],[Pessimistic]])/6,1),"")</f>
        <v/>
      </c>
      <c r="BY94" s="85" t="n"/>
      <c r="BZ94" s="85" t="n"/>
      <c r="CA94" s="22" t="n"/>
      <c r="CB94" s="42">
        <f>IF(Tasks[[#This Row],[Task Name]]="","",MAX(1,N(Tasks[[#This Row],[Level]])))</f>
        <v/>
      </c>
      <c r="CC94" s="42">
        <f>ROW()-ROW(Tasks[[#Headers],[ID]])</f>
        <v/>
      </c>
      <c r="CD94" s="42">
        <f>IF(OR(Tasks[[#This Row],[Task Name]]="",Tasks[[#This Row],[_Level]]&lt;=1),0,IFERROR(LOOKUP(2,1/(Tasks[[#Headers],[_Level]]:Tasks[[#This Row],[_Level]]=Tasks[[#This Row],[_Level]]-1),ROW(Tasks[[#Headers],[_Level]]:Tasks[[#This Row],[_Level]])),0))</f>
        <v/>
      </c>
      <c r="CE94" s="42">
        <f>IFERROR(N(INDEX(Tasks[_Level],Tasks[[#This Row],[_Row]]+1)),0)</f>
        <v/>
      </c>
      <c r="CF94" s="42">
        <f>AND(Tasks[[#This Row],[Task Name]]&lt;&gt;"",Tasks[[#This Row],[_NextLevel]]&gt;Tasks[[#This Row],[_Level]])</f>
        <v/>
      </c>
      <c r="CG94" s="42">
        <f>IF(Tasks[[#This Row],[_IsSummary]],COUNTIF(Tasks[WBS],Tasks[[#This Row],[WBS]]&amp;".*"),0)</f>
        <v/>
      </c>
      <c r="CH94" s="42">
        <f>IF(AND(Tasks[[#This Row],[Task Name]]&lt;&gt;"",NOT(Tasks[[#This Row],[_IsSummary]])),1,0)</f>
        <v/>
      </c>
      <c r="CI94" s="42">
        <f>IF(N(Tasks[[#This Row],[_Pred1UID]])=0,0,IFERROR(MATCH(Tasks[[#This Row],[_Pred1UID]],Tasks[UID],0),-1))</f>
        <v/>
      </c>
      <c r="CJ94" s="42">
        <f>IF(N(Tasks[[#This Row],[_Pred2UID]])=0,0,IFERROR(MATCH(Tasks[[#This Row],[_Pred2UID]],Tasks[UID],0),-1))</f>
        <v/>
      </c>
      <c r="CK94" s="42">
        <f>IF(N(Tasks[[#This Row],[_Pred3UID]])=0,0,IFERROR(MATCH(Tasks[[#This Row],[_Pred3UID]],Tasks[UID],0),-1))</f>
        <v/>
      </c>
      <c r="CL94" s="42">
        <f>IF(N(Tasks[[#This Row],[_Pred4UID]])=0,0,IFERROR(MATCH(Tasks[[#This Row],[_Pred4UID]],Tasks[UID],0),-1))</f>
        <v/>
      </c>
      <c r="CM9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4" s="88">
        <f>IF(N(Tasks[[#This Row],[Constraint Date]])=0,0,IF(AND(OR(Tasks[[#This Row],[_ConstraintCode]]=3,Tasks[[#This Row],[_ConstraintCode]]=6,Tasks[[#This Row],[_ConstraintCode]]=7),N(Tasks[[#This Row],[_Days]])&gt;1),WORKDAY.INTL(N(Tasks[[#This Row],[Constraint Date]]),-(N(Tasks[[#This Row],[_Days]])-1),WorkWeek,Holidays),N(Tasks[[#This Row],[Constraint Date]])))</f>
        <v/>
      </c>
      <c r="CO94" s="88">
        <f>IF(OR(Tasks[[#This Row],[_ConstraintCode]]=2,Tasks[[#This Row],[_ConstraintCode]]=3,Tasks[[#This Row],[_ConstraintCode]]=4,Tasks[[#This Row],[_ConstraintCode]]=6),Tasks[[#This Row],[_ConstraintStart]],0)</f>
        <v/>
      </c>
      <c r="CP94" s="88">
        <f>IF(OR(Tasks[[#This Row],[_ConstraintCode]]=2,Tasks[[#This Row],[_ConstraintCode]]=3,Tasks[[#This Row],[_ConstraintCode]]=5,Tasks[[#This Row],[_ConstraintCode]]=7),Tasks[[#This Row],[_ConstraintStart]],2958465)</f>
        <v/>
      </c>
      <c r="CQ9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4" s="88">
        <f>IF(NOT(Tasks[[#This Row],[_IsLeaf]]=1),"",IF(N(Tasks[[#This Row],[_Days]])&lt;=0,Tasks[[#This Row],[_LeafCalcStart]],WORKDAY.INTL(Tasks[[#This Row],[_LeafCalcStart]],Tasks[[#This Row],[_Days]]-1,WorkWeek,Holidays)))</f>
        <v/>
      </c>
      <c r="CS9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4" s="42">
        <f>IF(Tasks[[#This Row],[_Predecessors]]="","",TRIM(MID(SUBSTITUTE(SUBSTITUTE(SUBSTITUTE(UPPER(Tasks[[#This Row],[_Predecessors]]),";",",")," ",""),",",REPT(" ",99)),1,99)))</f>
        <v/>
      </c>
      <c r="CV94" s="42">
        <f>IF(Tasks[[#This Row],[_Pred1Text]]="","",IFERROR(VALUE(LEFT(Tasks[[#This Row],[_Pred1Text]],MIN(FIND("F",Tasks[[#This Row],[_Pred1Text]]&amp;"F"),FIND("S",Tasks[[#This Row],[_Pred1Text]]&amp;"S"),FIND("+",Tasks[[#This Row],[_Pred1Text]]&amp;"+"),FIND("-",Tasks[[#This Row],[_Pred1Text]]&amp;"-"))-1)),""))</f>
        <v/>
      </c>
      <c r="CW9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4" s="42">
        <f>IF(Tasks[[#This Row],[_Pred1Text]]="","",TRIM(MID(SUBSTITUTE(SUBSTITUTE(SUBSTITUTE(UPPER(Tasks[[#This Row],[_Predecessors]]),";",",")," ",""),",",REPT(" ",99)),100,99)))</f>
        <v/>
      </c>
      <c r="CZ94" s="42">
        <f>IF(Tasks[[#This Row],[_Pred2Text]]="","",IFERROR(VALUE(LEFT(Tasks[[#This Row],[_Pred2Text]],MIN(FIND("F",Tasks[[#This Row],[_Pred2Text]]&amp;"F"),FIND("S",Tasks[[#This Row],[_Pred2Text]]&amp;"S"),FIND("+",Tasks[[#This Row],[_Pred2Text]]&amp;"+"),FIND("-",Tasks[[#This Row],[_Pred2Text]]&amp;"-"))-1)),""))</f>
        <v/>
      </c>
      <c r="DA9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4" s="42">
        <f>IF(Tasks[[#This Row],[_Pred2Text]]="","",TRIM(MID(SUBSTITUTE(SUBSTITUTE(SUBSTITUTE(UPPER(Tasks[[#This Row],[_Predecessors]]),";",",")," ",""),",",REPT(" ",99)),199,99)))</f>
        <v/>
      </c>
      <c r="DD94" s="42">
        <f>IF(Tasks[[#This Row],[_Pred3Text]]="","",IFERROR(VALUE(LEFT(Tasks[[#This Row],[_Pred3Text]],MIN(FIND("F",Tasks[[#This Row],[_Pred3Text]]&amp;"F"),FIND("S",Tasks[[#This Row],[_Pred3Text]]&amp;"S"),FIND("+",Tasks[[#This Row],[_Pred3Text]]&amp;"+"),FIND("-",Tasks[[#This Row],[_Pred3Text]]&amp;"-"))-1)),""))</f>
        <v/>
      </c>
      <c r="DE9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4" s="42">
        <f>IF(Tasks[[#This Row],[_Pred3Text]]="","",TRIM(MID(SUBSTITUTE(SUBSTITUTE(SUBSTITUTE(UPPER(Tasks[[#This Row],[_Predecessors]]),";",",")," ",""),",",REPT(" ",99)),298,99)))</f>
        <v/>
      </c>
      <c r="DH94" s="42">
        <f>IF(Tasks[[#This Row],[_Pred4Text]]="","",IFERROR(VALUE(LEFT(Tasks[[#This Row],[_Pred4Text]],MIN(FIND("F",Tasks[[#This Row],[_Pred4Text]]&amp;"F"),FIND("S",Tasks[[#This Row],[_Pred4Text]]&amp;"S"),FIND("+",Tasks[[#This Row],[_Pred4Text]]&amp;"+"),FIND("-",Tasks[[#This Row],[_Pred4Text]]&amp;"-"))-1)),""))</f>
        <v/>
      </c>
      <c r="DI9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4" s="42">
        <f>IF(OR(Tasks[[#This Row],[Task Name]]="",Tasks[[#This Row],[_Resources]]=""),"",TRIM(MID(SUBSTITUTE(Tasks[[#This Row],[_Resources]],",",REPT(" ",99)),1,99)))</f>
        <v/>
      </c>
      <c r="DL94" s="42">
        <f>IF(Tasks[[#This Row],[_Res1Text]]="","",TRIM(MID(SUBSTITUTE(Tasks[[#This Row],[_Resources]],",",REPT(" ",99)),100,99)))</f>
        <v/>
      </c>
      <c r="DM94" s="42">
        <f>IF(Tasks[[#This Row],[_Res2Text]]="","",TRIM(MID(SUBSTITUTE(Tasks[[#This Row],[_Resources]],",",REPT(" ",99)),199,99)))</f>
        <v/>
      </c>
      <c r="DN94" s="42">
        <f>IF(Tasks[[#This Row],[_Res3Text]]="","",TRIM(MID(SUBSTITUTE(Tasks[[#This Row],[_Resources]],",",REPT(" ",99)),298,99)))</f>
        <v/>
      </c>
      <c r="DO94" s="42">
        <f>IF(Tasks[[#This Row],[_Res1Text]]="",0,IFERROR(MATCH(TRIM(LEFT(Tasks[[#This Row],[_Res1Text]],FIND("[",Tasks[[#This Row],[_Res1Text]]&amp;"[")-1)),res_Name,0),IFERROR(MATCH(TRIM(LEFT(Tasks[[#This Row],[_Res1Text]],FIND("[",Tasks[[#This Row],[_Res1Text]]&amp;"[")-1)),res_Initials,0),0)))</f>
        <v/>
      </c>
      <c r="DP94" s="42">
        <f>IF(Tasks[[#This Row],[_Res2Text]]="",0,IFERROR(MATCH(TRIM(LEFT(Tasks[[#This Row],[_Res2Text]],FIND("[",Tasks[[#This Row],[_Res2Text]]&amp;"[")-1)),res_Name,0),IFERROR(MATCH(TRIM(LEFT(Tasks[[#This Row],[_Res2Text]],FIND("[",Tasks[[#This Row],[_Res2Text]]&amp;"[")-1)),res_Initials,0),0)))</f>
        <v/>
      </c>
      <c r="DQ94" s="42">
        <f>IF(Tasks[[#This Row],[_Res3Text]]="",0,IFERROR(MATCH(TRIM(LEFT(Tasks[[#This Row],[_Res3Text]],FIND("[",Tasks[[#This Row],[_Res3Text]]&amp;"[")-1)),res_Name,0),IFERROR(MATCH(TRIM(LEFT(Tasks[[#This Row],[_Res3Text]],FIND("[",Tasks[[#This Row],[_Res3Text]]&amp;"[")-1)),res_Initials,0),0)))</f>
        <v/>
      </c>
      <c r="DR94" s="42">
        <f>IF(Tasks[[#This Row],[_Res4Text]]="",0,IFERROR(MATCH(TRIM(LEFT(Tasks[[#This Row],[_Res4Text]],FIND("[",Tasks[[#This Row],[_Res4Text]]&amp;"[")-1)),res_Name,0),IFERROR(MATCH(TRIM(LEFT(Tasks[[#This Row],[_Res4Text]],FIND("[",Tasks[[#This Row],[_Res4Text]]&amp;"[")-1)),res_Initials,0),0)))</f>
        <v/>
      </c>
      <c r="DS94" s="42">
        <f>IF(Tasks[[#This Row],[_Res1Text]]="","",IF(Tasks[[#This Row],[_Res1Row]]&gt;0,INDEX(res_Name,Tasks[[#This Row],[_Res1Row]]),TRIM(LEFT(Tasks[[#This Row],[_Res1Text]],FIND("[",Tasks[[#This Row],[_Res1Text]]&amp;"[")-1))))</f>
        <v/>
      </c>
      <c r="DT9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4" s="42">
        <f>IF(NOT(Tasks[[#This Row],[_IsLeaf]]=1),0,(Tasks[[#This Row],[_Resource1]]&lt;&gt;"")+(Tasks[[#This Row],[_Res2]]&lt;&gt;"")+(Tasks[[#This Row],[_Res3]]&lt;&gt;"")+(Tasks[[#This Row],[_Res4]]&lt;&gt;""))</f>
        <v/>
      </c>
      <c r="DV94" s="42">
        <f>IF(Tasks[[#This Row],[_Res2Text]]="","",IF(Tasks[[#This Row],[_Res2Row]]&gt;0,INDEX(res_Name,Tasks[[#This Row],[_Res2Row]]),TRIM(LEFT(Tasks[[#This Row],[_Res2Text]],FIND("[",Tasks[[#This Row],[_Res2Text]]&amp;"[")-1))))</f>
        <v/>
      </c>
      <c r="DW9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4" s="42">
        <f>IF(OR(NOT(Tasks[[#This Row],[_IsLeaf]]=1),Tasks[[#This Row],[_Res2Row]]=0),0,N(Tasks[[#This Row],[_Days]])*HoursPerDay*IF(Tasks[[#This Row],[_Res2Units]]="",DefaultUnits,Tasks[[#This Row],[_Res2Units]]))</f>
        <v/>
      </c>
      <c r="DY94" s="42">
        <f>IF(AND(AND(Tasks[[#This Row],[_IsLeaf]]=1,Tasks[[#This Row],[_LeafTotalWork]]&gt;0),Tasks[[#This Row],[_Res2Work]]&gt;0),Tasks[[#This Row],[_Res2Work]]/(Tasks[[#This Row],[_FinishWorkday]]-Tasks[[#This Row],[_StartWorkday]]+1),0)</f>
        <v/>
      </c>
      <c r="DZ94" s="42">
        <f>Tasks[[#This Row],[_Res2WorkPerWD]]*MAX(0,Tasks[[#This Row],[_StartWorkday]]-1)</f>
        <v/>
      </c>
      <c r="EA94" s="42">
        <f>Tasks[[#This Row],[_Res2Work]]*Tasks[[#This Row],[_LeafProgress]]</f>
        <v/>
      </c>
      <c r="EB94" s="42">
        <f>IF(Tasks[[#This Row],[_Res3Text]]="","",IF(Tasks[[#This Row],[_Res3Row]]&gt;0,INDEX(res_Name,Tasks[[#This Row],[_Res3Row]]),TRIM(LEFT(Tasks[[#This Row],[_Res3Text]],FIND("[",Tasks[[#This Row],[_Res3Text]]&amp;"[")-1))))</f>
        <v/>
      </c>
      <c r="EC9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4" s="42">
        <f>IF(OR(NOT(Tasks[[#This Row],[_IsLeaf]]=1),Tasks[[#This Row],[_Res3Row]]=0),0,N(Tasks[[#This Row],[_Days]])*HoursPerDay*IF(Tasks[[#This Row],[_Res3Units]]="",DefaultUnits,Tasks[[#This Row],[_Res3Units]]))</f>
        <v/>
      </c>
      <c r="EE94" s="42">
        <f>IF(AND(AND(Tasks[[#This Row],[_IsLeaf]]=1,Tasks[[#This Row],[_LeafTotalWork]]&gt;0),Tasks[[#This Row],[_Res3Work]]&gt;0),Tasks[[#This Row],[_Res3Work]]/(Tasks[[#This Row],[_FinishWorkday]]-Tasks[[#This Row],[_StartWorkday]]+1),0)</f>
        <v/>
      </c>
      <c r="EF94" s="42">
        <f>Tasks[[#This Row],[_Res3WorkPerWD]]*MAX(0,Tasks[[#This Row],[_StartWorkday]]-1)</f>
        <v/>
      </c>
      <c r="EG94" s="42">
        <f>Tasks[[#This Row],[_Res3Work]]*Tasks[[#This Row],[_LeafProgress]]</f>
        <v/>
      </c>
      <c r="EH94" s="42">
        <f>IF(Tasks[[#This Row],[_Res4Text]]="","",IF(Tasks[[#This Row],[_Res4Row]]&gt;0,INDEX(res_Name,Tasks[[#This Row],[_Res4Row]]),TRIM(LEFT(Tasks[[#This Row],[_Res4Text]],FIND("[",Tasks[[#This Row],[_Res4Text]]&amp;"[")-1))))</f>
        <v/>
      </c>
      <c r="EI9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4" s="42">
        <f>IF(OR(NOT(Tasks[[#This Row],[_IsLeaf]]=1),Tasks[[#This Row],[_Res4Row]]=0),0,N(Tasks[[#This Row],[_Days]])*HoursPerDay*IF(Tasks[[#This Row],[_Res4Units]]="",DefaultUnits,Tasks[[#This Row],[_Res4Units]]))</f>
        <v/>
      </c>
      <c r="EK94" s="42">
        <f>IF(AND(AND(Tasks[[#This Row],[_IsLeaf]]=1,Tasks[[#This Row],[_LeafTotalWork]]&gt;0),Tasks[[#This Row],[_Res4Work]]&gt;0),Tasks[[#This Row],[_Res4Work]]/(Tasks[[#This Row],[_FinishWorkday]]-Tasks[[#This Row],[_StartWorkday]]+1),0)</f>
        <v/>
      </c>
      <c r="EL94" s="42">
        <f>Tasks[[#This Row],[_Res4WorkPerWD]]*MAX(0,Tasks[[#This Row],[_StartWorkday]]-1)</f>
        <v/>
      </c>
      <c r="EM94" s="42">
        <f>Tasks[[#This Row],[_Res4Work]]*Tasks[[#This Row],[_LeafProgress]]</f>
        <v/>
      </c>
      <c r="EN94" s="42">
        <f>IF(ISNUMBER(Tasks[[#This Row],[% Complete]]),Tasks[[#This Row],[% Complete]],IF(Tasks[[#This Row],[Stage]]="",0,IFERROR(INDEX(stg_Pct,MATCH(Tasks[[#This Row],[Stage]],stg_Name,0)),0)))</f>
        <v/>
      </c>
      <c r="EO94" s="42">
        <f>IF(NOT(Tasks[[#This Row],[_IsLeaf]]=1),0,IF(N(Tasks[[#This Row],[Actual Finish]])&gt;0,1,MIN(1,Tasks[[#This Row],[_Pct]])))</f>
        <v/>
      </c>
      <c r="EP94" s="42">
        <f>IF(OR(NOT(Tasks[[#This Row],[_IsLeaf]]=1),Tasks[[#This Row],[_Res1Row]]=0),0,N(Tasks[[#This Row],[_Days]])*HoursPerDay*IF(Tasks[[#This Row],[_Units1]]="",DefaultUnits,Tasks[[#This Row],[_Units1]]))</f>
        <v/>
      </c>
      <c r="EQ94" s="42">
        <f>Tasks[[#This Row],[_LeafWork]]+Tasks[[#This Row],[_Res2Work]]+Tasks[[#This Row],[_Res3Work]]+Tasks[[#This Row],[_Res4Work]]</f>
        <v/>
      </c>
      <c r="ER9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4" s="42">
        <f>IF(NOT(Tasks[[#This Row],[_IsLeaf]]=1),0,MAX(_xlfn.MAXIFS(Tasks[_Row],Tasks[_Pred1UID],Tasks[[#This Row],[UID]]),_xlfn.MAXIFS(Tasks[_Row],Tasks[_Pred2UID],Tasks[[#This Row],[UID]]),_xlfn.MAXIFS(Tasks[_Row],Tasks[_Pred3UID],Tasks[[#This Row],[UID]]),_xlfn.MAXIFS(Tasks[_Row],Tasks[_Pred4UID],Tasks[[#This Row],[UID]])))</f>
        <v/>
      </c>
      <c r="FA9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4" s="88">
        <f>IF(NOT(Tasks[[#This Row],[_IsLeaf]]=1),"",IF(N(Tasks[[#This Row],[_Days]])&lt;=0,Tasks[[#This Row],[_LeafLateFinish]],WORKDAY.INTL(Tasks[[#This Row],[_LeafLateFinish]],-(Tasks[[#This Row],[_Days]]-1),WorkWeek,Holidays)))</f>
        <v/>
      </c>
      <c r="FD9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4" s="42">
        <f>AND(Tasks[[#This Row],[_IsLeaf]]=1,Tasks[[#This Row],[_LeafProgress]]&lt;1,N(Tasks[[#This Row],[_LeafTotalSlack]])&lt;=CriticalSlackDays)</f>
        <v/>
      </c>
      <c r="FF94" s="42">
        <f>IF(AND(Tasks[[#This Row],[_IsLeaf]]=1,Tasks[[#This Row],[_ConstraintCode]]=1,Tasks[[#This Row],[Mode]]&lt;&gt;"Manual",N(Tasks[[#This Row],[Actual Start]])=0),MAX(0,N(Tasks[[#This Row],[Free Slack]])),0)</f>
        <v/>
      </c>
      <c r="FG94" s="88">
        <f>IF(NOT(Tasks[[#This Row],[_IsLeaf]]=1),"",IF(Tasks[[#This Row],[_AlapShift]]=0,Tasks[[#This Row],[_LeafCalcStart]],WORKDAY.INTL(Tasks[[#This Row],[_LeafCalcStart]],Tasks[[#This Row],[_AlapShift]],WorkWeek,Holidays)))</f>
        <v/>
      </c>
      <c r="FH94" s="88">
        <f>IF(NOT(Tasks[[#This Row],[_IsLeaf]]=1),"",IF(Tasks[[#This Row],[_AlapShift]]=0,Tasks[[#This Row],[_LeafCalcFinish]],WORKDAY.INTL(Tasks[[#This Row],[_LeafCalcFinish]],Tasks[[#This Row],[_AlapShift]],WorkWeek,Holidays)))</f>
        <v/>
      </c>
      <c r="FI94" s="88">
        <f>IF(NOT(Tasks[[#This Row],[_IsLeaf]]=1),"",IF(Tasks[[#This Row],[_AlapShift]]=0,Tasks[[#This Row],[_LeafFcstStart]],WORKDAY.INTL(Tasks[[#This Row],[_LeafFcstStart]],Tasks[[#This Row],[_AlapShift]],WorkWeek,Holidays)))</f>
        <v/>
      </c>
      <c r="FJ94" s="88">
        <f>IF(NOT(Tasks[[#This Row],[_IsLeaf]]=1),"",IF(Tasks[[#This Row],[_AlapShift]]=0,Tasks[[#This Row],[_LeafFcstFinish]],WORKDAY.INTL(Tasks[[#This Row],[_LeafFcstFinish]],Tasks[[#This Row],[_AlapShift]],WorkWeek,Holidays)))</f>
        <v/>
      </c>
      <c r="FK94" s="88">
        <f>IF(Tasks[[#This Row],[Task Name]]="","",IF(Tasks[[#This Row],[_IsSummary]],MIN(INDEX(Tasks[_ShownCalcStart],Tasks[[#This Row],[_Row]]+1):INDEX(Tasks[_ShownCalcStart],Tasks[[#This Row],[_Row]]+Tasks[[#This Row],[_Descendants]])),Tasks[[#This Row],[_ShownCalcStart]]))</f>
        <v/>
      </c>
      <c r="FL94" s="88">
        <f>IF(Tasks[[#This Row],[Task Name]]="","",IF(Tasks[[#This Row],[_IsSummary]],MAX(INDEX(Tasks[_ShownCalcFinish],Tasks[[#This Row],[_Row]]+1):INDEX(Tasks[_ShownCalcFinish],Tasks[[#This Row],[_Row]]+Tasks[[#This Row],[_Descendants]])),Tasks[[#This Row],[_ShownCalcFinish]]))</f>
        <v/>
      </c>
      <c r="FM9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4" s="42">
        <f>IF(AND(Tasks[[#This Row],[_IsLeaf]]=1,Tasks[[#This Row],[_LeafTotalWork]]&gt;0),NETWORKDAYS.INTL(ProjectStart,Tasks[[#This Row],[_ShownFcstStart]],WorkWeek,Holidays),0)</f>
        <v/>
      </c>
      <c r="FZ94" s="42">
        <f>IF(AND(Tasks[[#This Row],[_IsLeaf]]=1,Tasks[[#This Row],[_LeafTotalWork]]&gt;0),MAX(Tasks[[#This Row],[_StartWorkday]],NETWORKDAYS.INTL(ProjectStart,Tasks[[#This Row],[_ShownFcstFinish]],WorkWeek,Holidays)),0)</f>
        <v/>
      </c>
      <c r="GA94" s="42">
        <f>IF(AND(Tasks[[#This Row],[_IsLeaf]]=1,Tasks[[#This Row],[_LeafTotalWork]]&gt;0),Tasks[[#This Row],[_LeafWork]]/(Tasks[[#This Row],[_FinishWorkday]]-Tasks[[#This Row],[_StartWorkday]]+1),0)</f>
        <v/>
      </c>
      <c r="GB94" s="42">
        <f>Tasks[[#This Row],[_WorkPerWorkday]]*(Tasks[[#This Row],[_StartWorkday]]-1)</f>
        <v/>
      </c>
      <c r="GC94" s="42">
        <f>IF(Tasks[[#This Row],[_IsLeaf]]=1,MAX(N(Tasks[[#This Row],[_Days]]),0.1),0)</f>
        <v/>
      </c>
      <c r="GD94" s="42">
        <f>Tasks[[#This Row],[_WeightDur]]*Tasks[[#This Row],[_LeafProgress]]</f>
        <v/>
      </c>
      <c r="GE94" s="42">
        <f>Tasks[[#This Row],[_WeightDur]]*Tasks[[#This Row],[_PlannedPct]]</f>
        <v/>
      </c>
      <c r="GF9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4" s="42">
        <f>IF(AND(Tasks[[#This Row],[_IsLeaf]]=1,N(Tasks[[#This Row],[_Days]])=0,Tasks[[#This Row],[_LeafProgress]]&lt;1),Tasks[[#This Row],[_ShownFcstFinish]]+Tasks[[#This Row],[_Row]]/100000,"")</f>
        <v/>
      </c>
      <c r="GH9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4" s="42">
        <f>IF(Tasks[[#This Row],[Task Name]]="","",LEFT(Tasks[[#This Row],[WBS]],FIND(".",Tasks[[#This Row],[WBS]]&amp;".")-1))</f>
        <v/>
      </c>
      <c r="GJ94" s="42">
        <f>IF(AND(Tasks[[#This Row],[Task Name]]&lt;&gt;"",Tasks[[#This Row],[_Level]]=1),Tasks[[#This Row],[_Row]],"")</f>
        <v/>
      </c>
      <c r="GK94" s="42">
        <f>IF(AND(Tasks[[#This Row],[_IsLeaf]]=1,N(Tasks[[#This Row],[_Days]])=0),Tasks[[#This Row],[Planned Finish]]+Tasks[[#This Row],[_Row]]/100000,"")</f>
        <v/>
      </c>
      <c r="GL94" s="42">
        <f>IF(AND(Tasks[[#This Row],[_IsLeaf]]=1,Tasks[[#This Row],[_LeafProgress]]&lt;1,OR(N(Tasks[[#This Row],[Finish Var]])&gt;0,Tasks[[#This Row],[Status]]="Late Start")),MAX(0,Tasks[[#This Row],[Finish Var]])+1-Tasks[[#This Row],[_Row]]/1000000,"")</f>
        <v/>
      </c>
      <c r="GM94" s="42">
        <f>IF(AND(Tasks[[#This Row],[_IsLeaf]]=1,N(Tasks[[#This Row],[Actual Start]])=0,Tasks[[#This Row],[_ShownFcstStart]]&gt;=StatusDate,Tasks[[#This Row],[_ShownFcstStart]]&lt;=LookaheadEnd),Tasks[[#This Row],[_ShownFcstStart]]+Tasks[[#This Row],[_Row]]/100000,"")</f>
        <v/>
      </c>
      <c r="GN94" s="42">
        <f>IF(AND(Tasks[[#This Row],[_IsLeaf]]=1,Tasks[[#This Row],[_LeafProgress]]&lt;1,Tasks[[#This Row],[_ShownFcstFinish]]&gt;=StatusDate,Tasks[[#This Row],[_ShownFcstFinish]]&lt;=LookaheadEnd),Tasks[[#This Row],[_ShownFcstFinish]]+Tasks[[#This Row],[_Row]]/100000,"")</f>
        <v/>
      </c>
      <c r="GO94" s="42">
        <f>IF(Tasks[[#This Row],[_LeafCritical]],Tasks[[#This Row],[_ShownFcstStart]]+Tasks[[#This Row],[_Row]]/100000,"")</f>
        <v/>
      </c>
      <c r="GP94" s="42">
        <f>Tasks[[#This Row],[_LeafWork]]*Tasks[[#This Row],[_LeafProgress]]</f>
        <v/>
      </c>
      <c r="GQ94" s="88">
        <f>IF(AND(Tasks[[#This Row],[_IsLeaf]]=1,Tasks[[#This Row],[_LeafProgress]]&gt;=1),IF(N(Tasks[[#This Row],[Actual Finish]])&gt;0,Tasks[[#This Row],[Actual Finish]],Tasks[[#This Row],[_ShownFcstFinish]]),"")</f>
        <v/>
      </c>
      <c r="GR94" s="42">
        <f>IF(Tasks[[#This Row],[_IsLeaf]]=1,N(Tasks[[#This Row],[Story Points]]),0)</f>
        <v/>
      </c>
      <c r="GS94" s="42">
        <f>""</f>
        <v/>
      </c>
      <c r="GT94" s="42">
        <f>IF(Tasks[[#This Row],[Task Name]]="",FALSE(),AND(Tasks[[#This Row],[_IsLeaf]]=1,N(Tasks[[#This Row],[_Days]])=0))</f>
        <v/>
      </c>
      <c r="GU94" s="88">
        <f>IF(Tasks[[#This Row],[Task Name]]="",0,IF(AND(Tasks[[#This Row],[_IsLeaf]]=1,NOT(Tasks[[#This Row],[_IsMilestone]]),N(Tasks[[#This Row],[Progress]])&gt;0),Tasks[[#This Row],[Start]],0))</f>
        <v/>
      </c>
      <c r="GV94" s="88">
        <f>IF(Tasks[[#This Row],[_DoneFrom]]=0,0,IF(Tasks[[#This Row],[Progress]]&gt;=1,Tasks[[#This Row],[Finish]],MAX(Tasks[[#This Row],[_DoneFrom]],Tasks[[#This Row],[Start]]+ROUND((Tasks[[#This Row],[Finish]]-Tasks[[#This Row],[Start]]+1)*Tasks[[#This Row],[Progress]],0)-1)))</f>
        <v/>
      </c>
      <c r="GW94" s="88">
        <f>IF(Tasks[[#This Row],[Task Name]]="",0,IF(OR(NOT(Tasks[[#This Row],[_IsLeaf]]=1),Tasks[[#This Row],[_IsMilestone]],N(Tasks[[#This Row],[Progress]])&gt;=1),0,IF(Tasks[[#This Row],[_DoneTo]]&gt;0,Tasks[[#This Row],[_DoneTo]]+1,Tasks[[#This Row],[Start]])))</f>
        <v/>
      </c>
      <c r="GX94" s="88">
        <f>IF(Tasks[[#This Row],[_RemFrom]]=0,0,Tasks[[#This Row],[Finish]])</f>
        <v/>
      </c>
      <c r="GY94" s="42">
        <f>IF(Tasks[[#This Row],[Task Name]]="",FALSE(),OR(NOT(BaselineSet),N(Tasks[[#This Row],[Baseline Start]])&gt;0))</f>
        <v/>
      </c>
      <c r="GZ94" s="42">
        <f>IF(AND(Sandbox="Yes",L_PARSE_DURATION(Tasks[[#This Row],[Sandbox Duration]])&lt;&gt;""),L_PARSE_DURATION(Tasks[[#This Row],[Sandbox Duration]]),L_PARSE_DURATION(Tasks[[#This Row],[Duration]]))</f>
        <v/>
      </c>
      <c r="HA9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4" s="42">
        <f>IF(Tasks[[#This Row],[_IsLeaf]]=1,Tasks[[#This Row],[_Row]],"")</f>
        <v/>
      </c>
      <c r="HD94" s="42">
        <f>IFERROR(INDEX(Tasks[UID],SMALL(Tasks[_PickKey],Tasks[[#This Row],[_Row]]))&amp;" "&amp;INDEX(Tasks[Task Name],SMALL(Tasks[_PickKey],Tasks[[#This Row],[_Row]])),"")</f>
        <v/>
      </c>
      <c r="HE94" s="42">
        <f>IF(Tasks[[#This Row],[Task Name]]="","",IF(Tasks[[#This Row],[_IsSummary]],NETWORKDAYS.INTL(Tasks[[#This Row],[Start]],Tasks[[#This Row],[Finish]],WorkWeek,Holidays),N(Tasks[[#This Row],[_Days]])))</f>
        <v/>
      </c>
      <c r="HF94" s="42">
        <f>IF(Tasks[[#This Row],[Expected]]="",0,((Tasks[[#This Row],[Pessimistic]]-Tasks[[#This Row],[Optimistic]])/6)^2)</f>
        <v/>
      </c>
      <c r="HG94" s="42">
        <f>IF(Tasks[[#This Row],[Expected]]="",0,Tasks[[#This Row],[Expected]]-N(Tasks[[#This Row],[_Days]]))</f>
        <v/>
      </c>
    </row>
    <row r="95">
      <c r="A95" s="21">
        <f>IF(Tasks[[#This Row],[Task Name]]="","",COUNTA(Tasks[[#Headers],[Task Name]]:Tasks[[#This Row],[Task Name]])-1)</f>
        <v/>
      </c>
      <c r="B95" s="22" t="n">
        <v>103</v>
      </c>
      <c r="C95" s="22" t="n"/>
      <c r="D95" s="23" t="n"/>
      <c r="E95" s="22" t="n"/>
      <c r="F95" s="23" t="n"/>
      <c r="G95" s="22" t="n"/>
      <c r="H95" s="22" t="n"/>
      <c r="I95" s="23" t="n"/>
      <c r="J95" s="22" t="n"/>
      <c r="K95" s="22" t="n"/>
      <c r="L95" s="23" t="n"/>
      <c r="M95" s="22" t="n"/>
      <c r="N95" s="22" t="n"/>
      <c r="O95" s="23" t="n"/>
      <c r="P95" s="22" t="n"/>
      <c r="Q95" s="22" t="n"/>
      <c r="R95" s="23" t="n"/>
      <c r="S95" s="23" t="n"/>
      <c r="T95" s="82" t="n"/>
      <c r="U95" s="23" t="n"/>
      <c r="V95" s="82" t="n"/>
      <c r="W95" s="23" t="n"/>
      <c r="X95" s="82" t="n"/>
      <c r="Y95" s="23" t="n"/>
      <c r="Z95" s="82" t="n"/>
      <c r="AA95" s="23" t="n"/>
      <c r="AB95" s="23" t="n"/>
      <c r="AC95" s="7" t="n"/>
      <c r="AD95" s="7" t="n"/>
      <c r="AE95" s="61">
        <f>IF(Tasks[[#This Row],[Task Name]]="","",IF(Tasks[[#This Row],[_IsSummary]],MIN(INDEX(Tasks[_ShownFcstStart],Tasks[[#This Row],[_Row]]+1):INDEX(Tasks[_ShownFcstStart],Tasks[[#This Row],[_Row]]+Tasks[[#This Row],[_Descendants]])),Tasks[[#This Row],[_ShownFcstStart]]))</f>
        <v/>
      </c>
      <c r="AF95" s="61">
        <f>IF(Tasks[[#This Row],[Task Name]]="","",IF(Tasks[[#This Row],[_IsSummary]],MAX(INDEX(Tasks[_ShownFcstFinish],Tasks[[#This Row],[_Row]]+1):INDEX(Tasks[_ShownFcstFinish],Tasks[[#This Row],[_Row]]+Tasks[[#This Row],[_Descendants]])),Tasks[[#This Row],[_ShownFcstFinish]]))</f>
        <v/>
      </c>
      <c r="AG95" s="21">
        <f>""</f>
        <v/>
      </c>
      <c r="AH95" s="23" t="n"/>
      <c r="AI9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5" s="7" t="n"/>
      <c r="AK95" s="22" t="n"/>
      <c r="AL95" s="23" t="n"/>
      <c r="AM95" s="7" t="n"/>
      <c r="AN95" s="21">
        <f>IF(Tasks[[#This Row],[Task Name]]="","",IF(Tasks[[#This Row],[Finish]]&gt;=Tasks[[#This Row],[Planned Finish]],NETWORKDAYS.INTL(Tasks[[#This Row],[Planned Finish]],Tasks[[#This Row],[Finish]],WorkWeek,Holidays)-1,1-NETWORKDAYS.INTL(Tasks[[#This Row],[Finish]],Tasks[[#This Row],[Planned Finish]],WorkWeek,Holidays)))</f>
        <v/>
      </c>
      <c r="AO95" s="21">
        <f>IF(Tasks[[#This Row],[Task Name]]="","",IF(Tasks[[#This Row],[Progress]]&gt;=1,"Complete",IF(OR(N(Tasks[[#This Row],[Actual Start]])&gt;0,Tasks[[#This Row],[Progress]]&gt;0),IF(Tasks[[#This Row],[Finish Var]]&gt;0,"Behind","In Progress"),IF(Tasks[[#This Row],[Planned Start]]&lt;StatusDate,"Late Start","Not Started"))))</f>
        <v/>
      </c>
      <c r="AP95" s="21">
        <f>IF(Tasks[[#This Row],[Task Name]]="","",IF(IF(Tasks[[#This Row],[_IsSummary]],COUNTIF(INDEX(Tasks[_LeafCritical],Tasks[[#This Row],[_Row]]+1):INDEX(Tasks[_LeafCritical],Tasks[[#This Row],[_Row]]+Tasks[[#This Row],[_Descendants]]),TRUE())&gt;0,Tasks[[#This Row],[_LeafCritical]]),"Yes",""))</f>
        <v/>
      </c>
      <c r="AQ95" s="61">
        <f>IF(Tasks[[#This Row],[Task Name]]="","",IF(N(Tasks[[#This Row],[Baseline Start]])&gt;0,Tasks[[#This Row],[Baseline Start]],Tasks[[#This Row],[_CalcStart]]))</f>
        <v/>
      </c>
      <c r="AR95" s="61">
        <f>IF(Tasks[[#This Row],[Task Name]]="","",IF(N(Tasks[[#This Row],[Baseline Finish]])&gt;0,Tasks[[#This Row],[Baseline Finish]],Tasks[[#This Row],[_CalcFinish]]))</f>
        <v/>
      </c>
      <c r="AS95" s="21">
        <f>IF(Tasks[[#This Row],[Task Name]]="","",IF(Tasks[[#This Row],[Start]]&gt;=Tasks[[#This Row],[Planned Start]],NETWORKDAYS.INTL(Tasks[[#This Row],[Planned Start]],Tasks[[#This Row],[Start]],WorkWeek,Holidays)-1,1-NETWORKDAYS.INTL(Tasks[[#This Row],[Start]],Tasks[[#This Row],[Planned Start]],WorkWeek,Holidays)))</f>
        <v/>
      </c>
      <c r="AT95" s="61">
        <f>IF(Tasks[[#This Row],[Task Name]]="","",IF(Tasks[[#This Row],[_IsSummary]],MIN(INDEX(Tasks[_LeafLateStart],Tasks[[#This Row],[_Row]]+1):INDEX(Tasks[_LeafLateStart],Tasks[[#This Row],[_Row]]+Tasks[[#This Row],[_Descendants]])),Tasks[[#This Row],[_LeafLateStart]]))</f>
        <v/>
      </c>
      <c r="AU95" s="61">
        <f>IF(Tasks[[#This Row],[Task Name]]="","",IF(Tasks[[#This Row],[_IsSummary]],MAX(INDEX(Tasks[_LeafLateFinish],Tasks[[#This Row],[_Row]]+1):INDEX(Tasks[_LeafLateFinish],Tasks[[#This Row],[_Row]]+Tasks[[#This Row],[_Descendants]])),Tasks[[#This Row],[_LeafLateFinish]]))</f>
        <v/>
      </c>
      <c r="AV95" s="21">
        <f>IF(Tasks[[#This Row],[Task Name]]="","",IF(Tasks[[#This Row],[_IsSummary]],MIN(INDEX(Tasks[_LeafTotalSlack],Tasks[[#This Row],[_Row]]+1):INDEX(Tasks[_LeafTotalSlack],Tasks[[#This Row],[_Row]]+Tasks[[#This Row],[_Descendants]])),Tasks[[#This Row],[_LeafTotalSlack]]))</f>
        <v/>
      </c>
      <c r="AW9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3" t="n"/>
      <c r="BA9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f>IF(Tasks[[#This Row],[Task Name]]="","",IF(Tasks[[#This Row],[_Level]]&lt;=OutlineShowLevel,"Yes","No"))</f>
        <v/>
      </c>
      <c r="BE95" s="84">
        <f>IF(Tasks[[#This Row],[Task Name]]="","",IF(Tasks[[#This Row],[_IsSummary]],SUM(INDEX(Tasks[_LeafTotalWork],Tasks[[#This Row],[_Row]]+1):INDEX(Tasks[_LeafTotalWork],Tasks[[#This Row],[_Row]]+Tasks[[#This Row],[_Descendants]])),Tasks[[#This Row],[_LeafTotalWork]]))</f>
        <v/>
      </c>
      <c r="BF95" s="23" t="n"/>
      <c r="BG9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f>""</f>
        <v/>
      </c>
      <c r="BI95" s="85" t="n"/>
      <c r="BJ95" s="22" t="n"/>
      <c r="BK95" s="21">
        <f>IF(OR(Tasks[[#This Row],[Task Name]]="",Tasks[[#This Row],[Baseline Duration]]=""),"",Tasks[[#This Row],[_SpanDays]]-N(Tasks[[#This Row],[Baseline Duration]]))</f>
        <v/>
      </c>
      <c r="BL95" s="84">
        <f>IF(OR(Tasks[[#This Row],[Task Name]]="",Tasks[[#This Row],[Baseline Work]]=""),"",Tasks[[#This Row],[Work]]-N(Tasks[[#This Row],[Baseline Work]]))</f>
        <v/>
      </c>
      <c r="BM95" s="61">
        <f>IF(Tasks[[#This Row],[Task Name]]="","",IF(OR(TakeBaseline="Yes",N(Tasks[[#This Row],[Baseline Start]])=0),Tasks[[#This Row],[Start]],Tasks[[#This Row],[Baseline Start]]))</f>
        <v/>
      </c>
      <c r="BN95" s="61">
        <f>IF(Tasks[[#This Row],[Task Name]]="","",IF(OR(TakeBaseline="Yes",N(Tasks[[#This Row],[Baseline Finish]])=0),Tasks[[#This Row],[Finish]],Tasks[[#This Row],[Baseline Finish]]))</f>
        <v/>
      </c>
      <c r="BO95" s="21">
        <f>IF(Tasks[[#This Row],[Task Name]]="","",IF(OR(TakeBaseline="Yes",N(Tasks[[#This Row],[Baseline Duration]])=0),Tasks[[#This Row],[_SpanDays]],Tasks[[#This Row],[Baseline Duration]]))</f>
        <v/>
      </c>
      <c r="BP95" s="84">
        <f>IF(Tasks[[#This Row],[Task Name]]="","",IF(OR(TakeBaseline="Yes",N(Tasks[[#This Row],[Baseline Work]])=0),Tasks[[#This Row],[Work]],Tasks[[#This Row],[Baseline Work]]))</f>
        <v/>
      </c>
      <c r="BQ95" s="7" t="n"/>
      <c r="BR95" s="7" t="n"/>
      <c r="BS95" s="22" t="n"/>
      <c r="BT95" s="86" t="n"/>
      <c r="BU95" s="23" t="n"/>
      <c r="BV95" s="23" t="n"/>
      <c r="BW95" s="23" t="n"/>
      <c r="BX95" s="87">
        <f>IF(AND(Tasks[[#This Row],[_IsLeaf]]=1,ISNUMBER(Tasks[[#This Row],[Optimistic]]),ISNUMBER(Tasks[[#This Row],[Pessimistic]])),ROUND((Tasks[[#This Row],[Optimistic]]+4*N(Tasks[[#This Row],[_Days]])+Tasks[[#This Row],[Pessimistic]])/6,1),"")</f>
        <v/>
      </c>
      <c r="BY95" s="85" t="n"/>
      <c r="BZ95" s="85" t="n"/>
      <c r="CA95" s="22" t="n"/>
      <c r="CB95" s="42">
        <f>IF(Tasks[[#This Row],[Task Name]]="","",MAX(1,N(Tasks[[#This Row],[Level]])))</f>
        <v/>
      </c>
      <c r="CC95" s="42">
        <f>ROW()-ROW(Tasks[[#Headers],[ID]])</f>
        <v/>
      </c>
      <c r="CD95" s="42">
        <f>IF(OR(Tasks[[#This Row],[Task Name]]="",Tasks[[#This Row],[_Level]]&lt;=1),0,IFERROR(LOOKUP(2,1/(Tasks[[#Headers],[_Level]]:Tasks[[#This Row],[_Level]]=Tasks[[#This Row],[_Level]]-1),ROW(Tasks[[#Headers],[_Level]]:Tasks[[#This Row],[_Level]])),0))</f>
        <v/>
      </c>
      <c r="CE95" s="42">
        <f>IFERROR(N(INDEX(Tasks[_Level],Tasks[[#This Row],[_Row]]+1)),0)</f>
        <v/>
      </c>
      <c r="CF95" s="42">
        <f>AND(Tasks[[#This Row],[Task Name]]&lt;&gt;"",Tasks[[#This Row],[_NextLevel]]&gt;Tasks[[#This Row],[_Level]])</f>
        <v/>
      </c>
      <c r="CG95" s="42">
        <f>IF(Tasks[[#This Row],[_IsSummary]],COUNTIF(Tasks[WBS],Tasks[[#This Row],[WBS]]&amp;".*"),0)</f>
        <v/>
      </c>
      <c r="CH95" s="42">
        <f>IF(AND(Tasks[[#This Row],[Task Name]]&lt;&gt;"",NOT(Tasks[[#This Row],[_IsSummary]])),1,0)</f>
        <v/>
      </c>
      <c r="CI95" s="42">
        <f>IF(N(Tasks[[#This Row],[_Pred1UID]])=0,0,IFERROR(MATCH(Tasks[[#This Row],[_Pred1UID]],Tasks[UID],0),-1))</f>
        <v/>
      </c>
      <c r="CJ95" s="42">
        <f>IF(N(Tasks[[#This Row],[_Pred2UID]])=0,0,IFERROR(MATCH(Tasks[[#This Row],[_Pred2UID]],Tasks[UID],0),-1))</f>
        <v/>
      </c>
      <c r="CK95" s="42">
        <f>IF(N(Tasks[[#This Row],[_Pred3UID]])=0,0,IFERROR(MATCH(Tasks[[#This Row],[_Pred3UID]],Tasks[UID],0),-1))</f>
        <v/>
      </c>
      <c r="CL95" s="42">
        <f>IF(N(Tasks[[#This Row],[_Pred4UID]])=0,0,IFERROR(MATCH(Tasks[[#This Row],[_Pred4UID]],Tasks[UID],0),-1))</f>
        <v/>
      </c>
      <c r="CM9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5" s="88">
        <f>IF(N(Tasks[[#This Row],[Constraint Date]])=0,0,IF(AND(OR(Tasks[[#This Row],[_ConstraintCode]]=3,Tasks[[#This Row],[_ConstraintCode]]=6,Tasks[[#This Row],[_ConstraintCode]]=7),N(Tasks[[#This Row],[_Days]])&gt;1),WORKDAY.INTL(N(Tasks[[#This Row],[Constraint Date]]),-(N(Tasks[[#This Row],[_Days]])-1),WorkWeek,Holidays),N(Tasks[[#This Row],[Constraint Date]])))</f>
        <v/>
      </c>
      <c r="CO95" s="88">
        <f>IF(OR(Tasks[[#This Row],[_ConstraintCode]]=2,Tasks[[#This Row],[_ConstraintCode]]=3,Tasks[[#This Row],[_ConstraintCode]]=4,Tasks[[#This Row],[_ConstraintCode]]=6),Tasks[[#This Row],[_ConstraintStart]],0)</f>
        <v/>
      </c>
      <c r="CP95" s="88">
        <f>IF(OR(Tasks[[#This Row],[_ConstraintCode]]=2,Tasks[[#This Row],[_ConstraintCode]]=3,Tasks[[#This Row],[_ConstraintCode]]=5,Tasks[[#This Row],[_ConstraintCode]]=7),Tasks[[#This Row],[_ConstraintStart]],2958465)</f>
        <v/>
      </c>
      <c r="CQ9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5" s="88">
        <f>IF(NOT(Tasks[[#This Row],[_IsLeaf]]=1),"",IF(N(Tasks[[#This Row],[_Days]])&lt;=0,Tasks[[#This Row],[_LeafCalcStart]],WORKDAY.INTL(Tasks[[#This Row],[_LeafCalcStart]],Tasks[[#This Row],[_Days]]-1,WorkWeek,Holidays)))</f>
        <v/>
      </c>
      <c r="CS9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5" s="42">
        <f>IF(Tasks[[#This Row],[_Predecessors]]="","",TRIM(MID(SUBSTITUTE(SUBSTITUTE(SUBSTITUTE(UPPER(Tasks[[#This Row],[_Predecessors]]),";",",")," ",""),",",REPT(" ",99)),1,99)))</f>
        <v/>
      </c>
      <c r="CV95" s="42">
        <f>IF(Tasks[[#This Row],[_Pred1Text]]="","",IFERROR(VALUE(LEFT(Tasks[[#This Row],[_Pred1Text]],MIN(FIND("F",Tasks[[#This Row],[_Pred1Text]]&amp;"F"),FIND("S",Tasks[[#This Row],[_Pred1Text]]&amp;"S"),FIND("+",Tasks[[#This Row],[_Pred1Text]]&amp;"+"),FIND("-",Tasks[[#This Row],[_Pred1Text]]&amp;"-"))-1)),""))</f>
        <v/>
      </c>
      <c r="CW9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5" s="42">
        <f>IF(Tasks[[#This Row],[_Pred1Text]]="","",TRIM(MID(SUBSTITUTE(SUBSTITUTE(SUBSTITUTE(UPPER(Tasks[[#This Row],[_Predecessors]]),";",",")," ",""),",",REPT(" ",99)),100,99)))</f>
        <v/>
      </c>
      <c r="CZ95" s="42">
        <f>IF(Tasks[[#This Row],[_Pred2Text]]="","",IFERROR(VALUE(LEFT(Tasks[[#This Row],[_Pred2Text]],MIN(FIND("F",Tasks[[#This Row],[_Pred2Text]]&amp;"F"),FIND("S",Tasks[[#This Row],[_Pred2Text]]&amp;"S"),FIND("+",Tasks[[#This Row],[_Pred2Text]]&amp;"+"),FIND("-",Tasks[[#This Row],[_Pred2Text]]&amp;"-"))-1)),""))</f>
        <v/>
      </c>
      <c r="DA9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5" s="42">
        <f>IF(Tasks[[#This Row],[_Pred2Text]]="","",TRIM(MID(SUBSTITUTE(SUBSTITUTE(SUBSTITUTE(UPPER(Tasks[[#This Row],[_Predecessors]]),";",",")," ",""),",",REPT(" ",99)),199,99)))</f>
        <v/>
      </c>
      <c r="DD95" s="42">
        <f>IF(Tasks[[#This Row],[_Pred3Text]]="","",IFERROR(VALUE(LEFT(Tasks[[#This Row],[_Pred3Text]],MIN(FIND("F",Tasks[[#This Row],[_Pred3Text]]&amp;"F"),FIND("S",Tasks[[#This Row],[_Pred3Text]]&amp;"S"),FIND("+",Tasks[[#This Row],[_Pred3Text]]&amp;"+"),FIND("-",Tasks[[#This Row],[_Pred3Text]]&amp;"-"))-1)),""))</f>
        <v/>
      </c>
      <c r="DE9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5" s="42">
        <f>IF(Tasks[[#This Row],[_Pred3Text]]="","",TRIM(MID(SUBSTITUTE(SUBSTITUTE(SUBSTITUTE(UPPER(Tasks[[#This Row],[_Predecessors]]),";",",")," ",""),",",REPT(" ",99)),298,99)))</f>
        <v/>
      </c>
      <c r="DH95" s="42">
        <f>IF(Tasks[[#This Row],[_Pred4Text]]="","",IFERROR(VALUE(LEFT(Tasks[[#This Row],[_Pred4Text]],MIN(FIND("F",Tasks[[#This Row],[_Pred4Text]]&amp;"F"),FIND("S",Tasks[[#This Row],[_Pred4Text]]&amp;"S"),FIND("+",Tasks[[#This Row],[_Pred4Text]]&amp;"+"),FIND("-",Tasks[[#This Row],[_Pred4Text]]&amp;"-"))-1)),""))</f>
        <v/>
      </c>
      <c r="DI9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5" s="42">
        <f>IF(OR(Tasks[[#This Row],[Task Name]]="",Tasks[[#This Row],[_Resources]]=""),"",TRIM(MID(SUBSTITUTE(Tasks[[#This Row],[_Resources]],",",REPT(" ",99)),1,99)))</f>
        <v/>
      </c>
      <c r="DL95" s="42">
        <f>IF(Tasks[[#This Row],[_Res1Text]]="","",TRIM(MID(SUBSTITUTE(Tasks[[#This Row],[_Resources]],",",REPT(" ",99)),100,99)))</f>
        <v/>
      </c>
      <c r="DM95" s="42">
        <f>IF(Tasks[[#This Row],[_Res2Text]]="","",TRIM(MID(SUBSTITUTE(Tasks[[#This Row],[_Resources]],",",REPT(" ",99)),199,99)))</f>
        <v/>
      </c>
      <c r="DN95" s="42">
        <f>IF(Tasks[[#This Row],[_Res3Text]]="","",TRIM(MID(SUBSTITUTE(Tasks[[#This Row],[_Resources]],",",REPT(" ",99)),298,99)))</f>
        <v/>
      </c>
      <c r="DO95" s="42">
        <f>IF(Tasks[[#This Row],[_Res1Text]]="",0,IFERROR(MATCH(TRIM(LEFT(Tasks[[#This Row],[_Res1Text]],FIND("[",Tasks[[#This Row],[_Res1Text]]&amp;"[")-1)),res_Name,0),IFERROR(MATCH(TRIM(LEFT(Tasks[[#This Row],[_Res1Text]],FIND("[",Tasks[[#This Row],[_Res1Text]]&amp;"[")-1)),res_Initials,0),0)))</f>
        <v/>
      </c>
      <c r="DP95" s="42">
        <f>IF(Tasks[[#This Row],[_Res2Text]]="",0,IFERROR(MATCH(TRIM(LEFT(Tasks[[#This Row],[_Res2Text]],FIND("[",Tasks[[#This Row],[_Res2Text]]&amp;"[")-1)),res_Name,0),IFERROR(MATCH(TRIM(LEFT(Tasks[[#This Row],[_Res2Text]],FIND("[",Tasks[[#This Row],[_Res2Text]]&amp;"[")-1)),res_Initials,0),0)))</f>
        <v/>
      </c>
      <c r="DQ95" s="42">
        <f>IF(Tasks[[#This Row],[_Res3Text]]="",0,IFERROR(MATCH(TRIM(LEFT(Tasks[[#This Row],[_Res3Text]],FIND("[",Tasks[[#This Row],[_Res3Text]]&amp;"[")-1)),res_Name,0),IFERROR(MATCH(TRIM(LEFT(Tasks[[#This Row],[_Res3Text]],FIND("[",Tasks[[#This Row],[_Res3Text]]&amp;"[")-1)),res_Initials,0),0)))</f>
        <v/>
      </c>
      <c r="DR95" s="42">
        <f>IF(Tasks[[#This Row],[_Res4Text]]="",0,IFERROR(MATCH(TRIM(LEFT(Tasks[[#This Row],[_Res4Text]],FIND("[",Tasks[[#This Row],[_Res4Text]]&amp;"[")-1)),res_Name,0),IFERROR(MATCH(TRIM(LEFT(Tasks[[#This Row],[_Res4Text]],FIND("[",Tasks[[#This Row],[_Res4Text]]&amp;"[")-1)),res_Initials,0),0)))</f>
        <v/>
      </c>
      <c r="DS95" s="42">
        <f>IF(Tasks[[#This Row],[_Res1Text]]="","",IF(Tasks[[#This Row],[_Res1Row]]&gt;0,INDEX(res_Name,Tasks[[#This Row],[_Res1Row]]),TRIM(LEFT(Tasks[[#This Row],[_Res1Text]],FIND("[",Tasks[[#This Row],[_Res1Text]]&amp;"[")-1))))</f>
        <v/>
      </c>
      <c r="DT9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5" s="42">
        <f>IF(NOT(Tasks[[#This Row],[_IsLeaf]]=1),0,(Tasks[[#This Row],[_Resource1]]&lt;&gt;"")+(Tasks[[#This Row],[_Res2]]&lt;&gt;"")+(Tasks[[#This Row],[_Res3]]&lt;&gt;"")+(Tasks[[#This Row],[_Res4]]&lt;&gt;""))</f>
        <v/>
      </c>
      <c r="DV95" s="42">
        <f>IF(Tasks[[#This Row],[_Res2Text]]="","",IF(Tasks[[#This Row],[_Res2Row]]&gt;0,INDEX(res_Name,Tasks[[#This Row],[_Res2Row]]),TRIM(LEFT(Tasks[[#This Row],[_Res2Text]],FIND("[",Tasks[[#This Row],[_Res2Text]]&amp;"[")-1))))</f>
        <v/>
      </c>
      <c r="DW9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5" s="42">
        <f>IF(OR(NOT(Tasks[[#This Row],[_IsLeaf]]=1),Tasks[[#This Row],[_Res2Row]]=0),0,N(Tasks[[#This Row],[_Days]])*HoursPerDay*IF(Tasks[[#This Row],[_Res2Units]]="",DefaultUnits,Tasks[[#This Row],[_Res2Units]]))</f>
        <v/>
      </c>
      <c r="DY95" s="42">
        <f>IF(AND(AND(Tasks[[#This Row],[_IsLeaf]]=1,Tasks[[#This Row],[_LeafTotalWork]]&gt;0),Tasks[[#This Row],[_Res2Work]]&gt;0),Tasks[[#This Row],[_Res2Work]]/(Tasks[[#This Row],[_FinishWorkday]]-Tasks[[#This Row],[_StartWorkday]]+1),0)</f>
        <v/>
      </c>
      <c r="DZ95" s="42">
        <f>Tasks[[#This Row],[_Res2WorkPerWD]]*MAX(0,Tasks[[#This Row],[_StartWorkday]]-1)</f>
        <v/>
      </c>
      <c r="EA95" s="42">
        <f>Tasks[[#This Row],[_Res2Work]]*Tasks[[#This Row],[_LeafProgress]]</f>
        <v/>
      </c>
      <c r="EB95" s="42">
        <f>IF(Tasks[[#This Row],[_Res3Text]]="","",IF(Tasks[[#This Row],[_Res3Row]]&gt;0,INDEX(res_Name,Tasks[[#This Row],[_Res3Row]]),TRIM(LEFT(Tasks[[#This Row],[_Res3Text]],FIND("[",Tasks[[#This Row],[_Res3Text]]&amp;"[")-1))))</f>
        <v/>
      </c>
      <c r="EC9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5" s="42">
        <f>IF(OR(NOT(Tasks[[#This Row],[_IsLeaf]]=1),Tasks[[#This Row],[_Res3Row]]=0),0,N(Tasks[[#This Row],[_Days]])*HoursPerDay*IF(Tasks[[#This Row],[_Res3Units]]="",DefaultUnits,Tasks[[#This Row],[_Res3Units]]))</f>
        <v/>
      </c>
      <c r="EE95" s="42">
        <f>IF(AND(AND(Tasks[[#This Row],[_IsLeaf]]=1,Tasks[[#This Row],[_LeafTotalWork]]&gt;0),Tasks[[#This Row],[_Res3Work]]&gt;0),Tasks[[#This Row],[_Res3Work]]/(Tasks[[#This Row],[_FinishWorkday]]-Tasks[[#This Row],[_StartWorkday]]+1),0)</f>
        <v/>
      </c>
      <c r="EF95" s="42">
        <f>Tasks[[#This Row],[_Res3WorkPerWD]]*MAX(0,Tasks[[#This Row],[_StartWorkday]]-1)</f>
        <v/>
      </c>
      <c r="EG95" s="42">
        <f>Tasks[[#This Row],[_Res3Work]]*Tasks[[#This Row],[_LeafProgress]]</f>
        <v/>
      </c>
      <c r="EH95" s="42">
        <f>IF(Tasks[[#This Row],[_Res4Text]]="","",IF(Tasks[[#This Row],[_Res4Row]]&gt;0,INDEX(res_Name,Tasks[[#This Row],[_Res4Row]]),TRIM(LEFT(Tasks[[#This Row],[_Res4Text]],FIND("[",Tasks[[#This Row],[_Res4Text]]&amp;"[")-1))))</f>
        <v/>
      </c>
      <c r="EI9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5" s="42">
        <f>IF(OR(NOT(Tasks[[#This Row],[_IsLeaf]]=1),Tasks[[#This Row],[_Res4Row]]=0),0,N(Tasks[[#This Row],[_Days]])*HoursPerDay*IF(Tasks[[#This Row],[_Res4Units]]="",DefaultUnits,Tasks[[#This Row],[_Res4Units]]))</f>
        <v/>
      </c>
      <c r="EK95" s="42">
        <f>IF(AND(AND(Tasks[[#This Row],[_IsLeaf]]=1,Tasks[[#This Row],[_LeafTotalWork]]&gt;0),Tasks[[#This Row],[_Res4Work]]&gt;0),Tasks[[#This Row],[_Res4Work]]/(Tasks[[#This Row],[_FinishWorkday]]-Tasks[[#This Row],[_StartWorkday]]+1),0)</f>
        <v/>
      </c>
      <c r="EL95" s="42">
        <f>Tasks[[#This Row],[_Res4WorkPerWD]]*MAX(0,Tasks[[#This Row],[_StartWorkday]]-1)</f>
        <v/>
      </c>
      <c r="EM95" s="42">
        <f>Tasks[[#This Row],[_Res4Work]]*Tasks[[#This Row],[_LeafProgress]]</f>
        <v/>
      </c>
      <c r="EN95" s="42">
        <f>IF(ISNUMBER(Tasks[[#This Row],[% Complete]]),Tasks[[#This Row],[% Complete]],IF(Tasks[[#This Row],[Stage]]="",0,IFERROR(INDEX(stg_Pct,MATCH(Tasks[[#This Row],[Stage]],stg_Name,0)),0)))</f>
        <v/>
      </c>
      <c r="EO95" s="42">
        <f>IF(NOT(Tasks[[#This Row],[_IsLeaf]]=1),0,IF(N(Tasks[[#This Row],[Actual Finish]])&gt;0,1,MIN(1,Tasks[[#This Row],[_Pct]])))</f>
        <v/>
      </c>
      <c r="EP95" s="42">
        <f>IF(OR(NOT(Tasks[[#This Row],[_IsLeaf]]=1),Tasks[[#This Row],[_Res1Row]]=0),0,N(Tasks[[#This Row],[_Days]])*HoursPerDay*IF(Tasks[[#This Row],[_Units1]]="",DefaultUnits,Tasks[[#This Row],[_Units1]]))</f>
        <v/>
      </c>
      <c r="EQ95" s="42">
        <f>Tasks[[#This Row],[_LeafWork]]+Tasks[[#This Row],[_Res2Work]]+Tasks[[#This Row],[_Res3Work]]+Tasks[[#This Row],[_Res4Work]]</f>
        <v/>
      </c>
      <c r="ER9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5" s="42">
        <f>IF(NOT(Tasks[[#This Row],[_IsLeaf]]=1),0,MAX(_xlfn.MAXIFS(Tasks[_Row],Tasks[_Pred1UID],Tasks[[#This Row],[UID]]),_xlfn.MAXIFS(Tasks[_Row],Tasks[_Pred2UID],Tasks[[#This Row],[UID]]),_xlfn.MAXIFS(Tasks[_Row],Tasks[_Pred3UID],Tasks[[#This Row],[UID]]),_xlfn.MAXIFS(Tasks[_Row],Tasks[_Pred4UID],Tasks[[#This Row],[UID]])))</f>
        <v/>
      </c>
      <c r="FA9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5" s="88">
        <f>IF(NOT(Tasks[[#This Row],[_IsLeaf]]=1),"",IF(N(Tasks[[#This Row],[_Days]])&lt;=0,Tasks[[#This Row],[_LeafLateFinish]],WORKDAY.INTL(Tasks[[#This Row],[_LeafLateFinish]],-(Tasks[[#This Row],[_Days]]-1),WorkWeek,Holidays)))</f>
        <v/>
      </c>
      <c r="FD9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5" s="42">
        <f>AND(Tasks[[#This Row],[_IsLeaf]]=1,Tasks[[#This Row],[_LeafProgress]]&lt;1,N(Tasks[[#This Row],[_LeafTotalSlack]])&lt;=CriticalSlackDays)</f>
        <v/>
      </c>
      <c r="FF95" s="42">
        <f>IF(AND(Tasks[[#This Row],[_IsLeaf]]=1,Tasks[[#This Row],[_ConstraintCode]]=1,Tasks[[#This Row],[Mode]]&lt;&gt;"Manual",N(Tasks[[#This Row],[Actual Start]])=0),MAX(0,N(Tasks[[#This Row],[Free Slack]])),0)</f>
        <v/>
      </c>
      <c r="FG95" s="88">
        <f>IF(NOT(Tasks[[#This Row],[_IsLeaf]]=1),"",IF(Tasks[[#This Row],[_AlapShift]]=0,Tasks[[#This Row],[_LeafCalcStart]],WORKDAY.INTL(Tasks[[#This Row],[_LeafCalcStart]],Tasks[[#This Row],[_AlapShift]],WorkWeek,Holidays)))</f>
        <v/>
      </c>
      <c r="FH95" s="88">
        <f>IF(NOT(Tasks[[#This Row],[_IsLeaf]]=1),"",IF(Tasks[[#This Row],[_AlapShift]]=0,Tasks[[#This Row],[_LeafCalcFinish]],WORKDAY.INTL(Tasks[[#This Row],[_LeafCalcFinish]],Tasks[[#This Row],[_AlapShift]],WorkWeek,Holidays)))</f>
        <v/>
      </c>
      <c r="FI95" s="88">
        <f>IF(NOT(Tasks[[#This Row],[_IsLeaf]]=1),"",IF(Tasks[[#This Row],[_AlapShift]]=0,Tasks[[#This Row],[_LeafFcstStart]],WORKDAY.INTL(Tasks[[#This Row],[_LeafFcstStart]],Tasks[[#This Row],[_AlapShift]],WorkWeek,Holidays)))</f>
        <v/>
      </c>
      <c r="FJ95" s="88">
        <f>IF(NOT(Tasks[[#This Row],[_IsLeaf]]=1),"",IF(Tasks[[#This Row],[_AlapShift]]=0,Tasks[[#This Row],[_LeafFcstFinish]],WORKDAY.INTL(Tasks[[#This Row],[_LeafFcstFinish]],Tasks[[#This Row],[_AlapShift]],WorkWeek,Holidays)))</f>
        <v/>
      </c>
      <c r="FK95" s="88">
        <f>IF(Tasks[[#This Row],[Task Name]]="","",IF(Tasks[[#This Row],[_IsSummary]],MIN(INDEX(Tasks[_ShownCalcStart],Tasks[[#This Row],[_Row]]+1):INDEX(Tasks[_ShownCalcStart],Tasks[[#This Row],[_Row]]+Tasks[[#This Row],[_Descendants]])),Tasks[[#This Row],[_ShownCalcStart]]))</f>
        <v/>
      </c>
      <c r="FL95" s="88">
        <f>IF(Tasks[[#This Row],[Task Name]]="","",IF(Tasks[[#This Row],[_IsSummary]],MAX(INDEX(Tasks[_ShownCalcFinish],Tasks[[#This Row],[_Row]]+1):INDEX(Tasks[_ShownCalcFinish],Tasks[[#This Row],[_Row]]+Tasks[[#This Row],[_Descendants]])),Tasks[[#This Row],[_ShownCalcFinish]]))</f>
        <v/>
      </c>
      <c r="FM9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5" s="42">
        <f>IF(AND(Tasks[[#This Row],[_IsLeaf]]=1,Tasks[[#This Row],[_LeafTotalWork]]&gt;0),NETWORKDAYS.INTL(ProjectStart,Tasks[[#This Row],[_ShownFcstStart]],WorkWeek,Holidays),0)</f>
        <v/>
      </c>
      <c r="FZ95" s="42">
        <f>IF(AND(Tasks[[#This Row],[_IsLeaf]]=1,Tasks[[#This Row],[_LeafTotalWork]]&gt;0),MAX(Tasks[[#This Row],[_StartWorkday]],NETWORKDAYS.INTL(ProjectStart,Tasks[[#This Row],[_ShownFcstFinish]],WorkWeek,Holidays)),0)</f>
        <v/>
      </c>
      <c r="GA95" s="42">
        <f>IF(AND(Tasks[[#This Row],[_IsLeaf]]=1,Tasks[[#This Row],[_LeafTotalWork]]&gt;0),Tasks[[#This Row],[_LeafWork]]/(Tasks[[#This Row],[_FinishWorkday]]-Tasks[[#This Row],[_StartWorkday]]+1),0)</f>
        <v/>
      </c>
      <c r="GB95" s="42">
        <f>Tasks[[#This Row],[_WorkPerWorkday]]*(Tasks[[#This Row],[_StartWorkday]]-1)</f>
        <v/>
      </c>
      <c r="GC95" s="42">
        <f>IF(Tasks[[#This Row],[_IsLeaf]]=1,MAX(N(Tasks[[#This Row],[_Days]]),0.1),0)</f>
        <v/>
      </c>
      <c r="GD95" s="42">
        <f>Tasks[[#This Row],[_WeightDur]]*Tasks[[#This Row],[_LeafProgress]]</f>
        <v/>
      </c>
      <c r="GE95" s="42">
        <f>Tasks[[#This Row],[_WeightDur]]*Tasks[[#This Row],[_PlannedPct]]</f>
        <v/>
      </c>
      <c r="GF9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5" s="42">
        <f>IF(AND(Tasks[[#This Row],[_IsLeaf]]=1,N(Tasks[[#This Row],[_Days]])=0,Tasks[[#This Row],[_LeafProgress]]&lt;1),Tasks[[#This Row],[_ShownFcstFinish]]+Tasks[[#This Row],[_Row]]/100000,"")</f>
        <v/>
      </c>
      <c r="GH9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5" s="42">
        <f>IF(Tasks[[#This Row],[Task Name]]="","",LEFT(Tasks[[#This Row],[WBS]],FIND(".",Tasks[[#This Row],[WBS]]&amp;".")-1))</f>
        <v/>
      </c>
      <c r="GJ95" s="42">
        <f>IF(AND(Tasks[[#This Row],[Task Name]]&lt;&gt;"",Tasks[[#This Row],[_Level]]=1),Tasks[[#This Row],[_Row]],"")</f>
        <v/>
      </c>
      <c r="GK95" s="42">
        <f>IF(AND(Tasks[[#This Row],[_IsLeaf]]=1,N(Tasks[[#This Row],[_Days]])=0),Tasks[[#This Row],[Planned Finish]]+Tasks[[#This Row],[_Row]]/100000,"")</f>
        <v/>
      </c>
      <c r="GL95" s="42">
        <f>IF(AND(Tasks[[#This Row],[_IsLeaf]]=1,Tasks[[#This Row],[_LeafProgress]]&lt;1,OR(N(Tasks[[#This Row],[Finish Var]])&gt;0,Tasks[[#This Row],[Status]]="Late Start")),MAX(0,Tasks[[#This Row],[Finish Var]])+1-Tasks[[#This Row],[_Row]]/1000000,"")</f>
        <v/>
      </c>
      <c r="GM95" s="42">
        <f>IF(AND(Tasks[[#This Row],[_IsLeaf]]=1,N(Tasks[[#This Row],[Actual Start]])=0,Tasks[[#This Row],[_ShownFcstStart]]&gt;=StatusDate,Tasks[[#This Row],[_ShownFcstStart]]&lt;=LookaheadEnd),Tasks[[#This Row],[_ShownFcstStart]]+Tasks[[#This Row],[_Row]]/100000,"")</f>
        <v/>
      </c>
      <c r="GN95" s="42">
        <f>IF(AND(Tasks[[#This Row],[_IsLeaf]]=1,Tasks[[#This Row],[_LeafProgress]]&lt;1,Tasks[[#This Row],[_ShownFcstFinish]]&gt;=StatusDate,Tasks[[#This Row],[_ShownFcstFinish]]&lt;=LookaheadEnd),Tasks[[#This Row],[_ShownFcstFinish]]+Tasks[[#This Row],[_Row]]/100000,"")</f>
        <v/>
      </c>
      <c r="GO95" s="42">
        <f>IF(Tasks[[#This Row],[_LeafCritical]],Tasks[[#This Row],[_ShownFcstStart]]+Tasks[[#This Row],[_Row]]/100000,"")</f>
        <v/>
      </c>
      <c r="GP95" s="42">
        <f>Tasks[[#This Row],[_LeafWork]]*Tasks[[#This Row],[_LeafProgress]]</f>
        <v/>
      </c>
      <c r="GQ95" s="88">
        <f>IF(AND(Tasks[[#This Row],[_IsLeaf]]=1,Tasks[[#This Row],[_LeafProgress]]&gt;=1),IF(N(Tasks[[#This Row],[Actual Finish]])&gt;0,Tasks[[#This Row],[Actual Finish]],Tasks[[#This Row],[_ShownFcstFinish]]),"")</f>
        <v/>
      </c>
      <c r="GR95" s="42">
        <f>IF(Tasks[[#This Row],[_IsLeaf]]=1,N(Tasks[[#This Row],[Story Points]]),0)</f>
        <v/>
      </c>
      <c r="GS95" s="42">
        <f>""</f>
        <v/>
      </c>
      <c r="GT95" s="42">
        <f>IF(Tasks[[#This Row],[Task Name]]="",FALSE(),AND(Tasks[[#This Row],[_IsLeaf]]=1,N(Tasks[[#This Row],[_Days]])=0))</f>
        <v/>
      </c>
      <c r="GU95" s="88">
        <f>IF(Tasks[[#This Row],[Task Name]]="",0,IF(AND(Tasks[[#This Row],[_IsLeaf]]=1,NOT(Tasks[[#This Row],[_IsMilestone]]),N(Tasks[[#This Row],[Progress]])&gt;0),Tasks[[#This Row],[Start]],0))</f>
        <v/>
      </c>
      <c r="GV95" s="88">
        <f>IF(Tasks[[#This Row],[_DoneFrom]]=0,0,IF(Tasks[[#This Row],[Progress]]&gt;=1,Tasks[[#This Row],[Finish]],MAX(Tasks[[#This Row],[_DoneFrom]],Tasks[[#This Row],[Start]]+ROUND((Tasks[[#This Row],[Finish]]-Tasks[[#This Row],[Start]]+1)*Tasks[[#This Row],[Progress]],0)-1)))</f>
        <v/>
      </c>
      <c r="GW95" s="88">
        <f>IF(Tasks[[#This Row],[Task Name]]="",0,IF(OR(NOT(Tasks[[#This Row],[_IsLeaf]]=1),Tasks[[#This Row],[_IsMilestone]],N(Tasks[[#This Row],[Progress]])&gt;=1),0,IF(Tasks[[#This Row],[_DoneTo]]&gt;0,Tasks[[#This Row],[_DoneTo]]+1,Tasks[[#This Row],[Start]])))</f>
        <v/>
      </c>
      <c r="GX95" s="88">
        <f>IF(Tasks[[#This Row],[_RemFrom]]=0,0,Tasks[[#This Row],[Finish]])</f>
        <v/>
      </c>
      <c r="GY95" s="42">
        <f>IF(Tasks[[#This Row],[Task Name]]="",FALSE(),OR(NOT(BaselineSet),N(Tasks[[#This Row],[Baseline Start]])&gt;0))</f>
        <v/>
      </c>
      <c r="GZ95" s="42">
        <f>IF(AND(Sandbox="Yes",L_PARSE_DURATION(Tasks[[#This Row],[Sandbox Duration]])&lt;&gt;""),L_PARSE_DURATION(Tasks[[#This Row],[Sandbox Duration]]),L_PARSE_DURATION(Tasks[[#This Row],[Duration]]))</f>
        <v/>
      </c>
      <c r="HA9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5" s="42">
        <f>IF(Tasks[[#This Row],[_IsLeaf]]=1,Tasks[[#This Row],[_Row]],"")</f>
        <v/>
      </c>
      <c r="HD95" s="42">
        <f>IFERROR(INDEX(Tasks[UID],SMALL(Tasks[_PickKey],Tasks[[#This Row],[_Row]]))&amp;" "&amp;INDEX(Tasks[Task Name],SMALL(Tasks[_PickKey],Tasks[[#This Row],[_Row]])),"")</f>
        <v/>
      </c>
      <c r="HE95" s="42">
        <f>IF(Tasks[[#This Row],[Task Name]]="","",IF(Tasks[[#This Row],[_IsSummary]],NETWORKDAYS.INTL(Tasks[[#This Row],[Start]],Tasks[[#This Row],[Finish]],WorkWeek,Holidays),N(Tasks[[#This Row],[_Days]])))</f>
        <v/>
      </c>
      <c r="HF95" s="42">
        <f>IF(Tasks[[#This Row],[Expected]]="",0,((Tasks[[#This Row],[Pessimistic]]-Tasks[[#This Row],[Optimistic]])/6)^2)</f>
        <v/>
      </c>
      <c r="HG95" s="42">
        <f>IF(Tasks[[#This Row],[Expected]]="",0,Tasks[[#This Row],[Expected]]-N(Tasks[[#This Row],[_Days]]))</f>
        <v/>
      </c>
    </row>
    <row r="96">
      <c r="A96" s="21">
        <f>IF(Tasks[[#This Row],[Task Name]]="","",COUNTA(Tasks[[#Headers],[Task Name]]:Tasks[[#This Row],[Task Name]])-1)</f>
        <v/>
      </c>
      <c r="B96" s="22" t="n">
        <v>104</v>
      </c>
      <c r="C96" s="22" t="n"/>
      <c r="D96" s="23" t="n"/>
      <c r="E96" s="22" t="n"/>
      <c r="F96" s="23" t="n"/>
      <c r="G96" s="22" t="n"/>
      <c r="H96" s="22" t="n"/>
      <c r="I96" s="23" t="n"/>
      <c r="J96" s="22" t="n"/>
      <c r="K96" s="22" t="n"/>
      <c r="L96" s="23" t="n"/>
      <c r="M96" s="22" t="n"/>
      <c r="N96" s="22" t="n"/>
      <c r="O96" s="23" t="n"/>
      <c r="P96" s="22" t="n"/>
      <c r="Q96" s="22" t="n"/>
      <c r="R96" s="23" t="n"/>
      <c r="S96" s="23" t="n"/>
      <c r="T96" s="82" t="n"/>
      <c r="U96" s="23" t="n"/>
      <c r="V96" s="82" t="n"/>
      <c r="W96" s="23" t="n"/>
      <c r="X96" s="82" t="n"/>
      <c r="Y96" s="23" t="n"/>
      <c r="Z96" s="82" t="n"/>
      <c r="AA96" s="23" t="n"/>
      <c r="AB96" s="23" t="n"/>
      <c r="AC96" s="7" t="n"/>
      <c r="AD96" s="7" t="n"/>
      <c r="AE96" s="61">
        <f>IF(Tasks[[#This Row],[Task Name]]="","",IF(Tasks[[#This Row],[_IsSummary]],MIN(INDEX(Tasks[_ShownFcstStart],Tasks[[#This Row],[_Row]]+1):INDEX(Tasks[_ShownFcstStart],Tasks[[#This Row],[_Row]]+Tasks[[#This Row],[_Descendants]])),Tasks[[#This Row],[_ShownFcstStart]]))</f>
        <v/>
      </c>
      <c r="AF96" s="61">
        <f>IF(Tasks[[#This Row],[Task Name]]="","",IF(Tasks[[#This Row],[_IsSummary]],MAX(INDEX(Tasks[_ShownFcstFinish],Tasks[[#This Row],[_Row]]+1):INDEX(Tasks[_ShownFcstFinish],Tasks[[#This Row],[_Row]]+Tasks[[#This Row],[_Descendants]])),Tasks[[#This Row],[_ShownFcstFinish]]))</f>
        <v/>
      </c>
      <c r="AG96" s="21">
        <f>""</f>
        <v/>
      </c>
      <c r="AH96" s="23" t="n"/>
      <c r="AI9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6" s="7" t="n"/>
      <c r="AK96" s="22" t="n"/>
      <c r="AL96" s="23" t="n"/>
      <c r="AM96" s="7" t="n"/>
      <c r="AN96" s="21">
        <f>IF(Tasks[[#This Row],[Task Name]]="","",IF(Tasks[[#This Row],[Finish]]&gt;=Tasks[[#This Row],[Planned Finish]],NETWORKDAYS.INTL(Tasks[[#This Row],[Planned Finish]],Tasks[[#This Row],[Finish]],WorkWeek,Holidays)-1,1-NETWORKDAYS.INTL(Tasks[[#This Row],[Finish]],Tasks[[#This Row],[Planned Finish]],WorkWeek,Holidays)))</f>
        <v/>
      </c>
      <c r="AO96" s="21">
        <f>IF(Tasks[[#This Row],[Task Name]]="","",IF(Tasks[[#This Row],[Progress]]&gt;=1,"Complete",IF(OR(N(Tasks[[#This Row],[Actual Start]])&gt;0,Tasks[[#This Row],[Progress]]&gt;0),IF(Tasks[[#This Row],[Finish Var]]&gt;0,"Behind","In Progress"),IF(Tasks[[#This Row],[Planned Start]]&lt;StatusDate,"Late Start","Not Started"))))</f>
        <v/>
      </c>
      <c r="AP96" s="21">
        <f>IF(Tasks[[#This Row],[Task Name]]="","",IF(IF(Tasks[[#This Row],[_IsSummary]],COUNTIF(INDEX(Tasks[_LeafCritical],Tasks[[#This Row],[_Row]]+1):INDEX(Tasks[_LeafCritical],Tasks[[#This Row],[_Row]]+Tasks[[#This Row],[_Descendants]]),TRUE())&gt;0,Tasks[[#This Row],[_LeafCritical]]),"Yes",""))</f>
        <v/>
      </c>
      <c r="AQ96" s="61">
        <f>IF(Tasks[[#This Row],[Task Name]]="","",IF(N(Tasks[[#This Row],[Baseline Start]])&gt;0,Tasks[[#This Row],[Baseline Start]],Tasks[[#This Row],[_CalcStart]]))</f>
        <v/>
      </c>
      <c r="AR96" s="61">
        <f>IF(Tasks[[#This Row],[Task Name]]="","",IF(N(Tasks[[#This Row],[Baseline Finish]])&gt;0,Tasks[[#This Row],[Baseline Finish]],Tasks[[#This Row],[_CalcFinish]]))</f>
        <v/>
      </c>
      <c r="AS96" s="21">
        <f>IF(Tasks[[#This Row],[Task Name]]="","",IF(Tasks[[#This Row],[Start]]&gt;=Tasks[[#This Row],[Planned Start]],NETWORKDAYS.INTL(Tasks[[#This Row],[Planned Start]],Tasks[[#This Row],[Start]],WorkWeek,Holidays)-1,1-NETWORKDAYS.INTL(Tasks[[#This Row],[Start]],Tasks[[#This Row],[Planned Start]],WorkWeek,Holidays)))</f>
        <v/>
      </c>
      <c r="AT96" s="61">
        <f>IF(Tasks[[#This Row],[Task Name]]="","",IF(Tasks[[#This Row],[_IsSummary]],MIN(INDEX(Tasks[_LeafLateStart],Tasks[[#This Row],[_Row]]+1):INDEX(Tasks[_LeafLateStart],Tasks[[#This Row],[_Row]]+Tasks[[#This Row],[_Descendants]])),Tasks[[#This Row],[_LeafLateStart]]))</f>
        <v/>
      </c>
      <c r="AU96" s="61">
        <f>IF(Tasks[[#This Row],[Task Name]]="","",IF(Tasks[[#This Row],[_IsSummary]],MAX(INDEX(Tasks[_LeafLateFinish],Tasks[[#This Row],[_Row]]+1):INDEX(Tasks[_LeafLateFinish],Tasks[[#This Row],[_Row]]+Tasks[[#This Row],[_Descendants]])),Tasks[[#This Row],[_LeafLateFinish]]))</f>
        <v/>
      </c>
      <c r="AV96" s="21">
        <f>IF(Tasks[[#This Row],[Task Name]]="","",IF(Tasks[[#This Row],[_IsSummary]],MIN(INDEX(Tasks[_LeafTotalSlack],Tasks[[#This Row],[_Row]]+1):INDEX(Tasks[_LeafTotalSlack],Tasks[[#This Row],[_Row]]+Tasks[[#This Row],[_Descendants]])),Tasks[[#This Row],[_LeafTotalSlack]]))</f>
        <v/>
      </c>
      <c r="AW9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3" t="n"/>
      <c r="BA9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f>IF(Tasks[[#This Row],[Task Name]]="","",IF(Tasks[[#This Row],[_Level]]&lt;=OutlineShowLevel,"Yes","No"))</f>
        <v/>
      </c>
      <c r="BE96" s="84">
        <f>IF(Tasks[[#This Row],[Task Name]]="","",IF(Tasks[[#This Row],[_IsSummary]],SUM(INDEX(Tasks[_LeafTotalWork],Tasks[[#This Row],[_Row]]+1):INDEX(Tasks[_LeafTotalWork],Tasks[[#This Row],[_Row]]+Tasks[[#This Row],[_Descendants]])),Tasks[[#This Row],[_LeafTotalWork]]))</f>
        <v/>
      </c>
      <c r="BF96" s="23" t="n"/>
      <c r="BG9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f>""</f>
        <v/>
      </c>
      <c r="BI96" s="85" t="n"/>
      <c r="BJ96" s="22" t="n"/>
      <c r="BK96" s="21">
        <f>IF(OR(Tasks[[#This Row],[Task Name]]="",Tasks[[#This Row],[Baseline Duration]]=""),"",Tasks[[#This Row],[_SpanDays]]-N(Tasks[[#This Row],[Baseline Duration]]))</f>
        <v/>
      </c>
      <c r="BL96" s="84">
        <f>IF(OR(Tasks[[#This Row],[Task Name]]="",Tasks[[#This Row],[Baseline Work]]=""),"",Tasks[[#This Row],[Work]]-N(Tasks[[#This Row],[Baseline Work]]))</f>
        <v/>
      </c>
      <c r="BM96" s="61">
        <f>IF(Tasks[[#This Row],[Task Name]]="","",IF(OR(TakeBaseline="Yes",N(Tasks[[#This Row],[Baseline Start]])=0),Tasks[[#This Row],[Start]],Tasks[[#This Row],[Baseline Start]]))</f>
        <v/>
      </c>
      <c r="BN96" s="61">
        <f>IF(Tasks[[#This Row],[Task Name]]="","",IF(OR(TakeBaseline="Yes",N(Tasks[[#This Row],[Baseline Finish]])=0),Tasks[[#This Row],[Finish]],Tasks[[#This Row],[Baseline Finish]]))</f>
        <v/>
      </c>
      <c r="BO96" s="21">
        <f>IF(Tasks[[#This Row],[Task Name]]="","",IF(OR(TakeBaseline="Yes",N(Tasks[[#This Row],[Baseline Duration]])=0),Tasks[[#This Row],[_SpanDays]],Tasks[[#This Row],[Baseline Duration]]))</f>
        <v/>
      </c>
      <c r="BP96" s="84">
        <f>IF(Tasks[[#This Row],[Task Name]]="","",IF(OR(TakeBaseline="Yes",N(Tasks[[#This Row],[Baseline Work]])=0),Tasks[[#This Row],[Work]],Tasks[[#This Row],[Baseline Work]]))</f>
        <v/>
      </c>
      <c r="BQ96" s="7" t="n"/>
      <c r="BR96" s="7" t="n"/>
      <c r="BS96" s="22" t="n"/>
      <c r="BT96" s="86" t="n"/>
      <c r="BU96" s="23" t="n"/>
      <c r="BV96" s="23" t="n"/>
      <c r="BW96" s="23" t="n"/>
      <c r="BX96" s="87">
        <f>IF(AND(Tasks[[#This Row],[_IsLeaf]]=1,ISNUMBER(Tasks[[#This Row],[Optimistic]]),ISNUMBER(Tasks[[#This Row],[Pessimistic]])),ROUND((Tasks[[#This Row],[Optimistic]]+4*N(Tasks[[#This Row],[_Days]])+Tasks[[#This Row],[Pessimistic]])/6,1),"")</f>
        <v/>
      </c>
      <c r="BY96" s="85" t="n"/>
      <c r="BZ96" s="85" t="n"/>
      <c r="CA96" s="22" t="n"/>
      <c r="CB96" s="42">
        <f>IF(Tasks[[#This Row],[Task Name]]="","",MAX(1,N(Tasks[[#This Row],[Level]])))</f>
        <v/>
      </c>
      <c r="CC96" s="42">
        <f>ROW()-ROW(Tasks[[#Headers],[ID]])</f>
        <v/>
      </c>
      <c r="CD96" s="42">
        <f>IF(OR(Tasks[[#This Row],[Task Name]]="",Tasks[[#This Row],[_Level]]&lt;=1),0,IFERROR(LOOKUP(2,1/(Tasks[[#Headers],[_Level]]:Tasks[[#This Row],[_Level]]=Tasks[[#This Row],[_Level]]-1),ROW(Tasks[[#Headers],[_Level]]:Tasks[[#This Row],[_Level]])),0))</f>
        <v/>
      </c>
      <c r="CE96" s="42">
        <f>IFERROR(N(INDEX(Tasks[_Level],Tasks[[#This Row],[_Row]]+1)),0)</f>
        <v/>
      </c>
      <c r="CF96" s="42">
        <f>AND(Tasks[[#This Row],[Task Name]]&lt;&gt;"",Tasks[[#This Row],[_NextLevel]]&gt;Tasks[[#This Row],[_Level]])</f>
        <v/>
      </c>
      <c r="CG96" s="42">
        <f>IF(Tasks[[#This Row],[_IsSummary]],COUNTIF(Tasks[WBS],Tasks[[#This Row],[WBS]]&amp;".*"),0)</f>
        <v/>
      </c>
      <c r="CH96" s="42">
        <f>IF(AND(Tasks[[#This Row],[Task Name]]&lt;&gt;"",NOT(Tasks[[#This Row],[_IsSummary]])),1,0)</f>
        <v/>
      </c>
      <c r="CI96" s="42">
        <f>IF(N(Tasks[[#This Row],[_Pred1UID]])=0,0,IFERROR(MATCH(Tasks[[#This Row],[_Pred1UID]],Tasks[UID],0),-1))</f>
        <v/>
      </c>
      <c r="CJ96" s="42">
        <f>IF(N(Tasks[[#This Row],[_Pred2UID]])=0,0,IFERROR(MATCH(Tasks[[#This Row],[_Pred2UID]],Tasks[UID],0),-1))</f>
        <v/>
      </c>
      <c r="CK96" s="42">
        <f>IF(N(Tasks[[#This Row],[_Pred3UID]])=0,0,IFERROR(MATCH(Tasks[[#This Row],[_Pred3UID]],Tasks[UID],0),-1))</f>
        <v/>
      </c>
      <c r="CL96" s="42">
        <f>IF(N(Tasks[[#This Row],[_Pred4UID]])=0,0,IFERROR(MATCH(Tasks[[#This Row],[_Pred4UID]],Tasks[UID],0),-1))</f>
        <v/>
      </c>
      <c r="CM9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6" s="88">
        <f>IF(N(Tasks[[#This Row],[Constraint Date]])=0,0,IF(AND(OR(Tasks[[#This Row],[_ConstraintCode]]=3,Tasks[[#This Row],[_ConstraintCode]]=6,Tasks[[#This Row],[_ConstraintCode]]=7),N(Tasks[[#This Row],[_Days]])&gt;1),WORKDAY.INTL(N(Tasks[[#This Row],[Constraint Date]]),-(N(Tasks[[#This Row],[_Days]])-1),WorkWeek,Holidays),N(Tasks[[#This Row],[Constraint Date]])))</f>
        <v/>
      </c>
      <c r="CO96" s="88">
        <f>IF(OR(Tasks[[#This Row],[_ConstraintCode]]=2,Tasks[[#This Row],[_ConstraintCode]]=3,Tasks[[#This Row],[_ConstraintCode]]=4,Tasks[[#This Row],[_ConstraintCode]]=6),Tasks[[#This Row],[_ConstraintStart]],0)</f>
        <v/>
      </c>
      <c r="CP96" s="88">
        <f>IF(OR(Tasks[[#This Row],[_ConstraintCode]]=2,Tasks[[#This Row],[_ConstraintCode]]=3,Tasks[[#This Row],[_ConstraintCode]]=5,Tasks[[#This Row],[_ConstraintCode]]=7),Tasks[[#This Row],[_ConstraintStart]],2958465)</f>
        <v/>
      </c>
      <c r="CQ9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6" s="88">
        <f>IF(NOT(Tasks[[#This Row],[_IsLeaf]]=1),"",IF(N(Tasks[[#This Row],[_Days]])&lt;=0,Tasks[[#This Row],[_LeafCalcStart]],WORKDAY.INTL(Tasks[[#This Row],[_LeafCalcStart]],Tasks[[#This Row],[_Days]]-1,WorkWeek,Holidays)))</f>
        <v/>
      </c>
      <c r="CS9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6" s="42">
        <f>IF(Tasks[[#This Row],[_Predecessors]]="","",TRIM(MID(SUBSTITUTE(SUBSTITUTE(SUBSTITUTE(UPPER(Tasks[[#This Row],[_Predecessors]]),";",",")," ",""),",",REPT(" ",99)),1,99)))</f>
        <v/>
      </c>
      <c r="CV96" s="42">
        <f>IF(Tasks[[#This Row],[_Pred1Text]]="","",IFERROR(VALUE(LEFT(Tasks[[#This Row],[_Pred1Text]],MIN(FIND("F",Tasks[[#This Row],[_Pred1Text]]&amp;"F"),FIND("S",Tasks[[#This Row],[_Pred1Text]]&amp;"S"),FIND("+",Tasks[[#This Row],[_Pred1Text]]&amp;"+"),FIND("-",Tasks[[#This Row],[_Pred1Text]]&amp;"-"))-1)),""))</f>
        <v/>
      </c>
      <c r="CW9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6" s="42">
        <f>IF(Tasks[[#This Row],[_Pred1Text]]="","",TRIM(MID(SUBSTITUTE(SUBSTITUTE(SUBSTITUTE(UPPER(Tasks[[#This Row],[_Predecessors]]),";",",")," ",""),",",REPT(" ",99)),100,99)))</f>
        <v/>
      </c>
      <c r="CZ96" s="42">
        <f>IF(Tasks[[#This Row],[_Pred2Text]]="","",IFERROR(VALUE(LEFT(Tasks[[#This Row],[_Pred2Text]],MIN(FIND("F",Tasks[[#This Row],[_Pred2Text]]&amp;"F"),FIND("S",Tasks[[#This Row],[_Pred2Text]]&amp;"S"),FIND("+",Tasks[[#This Row],[_Pred2Text]]&amp;"+"),FIND("-",Tasks[[#This Row],[_Pred2Text]]&amp;"-"))-1)),""))</f>
        <v/>
      </c>
      <c r="DA9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6" s="42">
        <f>IF(Tasks[[#This Row],[_Pred2Text]]="","",TRIM(MID(SUBSTITUTE(SUBSTITUTE(SUBSTITUTE(UPPER(Tasks[[#This Row],[_Predecessors]]),";",",")," ",""),",",REPT(" ",99)),199,99)))</f>
        <v/>
      </c>
      <c r="DD96" s="42">
        <f>IF(Tasks[[#This Row],[_Pred3Text]]="","",IFERROR(VALUE(LEFT(Tasks[[#This Row],[_Pred3Text]],MIN(FIND("F",Tasks[[#This Row],[_Pred3Text]]&amp;"F"),FIND("S",Tasks[[#This Row],[_Pred3Text]]&amp;"S"),FIND("+",Tasks[[#This Row],[_Pred3Text]]&amp;"+"),FIND("-",Tasks[[#This Row],[_Pred3Text]]&amp;"-"))-1)),""))</f>
        <v/>
      </c>
      <c r="DE9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6" s="42">
        <f>IF(Tasks[[#This Row],[_Pred3Text]]="","",TRIM(MID(SUBSTITUTE(SUBSTITUTE(SUBSTITUTE(UPPER(Tasks[[#This Row],[_Predecessors]]),";",",")," ",""),",",REPT(" ",99)),298,99)))</f>
        <v/>
      </c>
      <c r="DH96" s="42">
        <f>IF(Tasks[[#This Row],[_Pred4Text]]="","",IFERROR(VALUE(LEFT(Tasks[[#This Row],[_Pred4Text]],MIN(FIND("F",Tasks[[#This Row],[_Pred4Text]]&amp;"F"),FIND("S",Tasks[[#This Row],[_Pred4Text]]&amp;"S"),FIND("+",Tasks[[#This Row],[_Pred4Text]]&amp;"+"),FIND("-",Tasks[[#This Row],[_Pred4Text]]&amp;"-"))-1)),""))</f>
        <v/>
      </c>
      <c r="DI9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6" s="42">
        <f>IF(OR(Tasks[[#This Row],[Task Name]]="",Tasks[[#This Row],[_Resources]]=""),"",TRIM(MID(SUBSTITUTE(Tasks[[#This Row],[_Resources]],",",REPT(" ",99)),1,99)))</f>
        <v/>
      </c>
      <c r="DL96" s="42">
        <f>IF(Tasks[[#This Row],[_Res1Text]]="","",TRIM(MID(SUBSTITUTE(Tasks[[#This Row],[_Resources]],",",REPT(" ",99)),100,99)))</f>
        <v/>
      </c>
      <c r="DM96" s="42">
        <f>IF(Tasks[[#This Row],[_Res2Text]]="","",TRIM(MID(SUBSTITUTE(Tasks[[#This Row],[_Resources]],",",REPT(" ",99)),199,99)))</f>
        <v/>
      </c>
      <c r="DN96" s="42">
        <f>IF(Tasks[[#This Row],[_Res3Text]]="","",TRIM(MID(SUBSTITUTE(Tasks[[#This Row],[_Resources]],",",REPT(" ",99)),298,99)))</f>
        <v/>
      </c>
      <c r="DO96" s="42">
        <f>IF(Tasks[[#This Row],[_Res1Text]]="",0,IFERROR(MATCH(TRIM(LEFT(Tasks[[#This Row],[_Res1Text]],FIND("[",Tasks[[#This Row],[_Res1Text]]&amp;"[")-1)),res_Name,0),IFERROR(MATCH(TRIM(LEFT(Tasks[[#This Row],[_Res1Text]],FIND("[",Tasks[[#This Row],[_Res1Text]]&amp;"[")-1)),res_Initials,0),0)))</f>
        <v/>
      </c>
      <c r="DP96" s="42">
        <f>IF(Tasks[[#This Row],[_Res2Text]]="",0,IFERROR(MATCH(TRIM(LEFT(Tasks[[#This Row],[_Res2Text]],FIND("[",Tasks[[#This Row],[_Res2Text]]&amp;"[")-1)),res_Name,0),IFERROR(MATCH(TRIM(LEFT(Tasks[[#This Row],[_Res2Text]],FIND("[",Tasks[[#This Row],[_Res2Text]]&amp;"[")-1)),res_Initials,0),0)))</f>
        <v/>
      </c>
      <c r="DQ96" s="42">
        <f>IF(Tasks[[#This Row],[_Res3Text]]="",0,IFERROR(MATCH(TRIM(LEFT(Tasks[[#This Row],[_Res3Text]],FIND("[",Tasks[[#This Row],[_Res3Text]]&amp;"[")-1)),res_Name,0),IFERROR(MATCH(TRIM(LEFT(Tasks[[#This Row],[_Res3Text]],FIND("[",Tasks[[#This Row],[_Res3Text]]&amp;"[")-1)),res_Initials,0),0)))</f>
        <v/>
      </c>
      <c r="DR96" s="42">
        <f>IF(Tasks[[#This Row],[_Res4Text]]="",0,IFERROR(MATCH(TRIM(LEFT(Tasks[[#This Row],[_Res4Text]],FIND("[",Tasks[[#This Row],[_Res4Text]]&amp;"[")-1)),res_Name,0),IFERROR(MATCH(TRIM(LEFT(Tasks[[#This Row],[_Res4Text]],FIND("[",Tasks[[#This Row],[_Res4Text]]&amp;"[")-1)),res_Initials,0),0)))</f>
        <v/>
      </c>
      <c r="DS96" s="42">
        <f>IF(Tasks[[#This Row],[_Res1Text]]="","",IF(Tasks[[#This Row],[_Res1Row]]&gt;0,INDEX(res_Name,Tasks[[#This Row],[_Res1Row]]),TRIM(LEFT(Tasks[[#This Row],[_Res1Text]],FIND("[",Tasks[[#This Row],[_Res1Text]]&amp;"[")-1))))</f>
        <v/>
      </c>
      <c r="DT9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6" s="42">
        <f>IF(NOT(Tasks[[#This Row],[_IsLeaf]]=1),0,(Tasks[[#This Row],[_Resource1]]&lt;&gt;"")+(Tasks[[#This Row],[_Res2]]&lt;&gt;"")+(Tasks[[#This Row],[_Res3]]&lt;&gt;"")+(Tasks[[#This Row],[_Res4]]&lt;&gt;""))</f>
        <v/>
      </c>
      <c r="DV96" s="42">
        <f>IF(Tasks[[#This Row],[_Res2Text]]="","",IF(Tasks[[#This Row],[_Res2Row]]&gt;0,INDEX(res_Name,Tasks[[#This Row],[_Res2Row]]),TRIM(LEFT(Tasks[[#This Row],[_Res2Text]],FIND("[",Tasks[[#This Row],[_Res2Text]]&amp;"[")-1))))</f>
        <v/>
      </c>
      <c r="DW9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6" s="42">
        <f>IF(OR(NOT(Tasks[[#This Row],[_IsLeaf]]=1),Tasks[[#This Row],[_Res2Row]]=0),0,N(Tasks[[#This Row],[_Days]])*HoursPerDay*IF(Tasks[[#This Row],[_Res2Units]]="",DefaultUnits,Tasks[[#This Row],[_Res2Units]]))</f>
        <v/>
      </c>
      <c r="DY96" s="42">
        <f>IF(AND(AND(Tasks[[#This Row],[_IsLeaf]]=1,Tasks[[#This Row],[_LeafTotalWork]]&gt;0),Tasks[[#This Row],[_Res2Work]]&gt;0),Tasks[[#This Row],[_Res2Work]]/(Tasks[[#This Row],[_FinishWorkday]]-Tasks[[#This Row],[_StartWorkday]]+1),0)</f>
        <v/>
      </c>
      <c r="DZ96" s="42">
        <f>Tasks[[#This Row],[_Res2WorkPerWD]]*MAX(0,Tasks[[#This Row],[_StartWorkday]]-1)</f>
        <v/>
      </c>
      <c r="EA96" s="42">
        <f>Tasks[[#This Row],[_Res2Work]]*Tasks[[#This Row],[_LeafProgress]]</f>
        <v/>
      </c>
      <c r="EB96" s="42">
        <f>IF(Tasks[[#This Row],[_Res3Text]]="","",IF(Tasks[[#This Row],[_Res3Row]]&gt;0,INDEX(res_Name,Tasks[[#This Row],[_Res3Row]]),TRIM(LEFT(Tasks[[#This Row],[_Res3Text]],FIND("[",Tasks[[#This Row],[_Res3Text]]&amp;"[")-1))))</f>
        <v/>
      </c>
      <c r="EC9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6" s="42">
        <f>IF(OR(NOT(Tasks[[#This Row],[_IsLeaf]]=1),Tasks[[#This Row],[_Res3Row]]=0),0,N(Tasks[[#This Row],[_Days]])*HoursPerDay*IF(Tasks[[#This Row],[_Res3Units]]="",DefaultUnits,Tasks[[#This Row],[_Res3Units]]))</f>
        <v/>
      </c>
      <c r="EE96" s="42">
        <f>IF(AND(AND(Tasks[[#This Row],[_IsLeaf]]=1,Tasks[[#This Row],[_LeafTotalWork]]&gt;0),Tasks[[#This Row],[_Res3Work]]&gt;0),Tasks[[#This Row],[_Res3Work]]/(Tasks[[#This Row],[_FinishWorkday]]-Tasks[[#This Row],[_StartWorkday]]+1),0)</f>
        <v/>
      </c>
      <c r="EF96" s="42">
        <f>Tasks[[#This Row],[_Res3WorkPerWD]]*MAX(0,Tasks[[#This Row],[_StartWorkday]]-1)</f>
        <v/>
      </c>
      <c r="EG96" s="42">
        <f>Tasks[[#This Row],[_Res3Work]]*Tasks[[#This Row],[_LeafProgress]]</f>
        <v/>
      </c>
      <c r="EH96" s="42">
        <f>IF(Tasks[[#This Row],[_Res4Text]]="","",IF(Tasks[[#This Row],[_Res4Row]]&gt;0,INDEX(res_Name,Tasks[[#This Row],[_Res4Row]]),TRIM(LEFT(Tasks[[#This Row],[_Res4Text]],FIND("[",Tasks[[#This Row],[_Res4Text]]&amp;"[")-1))))</f>
        <v/>
      </c>
      <c r="EI9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6" s="42">
        <f>IF(OR(NOT(Tasks[[#This Row],[_IsLeaf]]=1),Tasks[[#This Row],[_Res4Row]]=0),0,N(Tasks[[#This Row],[_Days]])*HoursPerDay*IF(Tasks[[#This Row],[_Res4Units]]="",DefaultUnits,Tasks[[#This Row],[_Res4Units]]))</f>
        <v/>
      </c>
      <c r="EK96" s="42">
        <f>IF(AND(AND(Tasks[[#This Row],[_IsLeaf]]=1,Tasks[[#This Row],[_LeafTotalWork]]&gt;0),Tasks[[#This Row],[_Res4Work]]&gt;0),Tasks[[#This Row],[_Res4Work]]/(Tasks[[#This Row],[_FinishWorkday]]-Tasks[[#This Row],[_StartWorkday]]+1),0)</f>
        <v/>
      </c>
      <c r="EL96" s="42">
        <f>Tasks[[#This Row],[_Res4WorkPerWD]]*MAX(0,Tasks[[#This Row],[_StartWorkday]]-1)</f>
        <v/>
      </c>
      <c r="EM96" s="42">
        <f>Tasks[[#This Row],[_Res4Work]]*Tasks[[#This Row],[_LeafProgress]]</f>
        <v/>
      </c>
      <c r="EN96" s="42">
        <f>IF(ISNUMBER(Tasks[[#This Row],[% Complete]]),Tasks[[#This Row],[% Complete]],IF(Tasks[[#This Row],[Stage]]="",0,IFERROR(INDEX(stg_Pct,MATCH(Tasks[[#This Row],[Stage]],stg_Name,0)),0)))</f>
        <v/>
      </c>
      <c r="EO96" s="42">
        <f>IF(NOT(Tasks[[#This Row],[_IsLeaf]]=1),0,IF(N(Tasks[[#This Row],[Actual Finish]])&gt;0,1,MIN(1,Tasks[[#This Row],[_Pct]])))</f>
        <v/>
      </c>
      <c r="EP96" s="42">
        <f>IF(OR(NOT(Tasks[[#This Row],[_IsLeaf]]=1),Tasks[[#This Row],[_Res1Row]]=0),0,N(Tasks[[#This Row],[_Days]])*HoursPerDay*IF(Tasks[[#This Row],[_Units1]]="",DefaultUnits,Tasks[[#This Row],[_Units1]]))</f>
        <v/>
      </c>
      <c r="EQ96" s="42">
        <f>Tasks[[#This Row],[_LeafWork]]+Tasks[[#This Row],[_Res2Work]]+Tasks[[#This Row],[_Res3Work]]+Tasks[[#This Row],[_Res4Work]]</f>
        <v/>
      </c>
      <c r="ER9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6" s="42">
        <f>IF(NOT(Tasks[[#This Row],[_IsLeaf]]=1),0,MAX(_xlfn.MAXIFS(Tasks[_Row],Tasks[_Pred1UID],Tasks[[#This Row],[UID]]),_xlfn.MAXIFS(Tasks[_Row],Tasks[_Pred2UID],Tasks[[#This Row],[UID]]),_xlfn.MAXIFS(Tasks[_Row],Tasks[_Pred3UID],Tasks[[#This Row],[UID]]),_xlfn.MAXIFS(Tasks[_Row],Tasks[_Pred4UID],Tasks[[#This Row],[UID]])))</f>
        <v/>
      </c>
      <c r="FA9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6" s="88">
        <f>IF(NOT(Tasks[[#This Row],[_IsLeaf]]=1),"",IF(N(Tasks[[#This Row],[_Days]])&lt;=0,Tasks[[#This Row],[_LeafLateFinish]],WORKDAY.INTL(Tasks[[#This Row],[_LeafLateFinish]],-(Tasks[[#This Row],[_Days]]-1),WorkWeek,Holidays)))</f>
        <v/>
      </c>
      <c r="FD9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6" s="42">
        <f>AND(Tasks[[#This Row],[_IsLeaf]]=1,Tasks[[#This Row],[_LeafProgress]]&lt;1,N(Tasks[[#This Row],[_LeafTotalSlack]])&lt;=CriticalSlackDays)</f>
        <v/>
      </c>
      <c r="FF96" s="42">
        <f>IF(AND(Tasks[[#This Row],[_IsLeaf]]=1,Tasks[[#This Row],[_ConstraintCode]]=1,Tasks[[#This Row],[Mode]]&lt;&gt;"Manual",N(Tasks[[#This Row],[Actual Start]])=0),MAX(0,N(Tasks[[#This Row],[Free Slack]])),0)</f>
        <v/>
      </c>
      <c r="FG96" s="88">
        <f>IF(NOT(Tasks[[#This Row],[_IsLeaf]]=1),"",IF(Tasks[[#This Row],[_AlapShift]]=0,Tasks[[#This Row],[_LeafCalcStart]],WORKDAY.INTL(Tasks[[#This Row],[_LeafCalcStart]],Tasks[[#This Row],[_AlapShift]],WorkWeek,Holidays)))</f>
        <v/>
      </c>
      <c r="FH96" s="88">
        <f>IF(NOT(Tasks[[#This Row],[_IsLeaf]]=1),"",IF(Tasks[[#This Row],[_AlapShift]]=0,Tasks[[#This Row],[_LeafCalcFinish]],WORKDAY.INTL(Tasks[[#This Row],[_LeafCalcFinish]],Tasks[[#This Row],[_AlapShift]],WorkWeek,Holidays)))</f>
        <v/>
      </c>
      <c r="FI96" s="88">
        <f>IF(NOT(Tasks[[#This Row],[_IsLeaf]]=1),"",IF(Tasks[[#This Row],[_AlapShift]]=0,Tasks[[#This Row],[_LeafFcstStart]],WORKDAY.INTL(Tasks[[#This Row],[_LeafFcstStart]],Tasks[[#This Row],[_AlapShift]],WorkWeek,Holidays)))</f>
        <v/>
      </c>
      <c r="FJ96" s="88">
        <f>IF(NOT(Tasks[[#This Row],[_IsLeaf]]=1),"",IF(Tasks[[#This Row],[_AlapShift]]=0,Tasks[[#This Row],[_LeafFcstFinish]],WORKDAY.INTL(Tasks[[#This Row],[_LeafFcstFinish]],Tasks[[#This Row],[_AlapShift]],WorkWeek,Holidays)))</f>
        <v/>
      </c>
      <c r="FK96" s="88">
        <f>IF(Tasks[[#This Row],[Task Name]]="","",IF(Tasks[[#This Row],[_IsSummary]],MIN(INDEX(Tasks[_ShownCalcStart],Tasks[[#This Row],[_Row]]+1):INDEX(Tasks[_ShownCalcStart],Tasks[[#This Row],[_Row]]+Tasks[[#This Row],[_Descendants]])),Tasks[[#This Row],[_ShownCalcStart]]))</f>
        <v/>
      </c>
      <c r="FL96" s="88">
        <f>IF(Tasks[[#This Row],[Task Name]]="","",IF(Tasks[[#This Row],[_IsSummary]],MAX(INDEX(Tasks[_ShownCalcFinish],Tasks[[#This Row],[_Row]]+1):INDEX(Tasks[_ShownCalcFinish],Tasks[[#This Row],[_Row]]+Tasks[[#This Row],[_Descendants]])),Tasks[[#This Row],[_ShownCalcFinish]]))</f>
        <v/>
      </c>
      <c r="FM9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6" s="42">
        <f>IF(AND(Tasks[[#This Row],[_IsLeaf]]=1,Tasks[[#This Row],[_LeafTotalWork]]&gt;0),NETWORKDAYS.INTL(ProjectStart,Tasks[[#This Row],[_ShownFcstStart]],WorkWeek,Holidays),0)</f>
        <v/>
      </c>
      <c r="FZ96" s="42">
        <f>IF(AND(Tasks[[#This Row],[_IsLeaf]]=1,Tasks[[#This Row],[_LeafTotalWork]]&gt;0),MAX(Tasks[[#This Row],[_StartWorkday]],NETWORKDAYS.INTL(ProjectStart,Tasks[[#This Row],[_ShownFcstFinish]],WorkWeek,Holidays)),0)</f>
        <v/>
      </c>
      <c r="GA96" s="42">
        <f>IF(AND(Tasks[[#This Row],[_IsLeaf]]=1,Tasks[[#This Row],[_LeafTotalWork]]&gt;0),Tasks[[#This Row],[_LeafWork]]/(Tasks[[#This Row],[_FinishWorkday]]-Tasks[[#This Row],[_StartWorkday]]+1),0)</f>
        <v/>
      </c>
      <c r="GB96" s="42">
        <f>Tasks[[#This Row],[_WorkPerWorkday]]*(Tasks[[#This Row],[_StartWorkday]]-1)</f>
        <v/>
      </c>
      <c r="GC96" s="42">
        <f>IF(Tasks[[#This Row],[_IsLeaf]]=1,MAX(N(Tasks[[#This Row],[_Days]]),0.1),0)</f>
        <v/>
      </c>
      <c r="GD96" s="42">
        <f>Tasks[[#This Row],[_WeightDur]]*Tasks[[#This Row],[_LeafProgress]]</f>
        <v/>
      </c>
      <c r="GE96" s="42">
        <f>Tasks[[#This Row],[_WeightDur]]*Tasks[[#This Row],[_PlannedPct]]</f>
        <v/>
      </c>
      <c r="GF9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6" s="42">
        <f>IF(AND(Tasks[[#This Row],[_IsLeaf]]=1,N(Tasks[[#This Row],[_Days]])=0,Tasks[[#This Row],[_LeafProgress]]&lt;1),Tasks[[#This Row],[_ShownFcstFinish]]+Tasks[[#This Row],[_Row]]/100000,"")</f>
        <v/>
      </c>
      <c r="GH9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6" s="42">
        <f>IF(Tasks[[#This Row],[Task Name]]="","",LEFT(Tasks[[#This Row],[WBS]],FIND(".",Tasks[[#This Row],[WBS]]&amp;".")-1))</f>
        <v/>
      </c>
      <c r="GJ96" s="42">
        <f>IF(AND(Tasks[[#This Row],[Task Name]]&lt;&gt;"",Tasks[[#This Row],[_Level]]=1),Tasks[[#This Row],[_Row]],"")</f>
        <v/>
      </c>
      <c r="GK96" s="42">
        <f>IF(AND(Tasks[[#This Row],[_IsLeaf]]=1,N(Tasks[[#This Row],[_Days]])=0),Tasks[[#This Row],[Planned Finish]]+Tasks[[#This Row],[_Row]]/100000,"")</f>
        <v/>
      </c>
      <c r="GL96" s="42">
        <f>IF(AND(Tasks[[#This Row],[_IsLeaf]]=1,Tasks[[#This Row],[_LeafProgress]]&lt;1,OR(N(Tasks[[#This Row],[Finish Var]])&gt;0,Tasks[[#This Row],[Status]]="Late Start")),MAX(0,Tasks[[#This Row],[Finish Var]])+1-Tasks[[#This Row],[_Row]]/1000000,"")</f>
        <v/>
      </c>
      <c r="GM96" s="42">
        <f>IF(AND(Tasks[[#This Row],[_IsLeaf]]=1,N(Tasks[[#This Row],[Actual Start]])=0,Tasks[[#This Row],[_ShownFcstStart]]&gt;=StatusDate,Tasks[[#This Row],[_ShownFcstStart]]&lt;=LookaheadEnd),Tasks[[#This Row],[_ShownFcstStart]]+Tasks[[#This Row],[_Row]]/100000,"")</f>
        <v/>
      </c>
      <c r="GN96" s="42">
        <f>IF(AND(Tasks[[#This Row],[_IsLeaf]]=1,Tasks[[#This Row],[_LeafProgress]]&lt;1,Tasks[[#This Row],[_ShownFcstFinish]]&gt;=StatusDate,Tasks[[#This Row],[_ShownFcstFinish]]&lt;=LookaheadEnd),Tasks[[#This Row],[_ShownFcstFinish]]+Tasks[[#This Row],[_Row]]/100000,"")</f>
        <v/>
      </c>
      <c r="GO96" s="42">
        <f>IF(Tasks[[#This Row],[_LeafCritical]],Tasks[[#This Row],[_ShownFcstStart]]+Tasks[[#This Row],[_Row]]/100000,"")</f>
        <v/>
      </c>
      <c r="GP96" s="42">
        <f>Tasks[[#This Row],[_LeafWork]]*Tasks[[#This Row],[_LeafProgress]]</f>
        <v/>
      </c>
      <c r="GQ96" s="88">
        <f>IF(AND(Tasks[[#This Row],[_IsLeaf]]=1,Tasks[[#This Row],[_LeafProgress]]&gt;=1),IF(N(Tasks[[#This Row],[Actual Finish]])&gt;0,Tasks[[#This Row],[Actual Finish]],Tasks[[#This Row],[_ShownFcstFinish]]),"")</f>
        <v/>
      </c>
      <c r="GR96" s="42">
        <f>IF(Tasks[[#This Row],[_IsLeaf]]=1,N(Tasks[[#This Row],[Story Points]]),0)</f>
        <v/>
      </c>
      <c r="GS96" s="42">
        <f>""</f>
        <v/>
      </c>
      <c r="GT96" s="42">
        <f>IF(Tasks[[#This Row],[Task Name]]="",FALSE(),AND(Tasks[[#This Row],[_IsLeaf]]=1,N(Tasks[[#This Row],[_Days]])=0))</f>
        <v/>
      </c>
      <c r="GU96" s="88">
        <f>IF(Tasks[[#This Row],[Task Name]]="",0,IF(AND(Tasks[[#This Row],[_IsLeaf]]=1,NOT(Tasks[[#This Row],[_IsMilestone]]),N(Tasks[[#This Row],[Progress]])&gt;0),Tasks[[#This Row],[Start]],0))</f>
        <v/>
      </c>
      <c r="GV96" s="88">
        <f>IF(Tasks[[#This Row],[_DoneFrom]]=0,0,IF(Tasks[[#This Row],[Progress]]&gt;=1,Tasks[[#This Row],[Finish]],MAX(Tasks[[#This Row],[_DoneFrom]],Tasks[[#This Row],[Start]]+ROUND((Tasks[[#This Row],[Finish]]-Tasks[[#This Row],[Start]]+1)*Tasks[[#This Row],[Progress]],0)-1)))</f>
        <v/>
      </c>
      <c r="GW96" s="88">
        <f>IF(Tasks[[#This Row],[Task Name]]="",0,IF(OR(NOT(Tasks[[#This Row],[_IsLeaf]]=1),Tasks[[#This Row],[_IsMilestone]],N(Tasks[[#This Row],[Progress]])&gt;=1),0,IF(Tasks[[#This Row],[_DoneTo]]&gt;0,Tasks[[#This Row],[_DoneTo]]+1,Tasks[[#This Row],[Start]])))</f>
        <v/>
      </c>
      <c r="GX96" s="88">
        <f>IF(Tasks[[#This Row],[_RemFrom]]=0,0,Tasks[[#This Row],[Finish]])</f>
        <v/>
      </c>
      <c r="GY96" s="42">
        <f>IF(Tasks[[#This Row],[Task Name]]="",FALSE(),OR(NOT(BaselineSet),N(Tasks[[#This Row],[Baseline Start]])&gt;0))</f>
        <v/>
      </c>
      <c r="GZ96" s="42">
        <f>IF(AND(Sandbox="Yes",L_PARSE_DURATION(Tasks[[#This Row],[Sandbox Duration]])&lt;&gt;""),L_PARSE_DURATION(Tasks[[#This Row],[Sandbox Duration]]),L_PARSE_DURATION(Tasks[[#This Row],[Duration]]))</f>
        <v/>
      </c>
      <c r="HA9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6" s="42">
        <f>IF(Tasks[[#This Row],[_IsLeaf]]=1,Tasks[[#This Row],[_Row]],"")</f>
        <v/>
      </c>
      <c r="HD96" s="42">
        <f>IFERROR(INDEX(Tasks[UID],SMALL(Tasks[_PickKey],Tasks[[#This Row],[_Row]]))&amp;" "&amp;INDEX(Tasks[Task Name],SMALL(Tasks[_PickKey],Tasks[[#This Row],[_Row]])),"")</f>
        <v/>
      </c>
      <c r="HE96" s="42">
        <f>IF(Tasks[[#This Row],[Task Name]]="","",IF(Tasks[[#This Row],[_IsSummary]],NETWORKDAYS.INTL(Tasks[[#This Row],[Start]],Tasks[[#This Row],[Finish]],WorkWeek,Holidays),N(Tasks[[#This Row],[_Days]])))</f>
        <v/>
      </c>
      <c r="HF96" s="42">
        <f>IF(Tasks[[#This Row],[Expected]]="",0,((Tasks[[#This Row],[Pessimistic]]-Tasks[[#This Row],[Optimistic]])/6)^2)</f>
        <v/>
      </c>
      <c r="HG96" s="42">
        <f>IF(Tasks[[#This Row],[Expected]]="",0,Tasks[[#This Row],[Expected]]-N(Tasks[[#This Row],[_Days]]))</f>
        <v/>
      </c>
    </row>
    <row r="97">
      <c r="A97" s="21">
        <f>IF(Tasks[[#This Row],[Task Name]]="","",COUNTA(Tasks[[#Headers],[Task Name]]:Tasks[[#This Row],[Task Name]])-1)</f>
        <v/>
      </c>
      <c r="B97" s="22" t="n">
        <v>105</v>
      </c>
      <c r="C97" s="22" t="n"/>
      <c r="D97" s="23" t="n"/>
      <c r="E97" s="22" t="n"/>
      <c r="F97" s="23" t="n"/>
      <c r="G97" s="22" t="n"/>
      <c r="H97" s="22" t="n"/>
      <c r="I97" s="23" t="n"/>
      <c r="J97" s="22" t="n"/>
      <c r="K97" s="22" t="n"/>
      <c r="L97" s="23" t="n"/>
      <c r="M97" s="22" t="n"/>
      <c r="N97" s="22" t="n"/>
      <c r="O97" s="23" t="n"/>
      <c r="P97" s="22" t="n"/>
      <c r="Q97" s="22" t="n"/>
      <c r="R97" s="23" t="n"/>
      <c r="S97" s="23" t="n"/>
      <c r="T97" s="82" t="n"/>
      <c r="U97" s="23" t="n"/>
      <c r="V97" s="82" t="n"/>
      <c r="W97" s="23" t="n"/>
      <c r="X97" s="82" t="n"/>
      <c r="Y97" s="23" t="n"/>
      <c r="Z97" s="82" t="n"/>
      <c r="AA97" s="23" t="n"/>
      <c r="AB97" s="23" t="n"/>
      <c r="AC97" s="7" t="n"/>
      <c r="AD97" s="7" t="n"/>
      <c r="AE97" s="61">
        <f>IF(Tasks[[#This Row],[Task Name]]="","",IF(Tasks[[#This Row],[_IsSummary]],MIN(INDEX(Tasks[_ShownFcstStart],Tasks[[#This Row],[_Row]]+1):INDEX(Tasks[_ShownFcstStart],Tasks[[#This Row],[_Row]]+Tasks[[#This Row],[_Descendants]])),Tasks[[#This Row],[_ShownFcstStart]]))</f>
        <v/>
      </c>
      <c r="AF97" s="61">
        <f>IF(Tasks[[#This Row],[Task Name]]="","",IF(Tasks[[#This Row],[_IsSummary]],MAX(INDEX(Tasks[_ShownFcstFinish],Tasks[[#This Row],[_Row]]+1):INDEX(Tasks[_ShownFcstFinish],Tasks[[#This Row],[_Row]]+Tasks[[#This Row],[_Descendants]])),Tasks[[#This Row],[_ShownFcstFinish]]))</f>
        <v/>
      </c>
      <c r="AG97" s="21">
        <f>""</f>
        <v/>
      </c>
      <c r="AH97" s="23" t="n"/>
      <c r="AI9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7" s="7" t="n"/>
      <c r="AK97" s="22" t="n"/>
      <c r="AL97" s="23" t="n"/>
      <c r="AM97" s="7" t="n"/>
      <c r="AN97" s="21">
        <f>IF(Tasks[[#This Row],[Task Name]]="","",IF(Tasks[[#This Row],[Finish]]&gt;=Tasks[[#This Row],[Planned Finish]],NETWORKDAYS.INTL(Tasks[[#This Row],[Planned Finish]],Tasks[[#This Row],[Finish]],WorkWeek,Holidays)-1,1-NETWORKDAYS.INTL(Tasks[[#This Row],[Finish]],Tasks[[#This Row],[Planned Finish]],WorkWeek,Holidays)))</f>
        <v/>
      </c>
      <c r="AO97" s="21">
        <f>IF(Tasks[[#This Row],[Task Name]]="","",IF(Tasks[[#This Row],[Progress]]&gt;=1,"Complete",IF(OR(N(Tasks[[#This Row],[Actual Start]])&gt;0,Tasks[[#This Row],[Progress]]&gt;0),IF(Tasks[[#This Row],[Finish Var]]&gt;0,"Behind","In Progress"),IF(Tasks[[#This Row],[Planned Start]]&lt;StatusDate,"Late Start","Not Started"))))</f>
        <v/>
      </c>
      <c r="AP97" s="21">
        <f>IF(Tasks[[#This Row],[Task Name]]="","",IF(IF(Tasks[[#This Row],[_IsSummary]],COUNTIF(INDEX(Tasks[_LeafCritical],Tasks[[#This Row],[_Row]]+1):INDEX(Tasks[_LeafCritical],Tasks[[#This Row],[_Row]]+Tasks[[#This Row],[_Descendants]]),TRUE())&gt;0,Tasks[[#This Row],[_LeafCritical]]),"Yes",""))</f>
        <v/>
      </c>
      <c r="AQ97" s="61">
        <f>IF(Tasks[[#This Row],[Task Name]]="","",IF(N(Tasks[[#This Row],[Baseline Start]])&gt;0,Tasks[[#This Row],[Baseline Start]],Tasks[[#This Row],[_CalcStart]]))</f>
        <v/>
      </c>
      <c r="AR97" s="61">
        <f>IF(Tasks[[#This Row],[Task Name]]="","",IF(N(Tasks[[#This Row],[Baseline Finish]])&gt;0,Tasks[[#This Row],[Baseline Finish]],Tasks[[#This Row],[_CalcFinish]]))</f>
        <v/>
      </c>
      <c r="AS97" s="21">
        <f>IF(Tasks[[#This Row],[Task Name]]="","",IF(Tasks[[#This Row],[Start]]&gt;=Tasks[[#This Row],[Planned Start]],NETWORKDAYS.INTL(Tasks[[#This Row],[Planned Start]],Tasks[[#This Row],[Start]],WorkWeek,Holidays)-1,1-NETWORKDAYS.INTL(Tasks[[#This Row],[Start]],Tasks[[#This Row],[Planned Start]],WorkWeek,Holidays)))</f>
        <v/>
      </c>
      <c r="AT97" s="61">
        <f>IF(Tasks[[#This Row],[Task Name]]="","",IF(Tasks[[#This Row],[_IsSummary]],MIN(INDEX(Tasks[_LeafLateStart],Tasks[[#This Row],[_Row]]+1):INDEX(Tasks[_LeafLateStart],Tasks[[#This Row],[_Row]]+Tasks[[#This Row],[_Descendants]])),Tasks[[#This Row],[_LeafLateStart]]))</f>
        <v/>
      </c>
      <c r="AU97" s="61">
        <f>IF(Tasks[[#This Row],[Task Name]]="","",IF(Tasks[[#This Row],[_IsSummary]],MAX(INDEX(Tasks[_LeafLateFinish],Tasks[[#This Row],[_Row]]+1):INDEX(Tasks[_LeafLateFinish],Tasks[[#This Row],[_Row]]+Tasks[[#This Row],[_Descendants]])),Tasks[[#This Row],[_LeafLateFinish]]))</f>
        <v/>
      </c>
      <c r="AV97" s="21">
        <f>IF(Tasks[[#This Row],[Task Name]]="","",IF(Tasks[[#This Row],[_IsSummary]],MIN(INDEX(Tasks[_LeafTotalSlack],Tasks[[#This Row],[_Row]]+1):INDEX(Tasks[_LeafTotalSlack],Tasks[[#This Row],[_Row]]+Tasks[[#This Row],[_Descendants]])),Tasks[[#This Row],[_LeafTotalSlack]]))</f>
        <v/>
      </c>
      <c r="AW9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3" t="n"/>
      <c r="BA9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f>IF(Tasks[[#This Row],[Task Name]]="","",IF(Tasks[[#This Row],[_Level]]&lt;=OutlineShowLevel,"Yes","No"))</f>
        <v/>
      </c>
      <c r="BE97" s="84">
        <f>IF(Tasks[[#This Row],[Task Name]]="","",IF(Tasks[[#This Row],[_IsSummary]],SUM(INDEX(Tasks[_LeafTotalWork],Tasks[[#This Row],[_Row]]+1):INDEX(Tasks[_LeafTotalWork],Tasks[[#This Row],[_Row]]+Tasks[[#This Row],[_Descendants]])),Tasks[[#This Row],[_LeafTotalWork]]))</f>
        <v/>
      </c>
      <c r="BF97" s="23" t="n"/>
      <c r="BG9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f>""</f>
        <v/>
      </c>
      <c r="BI97" s="85" t="n"/>
      <c r="BJ97" s="22" t="n"/>
      <c r="BK97" s="21">
        <f>IF(OR(Tasks[[#This Row],[Task Name]]="",Tasks[[#This Row],[Baseline Duration]]=""),"",Tasks[[#This Row],[_SpanDays]]-N(Tasks[[#This Row],[Baseline Duration]]))</f>
        <v/>
      </c>
      <c r="BL97" s="84">
        <f>IF(OR(Tasks[[#This Row],[Task Name]]="",Tasks[[#This Row],[Baseline Work]]=""),"",Tasks[[#This Row],[Work]]-N(Tasks[[#This Row],[Baseline Work]]))</f>
        <v/>
      </c>
      <c r="BM97" s="61">
        <f>IF(Tasks[[#This Row],[Task Name]]="","",IF(OR(TakeBaseline="Yes",N(Tasks[[#This Row],[Baseline Start]])=0),Tasks[[#This Row],[Start]],Tasks[[#This Row],[Baseline Start]]))</f>
        <v/>
      </c>
      <c r="BN97" s="61">
        <f>IF(Tasks[[#This Row],[Task Name]]="","",IF(OR(TakeBaseline="Yes",N(Tasks[[#This Row],[Baseline Finish]])=0),Tasks[[#This Row],[Finish]],Tasks[[#This Row],[Baseline Finish]]))</f>
        <v/>
      </c>
      <c r="BO97" s="21">
        <f>IF(Tasks[[#This Row],[Task Name]]="","",IF(OR(TakeBaseline="Yes",N(Tasks[[#This Row],[Baseline Duration]])=0),Tasks[[#This Row],[_SpanDays]],Tasks[[#This Row],[Baseline Duration]]))</f>
        <v/>
      </c>
      <c r="BP97" s="84">
        <f>IF(Tasks[[#This Row],[Task Name]]="","",IF(OR(TakeBaseline="Yes",N(Tasks[[#This Row],[Baseline Work]])=0),Tasks[[#This Row],[Work]],Tasks[[#This Row],[Baseline Work]]))</f>
        <v/>
      </c>
      <c r="BQ97" s="7" t="n"/>
      <c r="BR97" s="7" t="n"/>
      <c r="BS97" s="22" t="n"/>
      <c r="BT97" s="86" t="n"/>
      <c r="BU97" s="23" t="n"/>
      <c r="BV97" s="23" t="n"/>
      <c r="BW97" s="23" t="n"/>
      <c r="BX97" s="87">
        <f>IF(AND(Tasks[[#This Row],[_IsLeaf]]=1,ISNUMBER(Tasks[[#This Row],[Optimistic]]),ISNUMBER(Tasks[[#This Row],[Pessimistic]])),ROUND((Tasks[[#This Row],[Optimistic]]+4*N(Tasks[[#This Row],[_Days]])+Tasks[[#This Row],[Pessimistic]])/6,1),"")</f>
        <v/>
      </c>
      <c r="BY97" s="85" t="n"/>
      <c r="BZ97" s="85" t="n"/>
      <c r="CA97" s="22" t="n"/>
      <c r="CB97" s="42">
        <f>IF(Tasks[[#This Row],[Task Name]]="","",MAX(1,N(Tasks[[#This Row],[Level]])))</f>
        <v/>
      </c>
      <c r="CC97" s="42">
        <f>ROW()-ROW(Tasks[[#Headers],[ID]])</f>
        <v/>
      </c>
      <c r="CD97" s="42">
        <f>IF(OR(Tasks[[#This Row],[Task Name]]="",Tasks[[#This Row],[_Level]]&lt;=1),0,IFERROR(LOOKUP(2,1/(Tasks[[#Headers],[_Level]]:Tasks[[#This Row],[_Level]]=Tasks[[#This Row],[_Level]]-1),ROW(Tasks[[#Headers],[_Level]]:Tasks[[#This Row],[_Level]])),0))</f>
        <v/>
      </c>
      <c r="CE97" s="42">
        <f>IFERROR(N(INDEX(Tasks[_Level],Tasks[[#This Row],[_Row]]+1)),0)</f>
        <v/>
      </c>
      <c r="CF97" s="42">
        <f>AND(Tasks[[#This Row],[Task Name]]&lt;&gt;"",Tasks[[#This Row],[_NextLevel]]&gt;Tasks[[#This Row],[_Level]])</f>
        <v/>
      </c>
      <c r="CG97" s="42">
        <f>IF(Tasks[[#This Row],[_IsSummary]],COUNTIF(Tasks[WBS],Tasks[[#This Row],[WBS]]&amp;".*"),0)</f>
        <v/>
      </c>
      <c r="CH97" s="42">
        <f>IF(AND(Tasks[[#This Row],[Task Name]]&lt;&gt;"",NOT(Tasks[[#This Row],[_IsSummary]])),1,0)</f>
        <v/>
      </c>
      <c r="CI97" s="42">
        <f>IF(N(Tasks[[#This Row],[_Pred1UID]])=0,0,IFERROR(MATCH(Tasks[[#This Row],[_Pred1UID]],Tasks[UID],0),-1))</f>
        <v/>
      </c>
      <c r="CJ97" s="42">
        <f>IF(N(Tasks[[#This Row],[_Pred2UID]])=0,0,IFERROR(MATCH(Tasks[[#This Row],[_Pred2UID]],Tasks[UID],0),-1))</f>
        <v/>
      </c>
      <c r="CK97" s="42">
        <f>IF(N(Tasks[[#This Row],[_Pred3UID]])=0,0,IFERROR(MATCH(Tasks[[#This Row],[_Pred3UID]],Tasks[UID],0),-1))</f>
        <v/>
      </c>
      <c r="CL97" s="42">
        <f>IF(N(Tasks[[#This Row],[_Pred4UID]])=0,0,IFERROR(MATCH(Tasks[[#This Row],[_Pred4UID]],Tasks[UID],0),-1))</f>
        <v/>
      </c>
      <c r="CM9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7" s="88">
        <f>IF(N(Tasks[[#This Row],[Constraint Date]])=0,0,IF(AND(OR(Tasks[[#This Row],[_ConstraintCode]]=3,Tasks[[#This Row],[_ConstraintCode]]=6,Tasks[[#This Row],[_ConstraintCode]]=7),N(Tasks[[#This Row],[_Days]])&gt;1),WORKDAY.INTL(N(Tasks[[#This Row],[Constraint Date]]),-(N(Tasks[[#This Row],[_Days]])-1),WorkWeek,Holidays),N(Tasks[[#This Row],[Constraint Date]])))</f>
        <v/>
      </c>
      <c r="CO97" s="88">
        <f>IF(OR(Tasks[[#This Row],[_ConstraintCode]]=2,Tasks[[#This Row],[_ConstraintCode]]=3,Tasks[[#This Row],[_ConstraintCode]]=4,Tasks[[#This Row],[_ConstraintCode]]=6),Tasks[[#This Row],[_ConstraintStart]],0)</f>
        <v/>
      </c>
      <c r="CP97" s="88">
        <f>IF(OR(Tasks[[#This Row],[_ConstraintCode]]=2,Tasks[[#This Row],[_ConstraintCode]]=3,Tasks[[#This Row],[_ConstraintCode]]=5,Tasks[[#This Row],[_ConstraintCode]]=7),Tasks[[#This Row],[_ConstraintStart]],2958465)</f>
        <v/>
      </c>
      <c r="CQ9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7" s="88">
        <f>IF(NOT(Tasks[[#This Row],[_IsLeaf]]=1),"",IF(N(Tasks[[#This Row],[_Days]])&lt;=0,Tasks[[#This Row],[_LeafCalcStart]],WORKDAY.INTL(Tasks[[#This Row],[_LeafCalcStart]],Tasks[[#This Row],[_Days]]-1,WorkWeek,Holidays)))</f>
        <v/>
      </c>
      <c r="CS9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7" s="42">
        <f>IF(Tasks[[#This Row],[_Predecessors]]="","",TRIM(MID(SUBSTITUTE(SUBSTITUTE(SUBSTITUTE(UPPER(Tasks[[#This Row],[_Predecessors]]),";",",")," ",""),",",REPT(" ",99)),1,99)))</f>
        <v/>
      </c>
      <c r="CV97" s="42">
        <f>IF(Tasks[[#This Row],[_Pred1Text]]="","",IFERROR(VALUE(LEFT(Tasks[[#This Row],[_Pred1Text]],MIN(FIND("F",Tasks[[#This Row],[_Pred1Text]]&amp;"F"),FIND("S",Tasks[[#This Row],[_Pred1Text]]&amp;"S"),FIND("+",Tasks[[#This Row],[_Pred1Text]]&amp;"+"),FIND("-",Tasks[[#This Row],[_Pred1Text]]&amp;"-"))-1)),""))</f>
        <v/>
      </c>
      <c r="CW9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7" s="42">
        <f>IF(Tasks[[#This Row],[_Pred1Text]]="","",TRIM(MID(SUBSTITUTE(SUBSTITUTE(SUBSTITUTE(UPPER(Tasks[[#This Row],[_Predecessors]]),";",",")," ",""),",",REPT(" ",99)),100,99)))</f>
        <v/>
      </c>
      <c r="CZ97" s="42">
        <f>IF(Tasks[[#This Row],[_Pred2Text]]="","",IFERROR(VALUE(LEFT(Tasks[[#This Row],[_Pred2Text]],MIN(FIND("F",Tasks[[#This Row],[_Pred2Text]]&amp;"F"),FIND("S",Tasks[[#This Row],[_Pred2Text]]&amp;"S"),FIND("+",Tasks[[#This Row],[_Pred2Text]]&amp;"+"),FIND("-",Tasks[[#This Row],[_Pred2Text]]&amp;"-"))-1)),""))</f>
        <v/>
      </c>
      <c r="DA9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7" s="42">
        <f>IF(Tasks[[#This Row],[_Pred2Text]]="","",TRIM(MID(SUBSTITUTE(SUBSTITUTE(SUBSTITUTE(UPPER(Tasks[[#This Row],[_Predecessors]]),";",",")," ",""),",",REPT(" ",99)),199,99)))</f>
        <v/>
      </c>
      <c r="DD97" s="42">
        <f>IF(Tasks[[#This Row],[_Pred3Text]]="","",IFERROR(VALUE(LEFT(Tasks[[#This Row],[_Pred3Text]],MIN(FIND("F",Tasks[[#This Row],[_Pred3Text]]&amp;"F"),FIND("S",Tasks[[#This Row],[_Pred3Text]]&amp;"S"),FIND("+",Tasks[[#This Row],[_Pred3Text]]&amp;"+"),FIND("-",Tasks[[#This Row],[_Pred3Text]]&amp;"-"))-1)),""))</f>
        <v/>
      </c>
      <c r="DE9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7" s="42">
        <f>IF(Tasks[[#This Row],[_Pred3Text]]="","",TRIM(MID(SUBSTITUTE(SUBSTITUTE(SUBSTITUTE(UPPER(Tasks[[#This Row],[_Predecessors]]),";",",")," ",""),",",REPT(" ",99)),298,99)))</f>
        <v/>
      </c>
      <c r="DH97" s="42">
        <f>IF(Tasks[[#This Row],[_Pred4Text]]="","",IFERROR(VALUE(LEFT(Tasks[[#This Row],[_Pred4Text]],MIN(FIND("F",Tasks[[#This Row],[_Pred4Text]]&amp;"F"),FIND("S",Tasks[[#This Row],[_Pred4Text]]&amp;"S"),FIND("+",Tasks[[#This Row],[_Pred4Text]]&amp;"+"),FIND("-",Tasks[[#This Row],[_Pred4Text]]&amp;"-"))-1)),""))</f>
        <v/>
      </c>
      <c r="DI9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7" s="42">
        <f>IF(OR(Tasks[[#This Row],[Task Name]]="",Tasks[[#This Row],[_Resources]]=""),"",TRIM(MID(SUBSTITUTE(Tasks[[#This Row],[_Resources]],",",REPT(" ",99)),1,99)))</f>
        <v/>
      </c>
      <c r="DL97" s="42">
        <f>IF(Tasks[[#This Row],[_Res1Text]]="","",TRIM(MID(SUBSTITUTE(Tasks[[#This Row],[_Resources]],",",REPT(" ",99)),100,99)))</f>
        <v/>
      </c>
      <c r="DM97" s="42">
        <f>IF(Tasks[[#This Row],[_Res2Text]]="","",TRIM(MID(SUBSTITUTE(Tasks[[#This Row],[_Resources]],",",REPT(" ",99)),199,99)))</f>
        <v/>
      </c>
      <c r="DN97" s="42">
        <f>IF(Tasks[[#This Row],[_Res3Text]]="","",TRIM(MID(SUBSTITUTE(Tasks[[#This Row],[_Resources]],",",REPT(" ",99)),298,99)))</f>
        <v/>
      </c>
      <c r="DO97" s="42">
        <f>IF(Tasks[[#This Row],[_Res1Text]]="",0,IFERROR(MATCH(TRIM(LEFT(Tasks[[#This Row],[_Res1Text]],FIND("[",Tasks[[#This Row],[_Res1Text]]&amp;"[")-1)),res_Name,0),IFERROR(MATCH(TRIM(LEFT(Tasks[[#This Row],[_Res1Text]],FIND("[",Tasks[[#This Row],[_Res1Text]]&amp;"[")-1)),res_Initials,0),0)))</f>
        <v/>
      </c>
      <c r="DP97" s="42">
        <f>IF(Tasks[[#This Row],[_Res2Text]]="",0,IFERROR(MATCH(TRIM(LEFT(Tasks[[#This Row],[_Res2Text]],FIND("[",Tasks[[#This Row],[_Res2Text]]&amp;"[")-1)),res_Name,0),IFERROR(MATCH(TRIM(LEFT(Tasks[[#This Row],[_Res2Text]],FIND("[",Tasks[[#This Row],[_Res2Text]]&amp;"[")-1)),res_Initials,0),0)))</f>
        <v/>
      </c>
      <c r="DQ97" s="42">
        <f>IF(Tasks[[#This Row],[_Res3Text]]="",0,IFERROR(MATCH(TRIM(LEFT(Tasks[[#This Row],[_Res3Text]],FIND("[",Tasks[[#This Row],[_Res3Text]]&amp;"[")-1)),res_Name,0),IFERROR(MATCH(TRIM(LEFT(Tasks[[#This Row],[_Res3Text]],FIND("[",Tasks[[#This Row],[_Res3Text]]&amp;"[")-1)),res_Initials,0),0)))</f>
        <v/>
      </c>
      <c r="DR97" s="42">
        <f>IF(Tasks[[#This Row],[_Res4Text]]="",0,IFERROR(MATCH(TRIM(LEFT(Tasks[[#This Row],[_Res4Text]],FIND("[",Tasks[[#This Row],[_Res4Text]]&amp;"[")-1)),res_Name,0),IFERROR(MATCH(TRIM(LEFT(Tasks[[#This Row],[_Res4Text]],FIND("[",Tasks[[#This Row],[_Res4Text]]&amp;"[")-1)),res_Initials,0),0)))</f>
        <v/>
      </c>
      <c r="DS97" s="42">
        <f>IF(Tasks[[#This Row],[_Res1Text]]="","",IF(Tasks[[#This Row],[_Res1Row]]&gt;0,INDEX(res_Name,Tasks[[#This Row],[_Res1Row]]),TRIM(LEFT(Tasks[[#This Row],[_Res1Text]],FIND("[",Tasks[[#This Row],[_Res1Text]]&amp;"[")-1))))</f>
        <v/>
      </c>
      <c r="DT9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7" s="42">
        <f>IF(NOT(Tasks[[#This Row],[_IsLeaf]]=1),0,(Tasks[[#This Row],[_Resource1]]&lt;&gt;"")+(Tasks[[#This Row],[_Res2]]&lt;&gt;"")+(Tasks[[#This Row],[_Res3]]&lt;&gt;"")+(Tasks[[#This Row],[_Res4]]&lt;&gt;""))</f>
        <v/>
      </c>
      <c r="DV97" s="42">
        <f>IF(Tasks[[#This Row],[_Res2Text]]="","",IF(Tasks[[#This Row],[_Res2Row]]&gt;0,INDEX(res_Name,Tasks[[#This Row],[_Res2Row]]),TRIM(LEFT(Tasks[[#This Row],[_Res2Text]],FIND("[",Tasks[[#This Row],[_Res2Text]]&amp;"[")-1))))</f>
        <v/>
      </c>
      <c r="DW9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7" s="42">
        <f>IF(OR(NOT(Tasks[[#This Row],[_IsLeaf]]=1),Tasks[[#This Row],[_Res2Row]]=0),0,N(Tasks[[#This Row],[_Days]])*HoursPerDay*IF(Tasks[[#This Row],[_Res2Units]]="",DefaultUnits,Tasks[[#This Row],[_Res2Units]]))</f>
        <v/>
      </c>
      <c r="DY97" s="42">
        <f>IF(AND(AND(Tasks[[#This Row],[_IsLeaf]]=1,Tasks[[#This Row],[_LeafTotalWork]]&gt;0),Tasks[[#This Row],[_Res2Work]]&gt;0),Tasks[[#This Row],[_Res2Work]]/(Tasks[[#This Row],[_FinishWorkday]]-Tasks[[#This Row],[_StartWorkday]]+1),0)</f>
        <v/>
      </c>
      <c r="DZ97" s="42">
        <f>Tasks[[#This Row],[_Res2WorkPerWD]]*MAX(0,Tasks[[#This Row],[_StartWorkday]]-1)</f>
        <v/>
      </c>
      <c r="EA97" s="42">
        <f>Tasks[[#This Row],[_Res2Work]]*Tasks[[#This Row],[_LeafProgress]]</f>
        <v/>
      </c>
      <c r="EB97" s="42">
        <f>IF(Tasks[[#This Row],[_Res3Text]]="","",IF(Tasks[[#This Row],[_Res3Row]]&gt;0,INDEX(res_Name,Tasks[[#This Row],[_Res3Row]]),TRIM(LEFT(Tasks[[#This Row],[_Res3Text]],FIND("[",Tasks[[#This Row],[_Res3Text]]&amp;"[")-1))))</f>
        <v/>
      </c>
      <c r="EC9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7" s="42">
        <f>IF(OR(NOT(Tasks[[#This Row],[_IsLeaf]]=1),Tasks[[#This Row],[_Res3Row]]=0),0,N(Tasks[[#This Row],[_Days]])*HoursPerDay*IF(Tasks[[#This Row],[_Res3Units]]="",DefaultUnits,Tasks[[#This Row],[_Res3Units]]))</f>
        <v/>
      </c>
      <c r="EE97" s="42">
        <f>IF(AND(AND(Tasks[[#This Row],[_IsLeaf]]=1,Tasks[[#This Row],[_LeafTotalWork]]&gt;0),Tasks[[#This Row],[_Res3Work]]&gt;0),Tasks[[#This Row],[_Res3Work]]/(Tasks[[#This Row],[_FinishWorkday]]-Tasks[[#This Row],[_StartWorkday]]+1),0)</f>
        <v/>
      </c>
      <c r="EF97" s="42">
        <f>Tasks[[#This Row],[_Res3WorkPerWD]]*MAX(0,Tasks[[#This Row],[_StartWorkday]]-1)</f>
        <v/>
      </c>
      <c r="EG97" s="42">
        <f>Tasks[[#This Row],[_Res3Work]]*Tasks[[#This Row],[_LeafProgress]]</f>
        <v/>
      </c>
      <c r="EH97" s="42">
        <f>IF(Tasks[[#This Row],[_Res4Text]]="","",IF(Tasks[[#This Row],[_Res4Row]]&gt;0,INDEX(res_Name,Tasks[[#This Row],[_Res4Row]]),TRIM(LEFT(Tasks[[#This Row],[_Res4Text]],FIND("[",Tasks[[#This Row],[_Res4Text]]&amp;"[")-1))))</f>
        <v/>
      </c>
      <c r="EI9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7" s="42">
        <f>IF(OR(NOT(Tasks[[#This Row],[_IsLeaf]]=1),Tasks[[#This Row],[_Res4Row]]=0),0,N(Tasks[[#This Row],[_Days]])*HoursPerDay*IF(Tasks[[#This Row],[_Res4Units]]="",DefaultUnits,Tasks[[#This Row],[_Res4Units]]))</f>
        <v/>
      </c>
      <c r="EK97" s="42">
        <f>IF(AND(AND(Tasks[[#This Row],[_IsLeaf]]=1,Tasks[[#This Row],[_LeafTotalWork]]&gt;0),Tasks[[#This Row],[_Res4Work]]&gt;0),Tasks[[#This Row],[_Res4Work]]/(Tasks[[#This Row],[_FinishWorkday]]-Tasks[[#This Row],[_StartWorkday]]+1),0)</f>
        <v/>
      </c>
      <c r="EL97" s="42">
        <f>Tasks[[#This Row],[_Res4WorkPerWD]]*MAX(0,Tasks[[#This Row],[_StartWorkday]]-1)</f>
        <v/>
      </c>
      <c r="EM97" s="42">
        <f>Tasks[[#This Row],[_Res4Work]]*Tasks[[#This Row],[_LeafProgress]]</f>
        <v/>
      </c>
      <c r="EN97" s="42">
        <f>IF(ISNUMBER(Tasks[[#This Row],[% Complete]]),Tasks[[#This Row],[% Complete]],IF(Tasks[[#This Row],[Stage]]="",0,IFERROR(INDEX(stg_Pct,MATCH(Tasks[[#This Row],[Stage]],stg_Name,0)),0)))</f>
        <v/>
      </c>
      <c r="EO97" s="42">
        <f>IF(NOT(Tasks[[#This Row],[_IsLeaf]]=1),0,IF(N(Tasks[[#This Row],[Actual Finish]])&gt;0,1,MIN(1,Tasks[[#This Row],[_Pct]])))</f>
        <v/>
      </c>
      <c r="EP97" s="42">
        <f>IF(OR(NOT(Tasks[[#This Row],[_IsLeaf]]=1),Tasks[[#This Row],[_Res1Row]]=0),0,N(Tasks[[#This Row],[_Days]])*HoursPerDay*IF(Tasks[[#This Row],[_Units1]]="",DefaultUnits,Tasks[[#This Row],[_Units1]]))</f>
        <v/>
      </c>
      <c r="EQ97" s="42">
        <f>Tasks[[#This Row],[_LeafWork]]+Tasks[[#This Row],[_Res2Work]]+Tasks[[#This Row],[_Res3Work]]+Tasks[[#This Row],[_Res4Work]]</f>
        <v/>
      </c>
      <c r="ER9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7" s="42">
        <f>IF(NOT(Tasks[[#This Row],[_IsLeaf]]=1),0,MAX(_xlfn.MAXIFS(Tasks[_Row],Tasks[_Pred1UID],Tasks[[#This Row],[UID]]),_xlfn.MAXIFS(Tasks[_Row],Tasks[_Pred2UID],Tasks[[#This Row],[UID]]),_xlfn.MAXIFS(Tasks[_Row],Tasks[_Pred3UID],Tasks[[#This Row],[UID]]),_xlfn.MAXIFS(Tasks[_Row],Tasks[_Pred4UID],Tasks[[#This Row],[UID]])))</f>
        <v/>
      </c>
      <c r="FA9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7" s="88">
        <f>IF(NOT(Tasks[[#This Row],[_IsLeaf]]=1),"",IF(N(Tasks[[#This Row],[_Days]])&lt;=0,Tasks[[#This Row],[_LeafLateFinish]],WORKDAY.INTL(Tasks[[#This Row],[_LeafLateFinish]],-(Tasks[[#This Row],[_Days]]-1),WorkWeek,Holidays)))</f>
        <v/>
      </c>
      <c r="FD9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7" s="42">
        <f>AND(Tasks[[#This Row],[_IsLeaf]]=1,Tasks[[#This Row],[_LeafProgress]]&lt;1,N(Tasks[[#This Row],[_LeafTotalSlack]])&lt;=CriticalSlackDays)</f>
        <v/>
      </c>
      <c r="FF97" s="42">
        <f>IF(AND(Tasks[[#This Row],[_IsLeaf]]=1,Tasks[[#This Row],[_ConstraintCode]]=1,Tasks[[#This Row],[Mode]]&lt;&gt;"Manual",N(Tasks[[#This Row],[Actual Start]])=0),MAX(0,N(Tasks[[#This Row],[Free Slack]])),0)</f>
        <v/>
      </c>
      <c r="FG97" s="88">
        <f>IF(NOT(Tasks[[#This Row],[_IsLeaf]]=1),"",IF(Tasks[[#This Row],[_AlapShift]]=0,Tasks[[#This Row],[_LeafCalcStart]],WORKDAY.INTL(Tasks[[#This Row],[_LeafCalcStart]],Tasks[[#This Row],[_AlapShift]],WorkWeek,Holidays)))</f>
        <v/>
      </c>
      <c r="FH97" s="88">
        <f>IF(NOT(Tasks[[#This Row],[_IsLeaf]]=1),"",IF(Tasks[[#This Row],[_AlapShift]]=0,Tasks[[#This Row],[_LeafCalcFinish]],WORKDAY.INTL(Tasks[[#This Row],[_LeafCalcFinish]],Tasks[[#This Row],[_AlapShift]],WorkWeek,Holidays)))</f>
        <v/>
      </c>
      <c r="FI97" s="88">
        <f>IF(NOT(Tasks[[#This Row],[_IsLeaf]]=1),"",IF(Tasks[[#This Row],[_AlapShift]]=0,Tasks[[#This Row],[_LeafFcstStart]],WORKDAY.INTL(Tasks[[#This Row],[_LeafFcstStart]],Tasks[[#This Row],[_AlapShift]],WorkWeek,Holidays)))</f>
        <v/>
      </c>
      <c r="FJ97" s="88">
        <f>IF(NOT(Tasks[[#This Row],[_IsLeaf]]=1),"",IF(Tasks[[#This Row],[_AlapShift]]=0,Tasks[[#This Row],[_LeafFcstFinish]],WORKDAY.INTL(Tasks[[#This Row],[_LeafFcstFinish]],Tasks[[#This Row],[_AlapShift]],WorkWeek,Holidays)))</f>
        <v/>
      </c>
      <c r="FK97" s="88">
        <f>IF(Tasks[[#This Row],[Task Name]]="","",IF(Tasks[[#This Row],[_IsSummary]],MIN(INDEX(Tasks[_ShownCalcStart],Tasks[[#This Row],[_Row]]+1):INDEX(Tasks[_ShownCalcStart],Tasks[[#This Row],[_Row]]+Tasks[[#This Row],[_Descendants]])),Tasks[[#This Row],[_ShownCalcStart]]))</f>
        <v/>
      </c>
      <c r="FL97" s="88">
        <f>IF(Tasks[[#This Row],[Task Name]]="","",IF(Tasks[[#This Row],[_IsSummary]],MAX(INDEX(Tasks[_ShownCalcFinish],Tasks[[#This Row],[_Row]]+1):INDEX(Tasks[_ShownCalcFinish],Tasks[[#This Row],[_Row]]+Tasks[[#This Row],[_Descendants]])),Tasks[[#This Row],[_ShownCalcFinish]]))</f>
        <v/>
      </c>
      <c r="FM9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7" s="42">
        <f>IF(AND(Tasks[[#This Row],[_IsLeaf]]=1,Tasks[[#This Row],[_LeafTotalWork]]&gt;0),NETWORKDAYS.INTL(ProjectStart,Tasks[[#This Row],[_ShownFcstStart]],WorkWeek,Holidays),0)</f>
        <v/>
      </c>
      <c r="FZ97" s="42">
        <f>IF(AND(Tasks[[#This Row],[_IsLeaf]]=1,Tasks[[#This Row],[_LeafTotalWork]]&gt;0),MAX(Tasks[[#This Row],[_StartWorkday]],NETWORKDAYS.INTL(ProjectStart,Tasks[[#This Row],[_ShownFcstFinish]],WorkWeek,Holidays)),0)</f>
        <v/>
      </c>
      <c r="GA97" s="42">
        <f>IF(AND(Tasks[[#This Row],[_IsLeaf]]=1,Tasks[[#This Row],[_LeafTotalWork]]&gt;0),Tasks[[#This Row],[_LeafWork]]/(Tasks[[#This Row],[_FinishWorkday]]-Tasks[[#This Row],[_StartWorkday]]+1),0)</f>
        <v/>
      </c>
      <c r="GB97" s="42">
        <f>Tasks[[#This Row],[_WorkPerWorkday]]*(Tasks[[#This Row],[_StartWorkday]]-1)</f>
        <v/>
      </c>
      <c r="GC97" s="42">
        <f>IF(Tasks[[#This Row],[_IsLeaf]]=1,MAX(N(Tasks[[#This Row],[_Days]]),0.1),0)</f>
        <v/>
      </c>
      <c r="GD97" s="42">
        <f>Tasks[[#This Row],[_WeightDur]]*Tasks[[#This Row],[_LeafProgress]]</f>
        <v/>
      </c>
      <c r="GE97" s="42">
        <f>Tasks[[#This Row],[_WeightDur]]*Tasks[[#This Row],[_PlannedPct]]</f>
        <v/>
      </c>
      <c r="GF9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7" s="42">
        <f>IF(AND(Tasks[[#This Row],[_IsLeaf]]=1,N(Tasks[[#This Row],[_Days]])=0,Tasks[[#This Row],[_LeafProgress]]&lt;1),Tasks[[#This Row],[_ShownFcstFinish]]+Tasks[[#This Row],[_Row]]/100000,"")</f>
        <v/>
      </c>
      <c r="GH9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7" s="42">
        <f>IF(Tasks[[#This Row],[Task Name]]="","",LEFT(Tasks[[#This Row],[WBS]],FIND(".",Tasks[[#This Row],[WBS]]&amp;".")-1))</f>
        <v/>
      </c>
      <c r="GJ97" s="42">
        <f>IF(AND(Tasks[[#This Row],[Task Name]]&lt;&gt;"",Tasks[[#This Row],[_Level]]=1),Tasks[[#This Row],[_Row]],"")</f>
        <v/>
      </c>
      <c r="GK97" s="42">
        <f>IF(AND(Tasks[[#This Row],[_IsLeaf]]=1,N(Tasks[[#This Row],[_Days]])=0),Tasks[[#This Row],[Planned Finish]]+Tasks[[#This Row],[_Row]]/100000,"")</f>
        <v/>
      </c>
      <c r="GL97" s="42">
        <f>IF(AND(Tasks[[#This Row],[_IsLeaf]]=1,Tasks[[#This Row],[_LeafProgress]]&lt;1,OR(N(Tasks[[#This Row],[Finish Var]])&gt;0,Tasks[[#This Row],[Status]]="Late Start")),MAX(0,Tasks[[#This Row],[Finish Var]])+1-Tasks[[#This Row],[_Row]]/1000000,"")</f>
        <v/>
      </c>
      <c r="GM97" s="42">
        <f>IF(AND(Tasks[[#This Row],[_IsLeaf]]=1,N(Tasks[[#This Row],[Actual Start]])=0,Tasks[[#This Row],[_ShownFcstStart]]&gt;=StatusDate,Tasks[[#This Row],[_ShownFcstStart]]&lt;=LookaheadEnd),Tasks[[#This Row],[_ShownFcstStart]]+Tasks[[#This Row],[_Row]]/100000,"")</f>
        <v/>
      </c>
      <c r="GN97" s="42">
        <f>IF(AND(Tasks[[#This Row],[_IsLeaf]]=1,Tasks[[#This Row],[_LeafProgress]]&lt;1,Tasks[[#This Row],[_ShownFcstFinish]]&gt;=StatusDate,Tasks[[#This Row],[_ShownFcstFinish]]&lt;=LookaheadEnd),Tasks[[#This Row],[_ShownFcstFinish]]+Tasks[[#This Row],[_Row]]/100000,"")</f>
        <v/>
      </c>
      <c r="GO97" s="42">
        <f>IF(Tasks[[#This Row],[_LeafCritical]],Tasks[[#This Row],[_ShownFcstStart]]+Tasks[[#This Row],[_Row]]/100000,"")</f>
        <v/>
      </c>
      <c r="GP97" s="42">
        <f>Tasks[[#This Row],[_LeafWork]]*Tasks[[#This Row],[_LeafProgress]]</f>
        <v/>
      </c>
      <c r="GQ97" s="88">
        <f>IF(AND(Tasks[[#This Row],[_IsLeaf]]=1,Tasks[[#This Row],[_LeafProgress]]&gt;=1),IF(N(Tasks[[#This Row],[Actual Finish]])&gt;0,Tasks[[#This Row],[Actual Finish]],Tasks[[#This Row],[_ShownFcstFinish]]),"")</f>
        <v/>
      </c>
      <c r="GR97" s="42">
        <f>IF(Tasks[[#This Row],[_IsLeaf]]=1,N(Tasks[[#This Row],[Story Points]]),0)</f>
        <v/>
      </c>
      <c r="GS97" s="42">
        <f>""</f>
        <v/>
      </c>
      <c r="GT97" s="42">
        <f>IF(Tasks[[#This Row],[Task Name]]="",FALSE(),AND(Tasks[[#This Row],[_IsLeaf]]=1,N(Tasks[[#This Row],[_Days]])=0))</f>
        <v/>
      </c>
      <c r="GU97" s="88">
        <f>IF(Tasks[[#This Row],[Task Name]]="",0,IF(AND(Tasks[[#This Row],[_IsLeaf]]=1,NOT(Tasks[[#This Row],[_IsMilestone]]),N(Tasks[[#This Row],[Progress]])&gt;0),Tasks[[#This Row],[Start]],0))</f>
        <v/>
      </c>
      <c r="GV97" s="88">
        <f>IF(Tasks[[#This Row],[_DoneFrom]]=0,0,IF(Tasks[[#This Row],[Progress]]&gt;=1,Tasks[[#This Row],[Finish]],MAX(Tasks[[#This Row],[_DoneFrom]],Tasks[[#This Row],[Start]]+ROUND((Tasks[[#This Row],[Finish]]-Tasks[[#This Row],[Start]]+1)*Tasks[[#This Row],[Progress]],0)-1)))</f>
        <v/>
      </c>
      <c r="GW97" s="88">
        <f>IF(Tasks[[#This Row],[Task Name]]="",0,IF(OR(NOT(Tasks[[#This Row],[_IsLeaf]]=1),Tasks[[#This Row],[_IsMilestone]],N(Tasks[[#This Row],[Progress]])&gt;=1),0,IF(Tasks[[#This Row],[_DoneTo]]&gt;0,Tasks[[#This Row],[_DoneTo]]+1,Tasks[[#This Row],[Start]])))</f>
        <v/>
      </c>
      <c r="GX97" s="88">
        <f>IF(Tasks[[#This Row],[_RemFrom]]=0,0,Tasks[[#This Row],[Finish]])</f>
        <v/>
      </c>
      <c r="GY97" s="42">
        <f>IF(Tasks[[#This Row],[Task Name]]="",FALSE(),OR(NOT(BaselineSet),N(Tasks[[#This Row],[Baseline Start]])&gt;0))</f>
        <v/>
      </c>
      <c r="GZ97" s="42">
        <f>IF(AND(Sandbox="Yes",L_PARSE_DURATION(Tasks[[#This Row],[Sandbox Duration]])&lt;&gt;""),L_PARSE_DURATION(Tasks[[#This Row],[Sandbox Duration]]),L_PARSE_DURATION(Tasks[[#This Row],[Duration]]))</f>
        <v/>
      </c>
      <c r="HA9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7" s="42">
        <f>IF(Tasks[[#This Row],[_IsLeaf]]=1,Tasks[[#This Row],[_Row]],"")</f>
        <v/>
      </c>
      <c r="HD97" s="42">
        <f>IFERROR(INDEX(Tasks[UID],SMALL(Tasks[_PickKey],Tasks[[#This Row],[_Row]]))&amp;" "&amp;INDEX(Tasks[Task Name],SMALL(Tasks[_PickKey],Tasks[[#This Row],[_Row]])),"")</f>
        <v/>
      </c>
      <c r="HE97" s="42">
        <f>IF(Tasks[[#This Row],[Task Name]]="","",IF(Tasks[[#This Row],[_IsSummary]],NETWORKDAYS.INTL(Tasks[[#This Row],[Start]],Tasks[[#This Row],[Finish]],WorkWeek,Holidays),N(Tasks[[#This Row],[_Days]])))</f>
        <v/>
      </c>
      <c r="HF97" s="42">
        <f>IF(Tasks[[#This Row],[Expected]]="",0,((Tasks[[#This Row],[Pessimistic]]-Tasks[[#This Row],[Optimistic]])/6)^2)</f>
        <v/>
      </c>
      <c r="HG97" s="42">
        <f>IF(Tasks[[#This Row],[Expected]]="",0,Tasks[[#This Row],[Expected]]-N(Tasks[[#This Row],[_Days]]))</f>
        <v/>
      </c>
    </row>
    <row r="98">
      <c r="A98" s="21">
        <f>IF(Tasks[[#This Row],[Task Name]]="","",COUNTA(Tasks[[#Headers],[Task Name]]:Tasks[[#This Row],[Task Name]])-1)</f>
        <v/>
      </c>
      <c r="B98" s="22" t="n">
        <v>106</v>
      </c>
      <c r="C98" s="22" t="n"/>
      <c r="D98" s="23" t="n"/>
      <c r="E98" s="22" t="n"/>
      <c r="F98" s="23" t="n"/>
      <c r="G98" s="22" t="n"/>
      <c r="H98" s="22" t="n"/>
      <c r="I98" s="23" t="n"/>
      <c r="J98" s="22" t="n"/>
      <c r="K98" s="22" t="n"/>
      <c r="L98" s="23" t="n"/>
      <c r="M98" s="22" t="n"/>
      <c r="N98" s="22" t="n"/>
      <c r="O98" s="23" t="n"/>
      <c r="P98" s="22" t="n"/>
      <c r="Q98" s="22" t="n"/>
      <c r="R98" s="23" t="n"/>
      <c r="S98" s="23" t="n"/>
      <c r="T98" s="82" t="n"/>
      <c r="U98" s="23" t="n"/>
      <c r="V98" s="82" t="n"/>
      <c r="W98" s="23" t="n"/>
      <c r="X98" s="82" t="n"/>
      <c r="Y98" s="23" t="n"/>
      <c r="Z98" s="82" t="n"/>
      <c r="AA98" s="23" t="n"/>
      <c r="AB98" s="23" t="n"/>
      <c r="AC98" s="7" t="n"/>
      <c r="AD98" s="7" t="n"/>
      <c r="AE98" s="61">
        <f>IF(Tasks[[#This Row],[Task Name]]="","",IF(Tasks[[#This Row],[_IsSummary]],MIN(INDEX(Tasks[_ShownFcstStart],Tasks[[#This Row],[_Row]]+1):INDEX(Tasks[_ShownFcstStart],Tasks[[#This Row],[_Row]]+Tasks[[#This Row],[_Descendants]])),Tasks[[#This Row],[_ShownFcstStart]]))</f>
        <v/>
      </c>
      <c r="AF98" s="61">
        <f>IF(Tasks[[#This Row],[Task Name]]="","",IF(Tasks[[#This Row],[_IsSummary]],MAX(INDEX(Tasks[_ShownFcstFinish],Tasks[[#This Row],[_Row]]+1):INDEX(Tasks[_ShownFcstFinish],Tasks[[#This Row],[_Row]]+Tasks[[#This Row],[_Descendants]])),Tasks[[#This Row],[_ShownFcstFinish]]))</f>
        <v/>
      </c>
      <c r="AG98" s="21">
        <f>""</f>
        <v/>
      </c>
      <c r="AH98" s="23" t="n"/>
      <c r="AI9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8" s="7" t="n"/>
      <c r="AK98" s="22" t="n"/>
      <c r="AL98" s="23" t="n"/>
      <c r="AM98" s="7" t="n"/>
      <c r="AN98" s="21">
        <f>IF(Tasks[[#This Row],[Task Name]]="","",IF(Tasks[[#This Row],[Finish]]&gt;=Tasks[[#This Row],[Planned Finish]],NETWORKDAYS.INTL(Tasks[[#This Row],[Planned Finish]],Tasks[[#This Row],[Finish]],WorkWeek,Holidays)-1,1-NETWORKDAYS.INTL(Tasks[[#This Row],[Finish]],Tasks[[#This Row],[Planned Finish]],WorkWeek,Holidays)))</f>
        <v/>
      </c>
      <c r="AO98" s="21">
        <f>IF(Tasks[[#This Row],[Task Name]]="","",IF(Tasks[[#This Row],[Progress]]&gt;=1,"Complete",IF(OR(N(Tasks[[#This Row],[Actual Start]])&gt;0,Tasks[[#This Row],[Progress]]&gt;0),IF(Tasks[[#This Row],[Finish Var]]&gt;0,"Behind","In Progress"),IF(Tasks[[#This Row],[Planned Start]]&lt;StatusDate,"Late Start","Not Started"))))</f>
        <v/>
      </c>
      <c r="AP98" s="21">
        <f>IF(Tasks[[#This Row],[Task Name]]="","",IF(IF(Tasks[[#This Row],[_IsSummary]],COUNTIF(INDEX(Tasks[_LeafCritical],Tasks[[#This Row],[_Row]]+1):INDEX(Tasks[_LeafCritical],Tasks[[#This Row],[_Row]]+Tasks[[#This Row],[_Descendants]]),TRUE())&gt;0,Tasks[[#This Row],[_LeafCritical]]),"Yes",""))</f>
        <v/>
      </c>
      <c r="AQ98" s="61">
        <f>IF(Tasks[[#This Row],[Task Name]]="","",IF(N(Tasks[[#This Row],[Baseline Start]])&gt;0,Tasks[[#This Row],[Baseline Start]],Tasks[[#This Row],[_CalcStart]]))</f>
        <v/>
      </c>
      <c r="AR98" s="61">
        <f>IF(Tasks[[#This Row],[Task Name]]="","",IF(N(Tasks[[#This Row],[Baseline Finish]])&gt;0,Tasks[[#This Row],[Baseline Finish]],Tasks[[#This Row],[_CalcFinish]]))</f>
        <v/>
      </c>
      <c r="AS98" s="21">
        <f>IF(Tasks[[#This Row],[Task Name]]="","",IF(Tasks[[#This Row],[Start]]&gt;=Tasks[[#This Row],[Planned Start]],NETWORKDAYS.INTL(Tasks[[#This Row],[Planned Start]],Tasks[[#This Row],[Start]],WorkWeek,Holidays)-1,1-NETWORKDAYS.INTL(Tasks[[#This Row],[Start]],Tasks[[#This Row],[Planned Start]],WorkWeek,Holidays)))</f>
        <v/>
      </c>
      <c r="AT98" s="61">
        <f>IF(Tasks[[#This Row],[Task Name]]="","",IF(Tasks[[#This Row],[_IsSummary]],MIN(INDEX(Tasks[_LeafLateStart],Tasks[[#This Row],[_Row]]+1):INDEX(Tasks[_LeafLateStart],Tasks[[#This Row],[_Row]]+Tasks[[#This Row],[_Descendants]])),Tasks[[#This Row],[_LeafLateStart]]))</f>
        <v/>
      </c>
      <c r="AU98" s="61">
        <f>IF(Tasks[[#This Row],[Task Name]]="","",IF(Tasks[[#This Row],[_IsSummary]],MAX(INDEX(Tasks[_LeafLateFinish],Tasks[[#This Row],[_Row]]+1):INDEX(Tasks[_LeafLateFinish],Tasks[[#This Row],[_Row]]+Tasks[[#This Row],[_Descendants]])),Tasks[[#This Row],[_LeafLateFinish]]))</f>
        <v/>
      </c>
      <c r="AV98" s="21">
        <f>IF(Tasks[[#This Row],[Task Name]]="","",IF(Tasks[[#This Row],[_IsSummary]],MIN(INDEX(Tasks[_LeafTotalSlack],Tasks[[#This Row],[_Row]]+1):INDEX(Tasks[_LeafTotalSlack],Tasks[[#This Row],[_Row]]+Tasks[[#This Row],[_Descendants]])),Tasks[[#This Row],[_LeafTotalSlack]]))</f>
        <v/>
      </c>
      <c r="AW9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3" t="n"/>
      <c r="BA9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f>IF(Tasks[[#This Row],[Task Name]]="","",IF(Tasks[[#This Row],[_Level]]&lt;=OutlineShowLevel,"Yes","No"))</f>
        <v/>
      </c>
      <c r="BE98" s="84">
        <f>IF(Tasks[[#This Row],[Task Name]]="","",IF(Tasks[[#This Row],[_IsSummary]],SUM(INDEX(Tasks[_LeafTotalWork],Tasks[[#This Row],[_Row]]+1):INDEX(Tasks[_LeafTotalWork],Tasks[[#This Row],[_Row]]+Tasks[[#This Row],[_Descendants]])),Tasks[[#This Row],[_LeafTotalWork]]))</f>
        <v/>
      </c>
      <c r="BF98" s="23" t="n"/>
      <c r="BG9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f>""</f>
        <v/>
      </c>
      <c r="BI98" s="85" t="n"/>
      <c r="BJ98" s="22" t="n"/>
      <c r="BK98" s="21">
        <f>IF(OR(Tasks[[#This Row],[Task Name]]="",Tasks[[#This Row],[Baseline Duration]]=""),"",Tasks[[#This Row],[_SpanDays]]-N(Tasks[[#This Row],[Baseline Duration]]))</f>
        <v/>
      </c>
      <c r="BL98" s="84">
        <f>IF(OR(Tasks[[#This Row],[Task Name]]="",Tasks[[#This Row],[Baseline Work]]=""),"",Tasks[[#This Row],[Work]]-N(Tasks[[#This Row],[Baseline Work]]))</f>
        <v/>
      </c>
      <c r="BM98" s="61">
        <f>IF(Tasks[[#This Row],[Task Name]]="","",IF(OR(TakeBaseline="Yes",N(Tasks[[#This Row],[Baseline Start]])=0),Tasks[[#This Row],[Start]],Tasks[[#This Row],[Baseline Start]]))</f>
        <v/>
      </c>
      <c r="BN98" s="61">
        <f>IF(Tasks[[#This Row],[Task Name]]="","",IF(OR(TakeBaseline="Yes",N(Tasks[[#This Row],[Baseline Finish]])=0),Tasks[[#This Row],[Finish]],Tasks[[#This Row],[Baseline Finish]]))</f>
        <v/>
      </c>
      <c r="BO98" s="21">
        <f>IF(Tasks[[#This Row],[Task Name]]="","",IF(OR(TakeBaseline="Yes",N(Tasks[[#This Row],[Baseline Duration]])=0),Tasks[[#This Row],[_SpanDays]],Tasks[[#This Row],[Baseline Duration]]))</f>
        <v/>
      </c>
      <c r="BP98" s="84">
        <f>IF(Tasks[[#This Row],[Task Name]]="","",IF(OR(TakeBaseline="Yes",N(Tasks[[#This Row],[Baseline Work]])=0),Tasks[[#This Row],[Work]],Tasks[[#This Row],[Baseline Work]]))</f>
        <v/>
      </c>
      <c r="BQ98" s="7" t="n"/>
      <c r="BR98" s="7" t="n"/>
      <c r="BS98" s="22" t="n"/>
      <c r="BT98" s="86" t="n"/>
      <c r="BU98" s="23" t="n"/>
      <c r="BV98" s="23" t="n"/>
      <c r="BW98" s="23" t="n"/>
      <c r="BX98" s="87">
        <f>IF(AND(Tasks[[#This Row],[_IsLeaf]]=1,ISNUMBER(Tasks[[#This Row],[Optimistic]]),ISNUMBER(Tasks[[#This Row],[Pessimistic]])),ROUND((Tasks[[#This Row],[Optimistic]]+4*N(Tasks[[#This Row],[_Days]])+Tasks[[#This Row],[Pessimistic]])/6,1),"")</f>
        <v/>
      </c>
      <c r="BY98" s="85" t="n"/>
      <c r="BZ98" s="85" t="n"/>
      <c r="CA98" s="22" t="n"/>
      <c r="CB98" s="42">
        <f>IF(Tasks[[#This Row],[Task Name]]="","",MAX(1,N(Tasks[[#This Row],[Level]])))</f>
        <v/>
      </c>
      <c r="CC98" s="42">
        <f>ROW()-ROW(Tasks[[#Headers],[ID]])</f>
        <v/>
      </c>
      <c r="CD98" s="42">
        <f>IF(OR(Tasks[[#This Row],[Task Name]]="",Tasks[[#This Row],[_Level]]&lt;=1),0,IFERROR(LOOKUP(2,1/(Tasks[[#Headers],[_Level]]:Tasks[[#This Row],[_Level]]=Tasks[[#This Row],[_Level]]-1),ROW(Tasks[[#Headers],[_Level]]:Tasks[[#This Row],[_Level]])),0))</f>
        <v/>
      </c>
      <c r="CE98" s="42">
        <f>IFERROR(N(INDEX(Tasks[_Level],Tasks[[#This Row],[_Row]]+1)),0)</f>
        <v/>
      </c>
      <c r="CF98" s="42">
        <f>AND(Tasks[[#This Row],[Task Name]]&lt;&gt;"",Tasks[[#This Row],[_NextLevel]]&gt;Tasks[[#This Row],[_Level]])</f>
        <v/>
      </c>
      <c r="CG98" s="42">
        <f>IF(Tasks[[#This Row],[_IsSummary]],COUNTIF(Tasks[WBS],Tasks[[#This Row],[WBS]]&amp;".*"),0)</f>
        <v/>
      </c>
      <c r="CH98" s="42">
        <f>IF(AND(Tasks[[#This Row],[Task Name]]&lt;&gt;"",NOT(Tasks[[#This Row],[_IsSummary]])),1,0)</f>
        <v/>
      </c>
      <c r="CI98" s="42">
        <f>IF(N(Tasks[[#This Row],[_Pred1UID]])=0,0,IFERROR(MATCH(Tasks[[#This Row],[_Pred1UID]],Tasks[UID],0),-1))</f>
        <v/>
      </c>
      <c r="CJ98" s="42">
        <f>IF(N(Tasks[[#This Row],[_Pred2UID]])=0,0,IFERROR(MATCH(Tasks[[#This Row],[_Pred2UID]],Tasks[UID],0),-1))</f>
        <v/>
      </c>
      <c r="CK98" s="42">
        <f>IF(N(Tasks[[#This Row],[_Pred3UID]])=0,0,IFERROR(MATCH(Tasks[[#This Row],[_Pred3UID]],Tasks[UID],0),-1))</f>
        <v/>
      </c>
      <c r="CL98" s="42">
        <f>IF(N(Tasks[[#This Row],[_Pred4UID]])=0,0,IFERROR(MATCH(Tasks[[#This Row],[_Pred4UID]],Tasks[UID],0),-1))</f>
        <v/>
      </c>
      <c r="CM9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8" s="88">
        <f>IF(N(Tasks[[#This Row],[Constraint Date]])=0,0,IF(AND(OR(Tasks[[#This Row],[_ConstraintCode]]=3,Tasks[[#This Row],[_ConstraintCode]]=6,Tasks[[#This Row],[_ConstraintCode]]=7),N(Tasks[[#This Row],[_Days]])&gt;1),WORKDAY.INTL(N(Tasks[[#This Row],[Constraint Date]]),-(N(Tasks[[#This Row],[_Days]])-1),WorkWeek,Holidays),N(Tasks[[#This Row],[Constraint Date]])))</f>
        <v/>
      </c>
      <c r="CO98" s="88">
        <f>IF(OR(Tasks[[#This Row],[_ConstraintCode]]=2,Tasks[[#This Row],[_ConstraintCode]]=3,Tasks[[#This Row],[_ConstraintCode]]=4,Tasks[[#This Row],[_ConstraintCode]]=6),Tasks[[#This Row],[_ConstraintStart]],0)</f>
        <v/>
      </c>
      <c r="CP98" s="88">
        <f>IF(OR(Tasks[[#This Row],[_ConstraintCode]]=2,Tasks[[#This Row],[_ConstraintCode]]=3,Tasks[[#This Row],[_ConstraintCode]]=5,Tasks[[#This Row],[_ConstraintCode]]=7),Tasks[[#This Row],[_ConstraintStart]],2958465)</f>
        <v/>
      </c>
      <c r="CQ9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8" s="88">
        <f>IF(NOT(Tasks[[#This Row],[_IsLeaf]]=1),"",IF(N(Tasks[[#This Row],[_Days]])&lt;=0,Tasks[[#This Row],[_LeafCalcStart]],WORKDAY.INTL(Tasks[[#This Row],[_LeafCalcStart]],Tasks[[#This Row],[_Days]]-1,WorkWeek,Holidays)))</f>
        <v/>
      </c>
      <c r="CS9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8" s="42">
        <f>IF(Tasks[[#This Row],[_Predecessors]]="","",TRIM(MID(SUBSTITUTE(SUBSTITUTE(SUBSTITUTE(UPPER(Tasks[[#This Row],[_Predecessors]]),";",",")," ",""),",",REPT(" ",99)),1,99)))</f>
        <v/>
      </c>
      <c r="CV98" s="42">
        <f>IF(Tasks[[#This Row],[_Pred1Text]]="","",IFERROR(VALUE(LEFT(Tasks[[#This Row],[_Pred1Text]],MIN(FIND("F",Tasks[[#This Row],[_Pred1Text]]&amp;"F"),FIND("S",Tasks[[#This Row],[_Pred1Text]]&amp;"S"),FIND("+",Tasks[[#This Row],[_Pred1Text]]&amp;"+"),FIND("-",Tasks[[#This Row],[_Pred1Text]]&amp;"-"))-1)),""))</f>
        <v/>
      </c>
      <c r="CW9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8" s="42">
        <f>IF(Tasks[[#This Row],[_Pred1Text]]="","",TRIM(MID(SUBSTITUTE(SUBSTITUTE(SUBSTITUTE(UPPER(Tasks[[#This Row],[_Predecessors]]),";",",")," ",""),",",REPT(" ",99)),100,99)))</f>
        <v/>
      </c>
      <c r="CZ98" s="42">
        <f>IF(Tasks[[#This Row],[_Pred2Text]]="","",IFERROR(VALUE(LEFT(Tasks[[#This Row],[_Pred2Text]],MIN(FIND("F",Tasks[[#This Row],[_Pred2Text]]&amp;"F"),FIND("S",Tasks[[#This Row],[_Pred2Text]]&amp;"S"),FIND("+",Tasks[[#This Row],[_Pred2Text]]&amp;"+"),FIND("-",Tasks[[#This Row],[_Pred2Text]]&amp;"-"))-1)),""))</f>
        <v/>
      </c>
      <c r="DA9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8" s="42">
        <f>IF(Tasks[[#This Row],[_Pred2Text]]="","",TRIM(MID(SUBSTITUTE(SUBSTITUTE(SUBSTITUTE(UPPER(Tasks[[#This Row],[_Predecessors]]),";",",")," ",""),",",REPT(" ",99)),199,99)))</f>
        <v/>
      </c>
      <c r="DD98" s="42">
        <f>IF(Tasks[[#This Row],[_Pred3Text]]="","",IFERROR(VALUE(LEFT(Tasks[[#This Row],[_Pred3Text]],MIN(FIND("F",Tasks[[#This Row],[_Pred3Text]]&amp;"F"),FIND("S",Tasks[[#This Row],[_Pred3Text]]&amp;"S"),FIND("+",Tasks[[#This Row],[_Pred3Text]]&amp;"+"),FIND("-",Tasks[[#This Row],[_Pred3Text]]&amp;"-"))-1)),""))</f>
        <v/>
      </c>
      <c r="DE9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8" s="42">
        <f>IF(Tasks[[#This Row],[_Pred3Text]]="","",TRIM(MID(SUBSTITUTE(SUBSTITUTE(SUBSTITUTE(UPPER(Tasks[[#This Row],[_Predecessors]]),";",",")," ",""),",",REPT(" ",99)),298,99)))</f>
        <v/>
      </c>
      <c r="DH98" s="42">
        <f>IF(Tasks[[#This Row],[_Pred4Text]]="","",IFERROR(VALUE(LEFT(Tasks[[#This Row],[_Pred4Text]],MIN(FIND("F",Tasks[[#This Row],[_Pred4Text]]&amp;"F"),FIND("S",Tasks[[#This Row],[_Pred4Text]]&amp;"S"),FIND("+",Tasks[[#This Row],[_Pred4Text]]&amp;"+"),FIND("-",Tasks[[#This Row],[_Pred4Text]]&amp;"-"))-1)),""))</f>
        <v/>
      </c>
      <c r="DI9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8" s="42">
        <f>IF(OR(Tasks[[#This Row],[Task Name]]="",Tasks[[#This Row],[_Resources]]=""),"",TRIM(MID(SUBSTITUTE(Tasks[[#This Row],[_Resources]],",",REPT(" ",99)),1,99)))</f>
        <v/>
      </c>
      <c r="DL98" s="42">
        <f>IF(Tasks[[#This Row],[_Res1Text]]="","",TRIM(MID(SUBSTITUTE(Tasks[[#This Row],[_Resources]],",",REPT(" ",99)),100,99)))</f>
        <v/>
      </c>
      <c r="DM98" s="42">
        <f>IF(Tasks[[#This Row],[_Res2Text]]="","",TRIM(MID(SUBSTITUTE(Tasks[[#This Row],[_Resources]],",",REPT(" ",99)),199,99)))</f>
        <v/>
      </c>
      <c r="DN98" s="42">
        <f>IF(Tasks[[#This Row],[_Res3Text]]="","",TRIM(MID(SUBSTITUTE(Tasks[[#This Row],[_Resources]],",",REPT(" ",99)),298,99)))</f>
        <v/>
      </c>
      <c r="DO98" s="42">
        <f>IF(Tasks[[#This Row],[_Res1Text]]="",0,IFERROR(MATCH(TRIM(LEFT(Tasks[[#This Row],[_Res1Text]],FIND("[",Tasks[[#This Row],[_Res1Text]]&amp;"[")-1)),res_Name,0),IFERROR(MATCH(TRIM(LEFT(Tasks[[#This Row],[_Res1Text]],FIND("[",Tasks[[#This Row],[_Res1Text]]&amp;"[")-1)),res_Initials,0),0)))</f>
        <v/>
      </c>
      <c r="DP98" s="42">
        <f>IF(Tasks[[#This Row],[_Res2Text]]="",0,IFERROR(MATCH(TRIM(LEFT(Tasks[[#This Row],[_Res2Text]],FIND("[",Tasks[[#This Row],[_Res2Text]]&amp;"[")-1)),res_Name,0),IFERROR(MATCH(TRIM(LEFT(Tasks[[#This Row],[_Res2Text]],FIND("[",Tasks[[#This Row],[_Res2Text]]&amp;"[")-1)),res_Initials,0),0)))</f>
        <v/>
      </c>
      <c r="DQ98" s="42">
        <f>IF(Tasks[[#This Row],[_Res3Text]]="",0,IFERROR(MATCH(TRIM(LEFT(Tasks[[#This Row],[_Res3Text]],FIND("[",Tasks[[#This Row],[_Res3Text]]&amp;"[")-1)),res_Name,0),IFERROR(MATCH(TRIM(LEFT(Tasks[[#This Row],[_Res3Text]],FIND("[",Tasks[[#This Row],[_Res3Text]]&amp;"[")-1)),res_Initials,0),0)))</f>
        <v/>
      </c>
      <c r="DR98" s="42">
        <f>IF(Tasks[[#This Row],[_Res4Text]]="",0,IFERROR(MATCH(TRIM(LEFT(Tasks[[#This Row],[_Res4Text]],FIND("[",Tasks[[#This Row],[_Res4Text]]&amp;"[")-1)),res_Name,0),IFERROR(MATCH(TRIM(LEFT(Tasks[[#This Row],[_Res4Text]],FIND("[",Tasks[[#This Row],[_Res4Text]]&amp;"[")-1)),res_Initials,0),0)))</f>
        <v/>
      </c>
      <c r="DS98" s="42">
        <f>IF(Tasks[[#This Row],[_Res1Text]]="","",IF(Tasks[[#This Row],[_Res1Row]]&gt;0,INDEX(res_Name,Tasks[[#This Row],[_Res1Row]]),TRIM(LEFT(Tasks[[#This Row],[_Res1Text]],FIND("[",Tasks[[#This Row],[_Res1Text]]&amp;"[")-1))))</f>
        <v/>
      </c>
      <c r="DT9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8" s="42">
        <f>IF(NOT(Tasks[[#This Row],[_IsLeaf]]=1),0,(Tasks[[#This Row],[_Resource1]]&lt;&gt;"")+(Tasks[[#This Row],[_Res2]]&lt;&gt;"")+(Tasks[[#This Row],[_Res3]]&lt;&gt;"")+(Tasks[[#This Row],[_Res4]]&lt;&gt;""))</f>
        <v/>
      </c>
      <c r="DV98" s="42">
        <f>IF(Tasks[[#This Row],[_Res2Text]]="","",IF(Tasks[[#This Row],[_Res2Row]]&gt;0,INDEX(res_Name,Tasks[[#This Row],[_Res2Row]]),TRIM(LEFT(Tasks[[#This Row],[_Res2Text]],FIND("[",Tasks[[#This Row],[_Res2Text]]&amp;"[")-1))))</f>
        <v/>
      </c>
      <c r="DW9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8" s="42">
        <f>IF(OR(NOT(Tasks[[#This Row],[_IsLeaf]]=1),Tasks[[#This Row],[_Res2Row]]=0),0,N(Tasks[[#This Row],[_Days]])*HoursPerDay*IF(Tasks[[#This Row],[_Res2Units]]="",DefaultUnits,Tasks[[#This Row],[_Res2Units]]))</f>
        <v/>
      </c>
      <c r="DY98" s="42">
        <f>IF(AND(AND(Tasks[[#This Row],[_IsLeaf]]=1,Tasks[[#This Row],[_LeafTotalWork]]&gt;0),Tasks[[#This Row],[_Res2Work]]&gt;0),Tasks[[#This Row],[_Res2Work]]/(Tasks[[#This Row],[_FinishWorkday]]-Tasks[[#This Row],[_StartWorkday]]+1),0)</f>
        <v/>
      </c>
      <c r="DZ98" s="42">
        <f>Tasks[[#This Row],[_Res2WorkPerWD]]*MAX(0,Tasks[[#This Row],[_StartWorkday]]-1)</f>
        <v/>
      </c>
      <c r="EA98" s="42">
        <f>Tasks[[#This Row],[_Res2Work]]*Tasks[[#This Row],[_LeafProgress]]</f>
        <v/>
      </c>
      <c r="EB98" s="42">
        <f>IF(Tasks[[#This Row],[_Res3Text]]="","",IF(Tasks[[#This Row],[_Res3Row]]&gt;0,INDEX(res_Name,Tasks[[#This Row],[_Res3Row]]),TRIM(LEFT(Tasks[[#This Row],[_Res3Text]],FIND("[",Tasks[[#This Row],[_Res3Text]]&amp;"[")-1))))</f>
        <v/>
      </c>
      <c r="EC9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8" s="42">
        <f>IF(OR(NOT(Tasks[[#This Row],[_IsLeaf]]=1),Tasks[[#This Row],[_Res3Row]]=0),0,N(Tasks[[#This Row],[_Days]])*HoursPerDay*IF(Tasks[[#This Row],[_Res3Units]]="",DefaultUnits,Tasks[[#This Row],[_Res3Units]]))</f>
        <v/>
      </c>
      <c r="EE98" s="42">
        <f>IF(AND(AND(Tasks[[#This Row],[_IsLeaf]]=1,Tasks[[#This Row],[_LeafTotalWork]]&gt;0),Tasks[[#This Row],[_Res3Work]]&gt;0),Tasks[[#This Row],[_Res3Work]]/(Tasks[[#This Row],[_FinishWorkday]]-Tasks[[#This Row],[_StartWorkday]]+1),0)</f>
        <v/>
      </c>
      <c r="EF98" s="42">
        <f>Tasks[[#This Row],[_Res3WorkPerWD]]*MAX(0,Tasks[[#This Row],[_StartWorkday]]-1)</f>
        <v/>
      </c>
      <c r="EG98" s="42">
        <f>Tasks[[#This Row],[_Res3Work]]*Tasks[[#This Row],[_LeafProgress]]</f>
        <v/>
      </c>
      <c r="EH98" s="42">
        <f>IF(Tasks[[#This Row],[_Res4Text]]="","",IF(Tasks[[#This Row],[_Res4Row]]&gt;0,INDEX(res_Name,Tasks[[#This Row],[_Res4Row]]),TRIM(LEFT(Tasks[[#This Row],[_Res4Text]],FIND("[",Tasks[[#This Row],[_Res4Text]]&amp;"[")-1))))</f>
        <v/>
      </c>
      <c r="EI9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8" s="42">
        <f>IF(OR(NOT(Tasks[[#This Row],[_IsLeaf]]=1),Tasks[[#This Row],[_Res4Row]]=0),0,N(Tasks[[#This Row],[_Days]])*HoursPerDay*IF(Tasks[[#This Row],[_Res4Units]]="",DefaultUnits,Tasks[[#This Row],[_Res4Units]]))</f>
        <v/>
      </c>
      <c r="EK98" s="42">
        <f>IF(AND(AND(Tasks[[#This Row],[_IsLeaf]]=1,Tasks[[#This Row],[_LeafTotalWork]]&gt;0),Tasks[[#This Row],[_Res4Work]]&gt;0),Tasks[[#This Row],[_Res4Work]]/(Tasks[[#This Row],[_FinishWorkday]]-Tasks[[#This Row],[_StartWorkday]]+1),0)</f>
        <v/>
      </c>
      <c r="EL98" s="42">
        <f>Tasks[[#This Row],[_Res4WorkPerWD]]*MAX(0,Tasks[[#This Row],[_StartWorkday]]-1)</f>
        <v/>
      </c>
      <c r="EM98" s="42">
        <f>Tasks[[#This Row],[_Res4Work]]*Tasks[[#This Row],[_LeafProgress]]</f>
        <v/>
      </c>
      <c r="EN98" s="42">
        <f>IF(ISNUMBER(Tasks[[#This Row],[% Complete]]),Tasks[[#This Row],[% Complete]],IF(Tasks[[#This Row],[Stage]]="",0,IFERROR(INDEX(stg_Pct,MATCH(Tasks[[#This Row],[Stage]],stg_Name,0)),0)))</f>
        <v/>
      </c>
      <c r="EO98" s="42">
        <f>IF(NOT(Tasks[[#This Row],[_IsLeaf]]=1),0,IF(N(Tasks[[#This Row],[Actual Finish]])&gt;0,1,MIN(1,Tasks[[#This Row],[_Pct]])))</f>
        <v/>
      </c>
      <c r="EP98" s="42">
        <f>IF(OR(NOT(Tasks[[#This Row],[_IsLeaf]]=1),Tasks[[#This Row],[_Res1Row]]=0),0,N(Tasks[[#This Row],[_Days]])*HoursPerDay*IF(Tasks[[#This Row],[_Units1]]="",DefaultUnits,Tasks[[#This Row],[_Units1]]))</f>
        <v/>
      </c>
      <c r="EQ98" s="42">
        <f>Tasks[[#This Row],[_LeafWork]]+Tasks[[#This Row],[_Res2Work]]+Tasks[[#This Row],[_Res3Work]]+Tasks[[#This Row],[_Res4Work]]</f>
        <v/>
      </c>
      <c r="ER9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8" s="42">
        <f>IF(NOT(Tasks[[#This Row],[_IsLeaf]]=1),0,MAX(_xlfn.MAXIFS(Tasks[_Row],Tasks[_Pred1UID],Tasks[[#This Row],[UID]]),_xlfn.MAXIFS(Tasks[_Row],Tasks[_Pred2UID],Tasks[[#This Row],[UID]]),_xlfn.MAXIFS(Tasks[_Row],Tasks[_Pred3UID],Tasks[[#This Row],[UID]]),_xlfn.MAXIFS(Tasks[_Row],Tasks[_Pred4UID],Tasks[[#This Row],[UID]])))</f>
        <v/>
      </c>
      <c r="FA9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8" s="88">
        <f>IF(NOT(Tasks[[#This Row],[_IsLeaf]]=1),"",IF(N(Tasks[[#This Row],[_Days]])&lt;=0,Tasks[[#This Row],[_LeafLateFinish]],WORKDAY.INTL(Tasks[[#This Row],[_LeafLateFinish]],-(Tasks[[#This Row],[_Days]]-1),WorkWeek,Holidays)))</f>
        <v/>
      </c>
      <c r="FD9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8" s="42">
        <f>AND(Tasks[[#This Row],[_IsLeaf]]=1,Tasks[[#This Row],[_LeafProgress]]&lt;1,N(Tasks[[#This Row],[_LeafTotalSlack]])&lt;=CriticalSlackDays)</f>
        <v/>
      </c>
      <c r="FF98" s="42">
        <f>IF(AND(Tasks[[#This Row],[_IsLeaf]]=1,Tasks[[#This Row],[_ConstraintCode]]=1,Tasks[[#This Row],[Mode]]&lt;&gt;"Manual",N(Tasks[[#This Row],[Actual Start]])=0),MAX(0,N(Tasks[[#This Row],[Free Slack]])),0)</f>
        <v/>
      </c>
      <c r="FG98" s="88">
        <f>IF(NOT(Tasks[[#This Row],[_IsLeaf]]=1),"",IF(Tasks[[#This Row],[_AlapShift]]=0,Tasks[[#This Row],[_LeafCalcStart]],WORKDAY.INTL(Tasks[[#This Row],[_LeafCalcStart]],Tasks[[#This Row],[_AlapShift]],WorkWeek,Holidays)))</f>
        <v/>
      </c>
      <c r="FH98" s="88">
        <f>IF(NOT(Tasks[[#This Row],[_IsLeaf]]=1),"",IF(Tasks[[#This Row],[_AlapShift]]=0,Tasks[[#This Row],[_LeafCalcFinish]],WORKDAY.INTL(Tasks[[#This Row],[_LeafCalcFinish]],Tasks[[#This Row],[_AlapShift]],WorkWeek,Holidays)))</f>
        <v/>
      </c>
      <c r="FI98" s="88">
        <f>IF(NOT(Tasks[[#This Row],[_IsLeaf]]=1),"",IF(Tasks[[#This Row],[_AlapShift]]=0,Tasks[[#This Row],[_LeafFcstStart]],WORKDAY.INTL(Tasks[[#This Row],[_LeafFcstStart]],Tasks[[#This Row],[_AlapShift]],WorkWeek,Holidays)))</f>
        <v/>
      </c>
      <c r="FJ98" s="88">
        <f>IF(NOT(Tasks[[#This Row],[_IsLeaf]]=1),"",IF(Tasks[[#This Row],[_AlapShift]]=0,Tasks[[#This Row],[_LeafFcstFinish]],WORKDAY.INTL(Tasks[[#This Row],[_LeafFcstFinish]],Tasks[[#This Row],[_AlapShift]],WorkWeek,Holidays)))</f>
        <v/>
      </c>
      <c r="FK98" s="88">
        <f>IF(Tasks[[#This Row],[Task Name]]="","",IF(Tasks[[#This Row],[_IsSummary]],MIN(INDEX(Tasks[_ShownCalcStart],Tasks[[#This Row],[_Row]]+1):INDEX(Tasks[_ShownCalcStart],Tasks[[#This Row],[_Row]]+Tasks[[#This Row],[_Descendants]])),Tasks[[#This Row],[_ShownCalcStart]]))</f>
        <v/>
      </c>
      <c r="FL98" s="88">
        <f>IF(Tasks[[#This Row],[Task Name]]="","",IF(Tasks[[#This Row],[_IsSummary]],MAX(INDEX(Tasks[_ShownCalcFinish],Tasks[[#This Row],[_Row]]+1):INDEX(Tasks[_ShownCalcFinish],Tasks[[#This Row],[_Row]]+Tasks[[#This Row],[_Descendants]])),Tasks[[#This Row],[_ShownCalcFinish]]))</f>
        <v/>
      </c>
      <c r="FM9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8" s="42">
        <f>IF(AND(Tasks[[#This Row],[_IsLeaf]]=1,Tasks[[#This Row],[_LeafTotalWork]]&gt;0),NETWORKDAYS.INTL(ProjectStart,Tasks[[#This Row],[_ShownFcstStart]],WorkWeek,Holidays),0)</f>
        <v/>
      </c>
      <c r="FZ98" s="42">
        <f>IF(AND(Tasks[[#This Row],[_IsLeaf]]=1,Tasks[[#This Row],[_LeafTotalWork]]&gt;0),MAX(Tasks[[#This Row],[_StartWorkday]],NETWORKDAYS.INTL(ProjectStart,Tasks[[#This Row],[_ShownFcstFinish]],WorkWeek,Holidays)),0)</f>
        <v/>
      </c>
      <c r="GA98" s="42">
        <f>IF(AND(Tasks[[#This Row],[_IsLeaf]]=1,Tasks[[#This Row],[_LeafTotalWork]]&gt;0),Tasks[[#This Row],[_LeafWork]]/(Tasks[[#This Row],[_FinishWorkday]]-Tasks[[#This Row],[_StartWorkday]]+1),0)</f>
        <v/>
      </c>
      <c r="GB98" s="42">
        <f>Tasks[[#This Row],[_WorkPerWorkday]]*(Tasks[[#This Row],[_StartWorkday]]-1)</f>
        <v/>
      </c>
      <c r="GC98" s="42">
        <f>IF(Tasks[[#This Row],[_IsLeaf]]=1,MAX(N(Tasks[[#This Row],[_Days]]),0.1),0)</f>
        <v/>
      </c>
      <c r="GD98" s="42">
        <f>Tasks[[#This Row],[_WeightDur]]*Tasks[[#This Row],[_LeafProgress]]</f>
        <v/>
      </c>
      <c r="GE98" s="42">
        <f>Tasks[[#This Row],[_WeightDur]]*Tasks[[#This Row],[_PlannedPct]]</f>
        <v/>
      </c>
      <c r="GF9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8" s="42">
        <f>IF(AND(Tasks[[#This Row],[_IsLeaf]]=1,N(Tasks[[#This Row],[_Days]])=0,Tasks[[#This Row],[_LeafProgress]]&lt;1),Tasks[[#This Row],[_ShownFcstFinish]]+Tasks[[#This Row],[_Row]]/100000,"")</f>
        <v/>
      </c>
      <c r="GH9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8" s="42">
        <f>IF(Tasks[[#This Row],[Task Name]]="","",LEFT(Tasks[[#This Row],[WBS]],FIND(".",Tasks[[#This Row],[WBS]]&amp;".")-1))</f>
        <v/>
      </c>
      <c r="GJ98" s="42">
        <f>IF(AND(Tasks[[#This Row],[Task Name]]&lt;&gt;"",Tasks[[#This Row],[_Level]]=1),Tasks[[#This Row],[_Row]],"")</f>
        <v/>
      </c>
      <c r="GK98" s="42">
        <f>IF(AND(Tasks[[#This Row],[_IsLeaf]]=1,N(Tasks[[#This Row],[_Days]])=0),Tasks[[#This Row],[Planned Finish]]+Tasks[[#This Row],[_Row]]/100000,"")</f>
        <v/>
      </c>
      <c r="GL98" s="42">
        <f>IF(AND(Tasks[[#This Row],[_IsLeaf]]=1,Tasks[[#This Row],[_LeafProgress]]&lt;1,OR(N(Tasks[[#This Row],[Finish Var]])&gt;0,Tasks[[#This Row],[Status]]="Late Start")),MAX(0,Tasks[[#This Row],[Finish Var]])+1-Tasks[[#This Row],[_Row]]/1000000,"")</f>
        <v/>
      </c>
      <c r="GM98" s="42">
        <f>IF(AND(Tasks[[#This Row],[_IsLeaf]]=1,N(Tasks[[#This Row],[Actual Start]])=0,Tasks[[#This Row],[_ShownFcstStart]]&gt;=StatusDate,Tasks[[#This Row],[_ShownFcstStart]]&lt;=LookaheadEnd),Tasks[[#This Row],[_ShownFcstStart]]+Tasks[[#This Row],[_Row]]/100000,"")</f>
        <v/>
      </c>
      <c r="GN98" s="42">
        <f>IF(AND(Tasks[[#This Row],[_IsLeaf]]=1,Tasks[[#This Row],[_LeafProgress]]&lt;1,Tasks[[#This Row],[_ShownFcstFinish]]&gt;=StatusDate,Tasks[[#This Row],[_ShownFcstFinish]]&lt;=LookaheadEnd),Tasks[[#This Row],[_ShownFcstFinish]]+Tasks[[#This Row],[_Row]]/100000,"")</f>
        <v/>
      </c>
      <c r="GO98" s="42">
        <f>IF(Tasks[[#This Row],[_LeafCritical]],Tasks[[#This Row],[_ShownFcstStart]]+Tasks[[#This Row],[_Row]]/100000,"")</f>
        <v/>
      </c>
      <c r="GP98" s="42">
        <f>Tasks[[#This Row],[_LeafWork]]*Tasks[[#This Row],[_LeafProgress]]</f>
        <v/>
      </c>
      <c r="GQ98" s="88">
        <f>IF(AND(Tasks[[#This Row],[_IsLeaf]]=1,Tasks[[#This Row],[_LeafProgress]]&gt;=1),IF(N(Tasks[[#This Row],[Actual Finish]])&gt;0,Tasks[[#This Row],[Actual Finish]],Tasks[[#This Row],[_ShownFcstFinish]]),"")</f>
        <v/>
      </c>
      <c r="GR98" s="42">
        <f>IF(Tasks[[#This Row],[_IsLeaf]]=1,N(Tasks[[#This Row],[Story Points]]),0)</f>
        <v/>
      </c>
      <c r="GS98" s="42">
        <f>""</f>
        <v/>
      </c>
      <c r="GT98" s="42">
        <f>IF(Tasks[[#This Row],[Task Name]]="",FALSE(),AND(Tasks[[#This Row],[_IsLeaf]]=1,N(Tasks[[#This Row],[_Days]])=0))</f>
        <v/>
      </c>
      <c r="GU98" s="88">
        <f>IF(Tasks[[#This Row],[Task Name]]="",0,IF(AND(Tasks[[#This Row],[_IsLeaf]]=1,NOT(Tasks[[#This Row],[_IsMilestone]]),N(Tasks[[#This Row],[Progress]])&gt;0),Tasks[[#This Row],[Start]],0))</f>
        <v/>
      </c>
      <c r="GV98" s="88">
        <f>IF(Tasks[[#This Row],[_DoneFrom]]=0,0,IF(Tasks[[#This Row],[Progress]]&gt;=1,Tasks[[#This Row],[Finish]],MAX(Tasks[[#This Row],[_DoneFrom]],Tasks[[#This Row],[Start]]+ROUND((Tasks[[#This Row],[Finish]]-Tasks[[#This Row],[Start]]+1)*Tasks[[#This Row],[Progress]],0)-1)))</f>
        <v/>
      </c>
      <c r="GW98" s="88">
        <f>IF(Tasks[[#This Row],[Task Name]]="",0,IF(OR(NOT(Tasks[[#This Row],[_IsLeaf]]=1),Tasks[[#This Row],[_IsMilestone]],N(Tasks[[#This Row],[Progress]])&gt;=1),0,IF(Tasks[[#This Row],[_DoneTo]]&gt;0,Tasks[[#This Row],[_DoneTo]]+1,Tasks[[#This Row],[Start]])))</f>
        <v/>
      </c>
      <c r="GX98" s="88">
        <f>IF(Tasks[[#This Row],[_RemFrom]]=0,0,Tasks[[#This Row],[Finish]])</f>
        <v/>
      </c>
      <c r="GY98" s="42">
        <f>IF(Tasks[[#This Row],[Task Name]]="",FALSE(),OR(NOT(BaselineSet),N(Tasks[[#This Row],[Baseline Start]])&gt;0))</f>
        <v/>
      </c>
      <c r="GZ98" s="42">
        <f>IF(AND(Sandbox="Yes",L_PARSE_DURATION(Tasks[[#This Row],[Sandbox Duration]])&lt;&gt;""),L_PARSE_DURATION(Tasks[[#This Row],[Sandbox Duration]]),L_PARSE_DURATION(Tasks[[#This Row],[Duration]]))</f>
        <v/>
      </c>
      <c r="HA9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8" s="42">
        <f>IF(Tasks[[#This Row],[_IsLeaf]]=1,Tasks[[#This Row],[_Row]],"")</f>
        <v/>
      </c>
      <c r="HD98" s="42">
        <f>IFERROR(INDEX(Tasks[UID],SMALL(Tasks[_PickKey],Tasks[[#This Row],[_Row]]))&amp;" "&amp;INDEX(Tasks[Task Name],SMALL(Tasks[_PickKey],Tasks[[#This Row],[_Row]])),"")</f>
        <v/>
      </c>
      <c r="HE98" s="42">
        <f>IF(Tasks[[#This Row],[Task Name]]="","",IF(Tasks[[#This Row],[_IsSummary]],NETWORKDAYS.INTL(Tasks[[#This Row],[Start]],Tasks[[#This Row],[Finish]],WorkWeek,Holidays),N(Tasks[[#This Row],[_Days]])))</f>
        <v/>
      </c>
      <c r="HF98" s="42">
        <f>IF(Tasks[[#This Row],[Expected]]="",0,((Tasks[[#This Row],[Pessimistic]]-Tasks[[#This Row],[Optimistic]])/6)^2)</f>
        <v/>
      </c>
      <c r="HG98" s="42">
        <f>IF(Tasks[[#This Row],[Expected]]="",0,Tasks[[#This Row],[Expected]]-N(Tasks[[#This Row],[_Days]]))</f>
        <v/>
      </c>
    </row>
    <row r="99">
      <c r="A99" s="21">
        <f>IF(Tasks[[#This Row],[Task Name]]="","",COUNTA(Tasks[[#Headers],[Task Name]]:Tasks[[#This Row],[Task Name]])-1)</f>
        <v/>
      </c>
      <c r="B99" s="22" t="n">
        <v>107</v>
      </c>
      <c r="C99" s="22" t="n"/>
      <c r="D99" s="23" t="n"/>
      <c r="E99" s="22" t="n"/>
      <c r="F99" s="23" t="n"/>
      <c r="G99" s="22" t="n"/>
      <c r="H99" s="22" t="n"/>
      <c r="I99" s="23" t="n"/>
      <c r="J99" s="22" t="n"/>
      <c r="K99" s="22" t="n"/>
      <c r="L99" s="23" t="n"/>
      <c r="M99" s="22" t="n"/>
      <c r="N99" s="22" t="n"/>
      <c r="O99" s="23" t="n"/>
      <c r="P99" s="22" t="n"/>
      <c r="Q99" s="22" t="n"/>
      <c r="R99" s="23" t="n"/>
      <c r="S99" s="23" t="n"/>
      <c r="T99" s="82" t="n"/>
      <c r="U99" s="23" t="n"/>
      <c r="V99" s="82" t="n"/>
      <c r="W99" s="23" t="n"/>
      <c r="X99" s="82" t="n"/>
      <c r="Y99" s="23" t="n"/>
      <c r="Z99" s="82" t="n"/>
      <c r="AA99" s="23" t="n"/>
      <c r="AB99" s="23" t="n"/>
      <c r="AC99" s="7" t="n"/>
      <c r="AD99" s="7" t="n"/>
      <c r="AE99" s="61">
        <f>IF(Tasks[[#This Row],[Task Name]]="","",IF(Tasks[[#This Row],[_IsSummary]],MIN(INDEX(Tasks[_ShownFcstStart],Tasks[[#This Row],[_Row]]+1):INDEX(Tasks[_ShownFcstStart],Tasks[[#This Row],[_Row]]+Tasks[[#This Row],[_Descendants]])),Tasks[[#This Row],[_ShownFcstStart]]))</f>
        <v/>
      </c>
      <c r="AF99" s="61">
        <f>IF(Tasks[[#This Row],[Task Name]]="","",IF(Tasks[[#This Row],[_IsSummary]],MAX(INDEX(Tasks[_ShownFcstFinish],Tasks[[#This Row],[_Row]]+1):INDEX(Tasks[_ShownFcstFinish],Tasks[[#This Row],[_Row]]+Tasks[[#This Row],[_Descendants]])),Tasks[[#This Row],[_ShownFcstFinish]]))</f>
        <v/>
      </c>
      <c r="AG99" s="21">
        <f>""</f>
        <v/>
      </c>
      <c r="AH99" s="23" t="n"/>
      <c r="AI9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99" s="7" t="n"/>
      <c r="AK99" s="22" t="n"/>
      <c r="AL99" s="23" t="n"/>
      <c r="AM99" s="7" t="n"/>
      <c r="AN99" s="21">
        <f>IF(Tasks[[#This Row],[Task Name]]="","",IF(Tasks[[#This Row],[Finish]]&gt;=Tasks[[#This Row],[Planned Finish]],NETWORKDAYS.INTL(Tasks[[#This Row],[Planned Finish]],Tasks[[#This Row],[Finish]],WorkWeek,Holidays)-1,1-NETWORKDAYS.INTL(Tasks[[#This Row],[Finish]],Tasks[[#This Row],[Planned Finish]],WorkWeek,Holidays)))</f>
        <v/>
      </c>
      <c r="AO99" s="21">
        <f>IF(Tasks[[#This Row],[Task Name]]="","",IF(Tasks[[#This Row],[Progress]]&gt;=1,"Complete",IF(OR(N(Tasks[[#This Row],[Actual Start]])&gt;0,Tasks[[#This Row],[Progress]]&gt;0),IF(Tasks[[#This Row],[Finish Var]]&gt;0,"Behind","In Progress"),IF(Tasks[[#This Row],[Planned Start]]&lt;StatusDate,"Late Start","Not Started"))))</f>
        <v/>
      </c>
      <c r="AP99" s="21">
        <f>IF(Tasks[[#This Row],[Task Name]]="","",IF(IF(Tasks[[#This Row],[_IsSummary]],COUNTIF(INDEX(Tasks[_LeafCritical],Tasks[[#This Row],[_Row]]+1):INDEX(Tasks[_LeafCritical],Tasks[[#This Row],[_Row]]+Tasks[[#This Row],[_Descendants]]),TRUE())&gt;0,Tasks[[#This Row],[_LeafCritical]]),"Yes",""))</f>
        <v/>
      </c>
      <c r="AQ99" s="61">
        <f>IF(Tasks[[#This Row],[Task Name]]="","",IF(N(Tasks[[#This Row],[Baseline Start]])&gt;0,Tasks[[#This Row],[Baseline Start]],Tasks[[#This Row],[_CalcStart]]))</f>
        <v/>
      </c>
      <c r="AR99" s="61">
        <f>IF(Tasks[[#This Row],[Task Name]]="","",IF(N(Tasks[[#This Row],[Baseline Finish]])&gt;0,Tasks[[#This Row],[Baseline Finish]],Tasks[[#This Row],[_CalcFinish]]))</f>
        <v/>
      </c>
      <c r="AS99" s="21">
        <f>IF(Tasks[[#This Row],[Task Name]]="","",IF(Tasks[[#This Row],[Start]]&gt;=Tasks[[#This Row],[Planned Start]],NETWORKDAYS.INTL(Tasks[[#This Row],[Planned Start]],Tasks[[#This Row],[Start]],WorkWeek,Holidays)-1,1-NETWORKDAYS.INTL(Tasks[[#This Row],[Start]],Tasks[[#This Row],[Planned Start]],WorkWeek,Holidays)))</f>
        <v/>
      </c>
      <c r="AT99" s="61">
        <f>IF(Tasks[[#This Row],[Task Name]]="","",IF(Tasks[[#This Row],[_IsSummary]],MIN(INDEX(Tasks[_LeafLateStart],Tasks[[#This Row],[_Row]]+1):INDEX(Tasks[_LeafLateStart],Tasks[[#This Row],[_Row]]+Tasks[[#This Row],[_Descendants]])),Tasks[[#This Row],[_LeafLateStart]]))</f>
        <v/>
      </c>
      <c r="AU99" s="61">
        <f>IF(Tasks[[#This Row],[Task Name]]="","",IF(Tasks[[#This Row],[_IsSummary]],MAX(INDEX(Tasks[_LeafLateFinish],Tasks[[#This Row],[_Row]]+1):INDEX(Tasks[_LeafLateFinish],Tasks[[#This Row],[_Row]]+Tasks[[#This Row],[_Descendants]])),Tasks[[#This Row],[_LeafLateFinish]]))</f>
        <v/>
      </c>
      <c r="AV99" s="21">
        <f>IF(Tasks[[#This Row],[Task Name]]="","",IF(Tasks[[#This Row],[_IsSummary]],MIN(INDEX(Tasks[_LeafTotalSlack],Tasks[[#This Row],[_Row]]+1):INDEX(Tasks[_LeafTotalSlack],Tasks[[#This Row],[_Row]]+Tasks[[#This Row],[_Descendants]])),Tasks[[#This Row],[_LeafTotalSlack]]))</f>
        <v/>
      </c>
      <c r="AW9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3" t="n"/>
      <c r="BA9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f>IF(Tasks[[#This Row],[Task Name]]="","",IF(Tasks[[#This Row],[_Level]]&lt;=OutlineShowLevel,"Yes","No"))</f>
        <v/>
      </c>
      <c r="BE99" s="84">
        <f>IF(Tasks[[#This Row],[Task Name]]="","",IF(Tasks[[#This Row],[_IsSummary]],SUM(INDEX(Tasks[_LeafTotalWork],Tasks[[#This Row],[_Row]]+1):INDEX(Tasks[_LeafTotalWork],Tasks[[#This Row],[_Row]]+Tasks[[#This Row],[_Descendants]])),Tasks[[#This Row],[_LeafTotalWork]]))</f>
        <v/>
      </c>
      <c r="BF99" s="23" t="n"/>
      <c r="BG9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f>""</f>
        <v/>
      </c>
      <c r="BI99" s="85" t="n"/>
      <c r="BJ99" s="22" t="n"/>
      <c r="BK99" s="21">
        <f>IF(OR(Tasks[[#This Row],[Task Name]]="",Tasks[[#This Row],[Baseline Duration]]=""),"",Tasks[[#This Row],[_SpanDays]]-N(Tasks[[#This Row],[Baseline Duration]]))</f>
        <v/>
      </c>
      <c r="BL99" s="84">
        <f>IF(OR(Tasks[[#This Row],[Task Name]]="",Tasks[[#This Row],[Baseline Work]]=""),"",Tasks[[#This Row],[Work]]-N(Tasks[[#This Row],[Baseline Work]]))</f>
        <v/>
      </c>
      <c r="BM99" s="61">
        <f>IF(Tasks[[#This Row],[Task Name]]="","",IF(OR(TakeBaseline="Yes",N(Tasks[[#This Row],[Baseline Start]])=0),Tasks[[#This Row],[Start]],Tasks[[#This Row],[Baseline Start]]))</f>
        <v/>
      </c>
      <c r="BN99" s="61">
        <f>IF(Tasks[[#This Row],[Task Name]]="","",IF(OR(TakeBaseline="Yes",N(Tasks[[#This Row],[Baseline Finish]])=0),Tasks[[#This Row],[Finish]],Tasks[[#This Row],[Baseline Finish]]))</f>
        <v/>
      </c>
      <c r="BO99" s="21">
        <f>IF(Tasks[[#This Row],[Task Name]]="","",IF(OR(TakeBaseline="Yes",N(Tasks[[#This Row],[Baseline Duration]])=0),Tasks[[#This Row],[_SpanDays]],Tasks[[#This Row],[Baseline Duration]]))</f>
        <v/>
      </c>
      <c r="BP99" s="84">
        <f>IF(Tasks[[#This Row],[Task Name]]="","",IF(OR(TakeBaseline="Yes",N(Tasks[[#This Row],[Baseline Work]])=0),Tasks[[#This Row],[Work]],Tasks[[#This Row],[Baseline Work]]))</f>
        <v/>
      </c>
      <c r="BQ99" s="7" t="n"/>
      <c r="BR99" s="7" t="n"/>
      <c r="BS99" s="22" t="n"/>
      <c r="BT99" s="86" t="n"/>
      <c r="BU99" s="23" t="n"/>
      <c r="BV99" s="23" t="n"/>
      <c r="BW99" s="23" t="n"/>
      <c r="BX99" s="87">
        <f>IF(AND(Tasks[[#This Row],[_IsLeaf]]=1,ISNUMBER(Tasks[[#This Row],[Optimistic]]),ISNUMBER(Tasks[[#This Row],[Pessimistic]])),ROUND((Tasks[[#This Row],[Optimistic]]+4*N(Tasks[[#This Row],[_Days]])+Tasks[[#This Row],[Pessimistic]])/6,1),"")</f>
        <v/>
      </c>
      <c r="BY99" s="85" t="n"/>
      <c r="BZ99" s="85" t="n"/>
      <c r="CA99" s="22" t="n"/>
      <c r="CB99" s="42">
        <f>IF(Tasks[[#This Row],[Task Name]]="","",MAX(1,N(Tasks[[#This Row],[Level]])))</f>
        <v/>
      </c>
      <c r="CC99" s="42">
        <f>ROW()-ROW(Tasks[[#Headers],[ID]])</f>
        <v/>
      </c>
      <c r="CD99" s="42">
        <f>IF(OR(Tasks[[#This Row],[Task Name]]="",Tasks[[#This Row],[_Level]]&lt;=1),0,IFERROR(LOOKUP(2,1/(Tasks[[#Headers],[_Level]]:Tasks[[#This Row],[_Level]]=Tasks[[#This Row],[_Level]]-1),ROW(Tasks[[#Headers],[_Level]]:Tasks[[#This Row],[_Level]])),0))</f>
        <v/>
      </c>
      <c r="CE99" s="42">
        <f>IFERROR(N(INDEX(Tasks[_Level],Tasks[[#This Row],[_Row]]+1)),0)</f>
        <v/>
      </c>
      <c r="CF99" s="42">
        <f>AND(Tasks[[#This Row],[Task Name]]&lt;&gt;"",Tasks[[#This Row],[_NextLevel]]&gt;Tasks[[#This Row],[_Level]])</f>
        <v/>
      </c>
      <c r="CG99" s="42">
        <f>IF(Tasks[[#This Row],[_IsSummary]],COUNTIF(Tasks[WBS],Tasks[[#This Row],[WBS]]&amp;".*"),0)</f>
        <v/>
      </c>
      <c r="CH99" s="42">
        <f>IF(AND(Tasks[[#This Row],[Task Name]]&lt;&gt;"",NOT(Tasks[[#This Row],[_IsSummary]])),1,0)</f>
        <v/>
      </c>
      <c r="CI99" s="42">
        <f>IF(N(Tasks[[#This Row],[_Pred1UID]])=0,0,IFERROR(MATCH(Tasks[[#This Row],[_Pred1UID]],Tasks[UID],0),-1))</f>
        <v/>
      </c>
      <c r="CJ99" s="42">
        <f>IF(N(Tasks[[#This Row],[_Pred2UID]])=0,0,IFERROR(MATCH(Tasks[[#This Row],[_Pred2UID]],Tasks[UID],0),-1))</f>
        <v/>
      </c>
      <c r="CK99" s="42">
        <f>IF(N(Tasks[[#This Row],[_Pred3UID]])=0,0,IFERROR(MATCH(Tasks[[#This Row],[_Pred3UID]],Tasks[UID],0),-1))</f>
        <v/>
      </c>
      <c r="CL99" s="42">
        <f>IF(N(Tasks[[#This Row],[_Pred4UID]])=0,0,IFERROR(MATCH(Tasks[[#This Row],[_Pred4UID]],Tasks[UID],0),-1))</f>
        <v/>
      </c>
      <c r="CM9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9" s="88">
        <f>IF(N(Tasks[[#This Row],[Constraint Date]])=0,0,IF(AND(OR(Tasks[[#This Row],[_ConstraintCode]]=3,Tasks[[#This Row],[_ConstraintCode]]=6,Tasks[[#This Row],[_ConstraintCode]]=7),N(Tasks[[#This Row],[_Days]])&gt;1),WORKDAY.INTL(N(Tasks[[#This Row],[Constraint Date]]),-(N(Tasks[[#This Row],[_Days]])-1),WorkWeek,Holidays),N(Tasks[[#This Row],[Constraint Date]])))</f>
        <v/>
      </c>
      <c r="CO99" s="88">
        <f>IF(OR(Tasks[[#This Row],[_ConstraintCode]]=2,Tasks[[#This Row],[_ConstraintCode]]=3,Tasks[[#This Row],[_ConstraintCode]]=4,Tasks[[#This Row],[_ConstraintCode]]=6),Tasks[[#This Row],[_ConstraintStart]],0)</f>
        <v/>
      </c>
      <c r="CP99" s="88">
        <f>IF(OR(Tasks[[#This Row],[_ConstraintCode]]=2,Tasks[[#This Row],[_ConstraintCode]]=3,Tasks[[#This Row],[_ConstraintCode]]=5,Tasks[[#This Row],[_ConstraintCode]]=7),Tasks[[#This Row],[_ConstraintStart]],2958465)</f>
        <v/>
      </c>
      <c r="CQ9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9" s="88">
        <f>IF(NOT(Tasks[[#This Row],[_IsLeaf]]=1),"",IF(N(Tasks[[#This Row],[_Days]])&lt;=0,Tasks[[#This Row],[_LeafCalcStart]],WORKDAY.INTL(Tasks[[#This Row],[_LeafCalcStart]],Tasks[[#This Row],[_Days]]-1,WorkWeek,Holidays)))</f>
        <v/>
      </c>
      <c r="CS9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9" s="42">
        <f>IF(Tasks[[#This Row],[_Predecessors]]="","",TRIM(MID(SUBSTITUTE(SUBSTITUTE(SUBSTITUTE(UPPER(Tasks[[#This Row],[_Predecessors]]),";",",")," ",""),",",REPT(" ",99)),1,99)))</f>
        <v/>
      </c>
      <c r="CV99" s="42">
        <f>IF(Tasks[[#This Row],[_Pred1Text]]="","",IFERROR(VALUE(LEFT(Tasks[[#This Row],[_Pred1Text]],MIN(FIND("F",Tasks[[#This Row],[_Pred1Text]]&amp;"F"),FIND("S",Tasks[[#This Row],[_Pred1Text]]&amp;"S"),FIND("+",Tasks[[#This Row],[_Pred1Text]]&amp;"+"),FIND("-",Tasks[[#This Row],[_Pred1Text]]&amp;"-"))-1)),""))</f>
        <v/>
      </c>
      <c r="CW9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9" s="42">
        <f>IF(Tasks[[#This Row],[_Pred1Text]]="","",TRIM(MID(SUBSTITUTE(SUBSTITUTE(SUBSTITUTE(UPPER(Tasks[[#This Row],[_Predecessors]]),";",",")," ",""),",",REPT(" ",99)),100,99)))</f>
        <v/>
      </c>
      <c r="CZ99" s="42">
        <f>IF(Tasks[[#This Row],[_Pred2Text]]="","",IFERROR(VALUE(LEFT(Tasks[[#This Row],[_Pred2Text]],MIN(FIND("F",Tasks[[#This Row],[_Pred2Text]]&amp;"F"),FIND("S",Tasks[[#This Row],[_Pred2Text]]&amp;"S"),FIND("+",Tasks[[#This Row],[_Pred2Text]]&amp;"+"),FIND("-",Tasks[[#This Row],[_Pred2Text]]&amp;"-"))-1)),""))</f>
        <v/>
      </c>
      <c r="DA9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9" s="42">
        <f>IF(Tasks[[#This Row],[_Pred2Text]]="","",TRIM(MID(SUBSTITUTE(SUBSTITUTE(SUBSTITUTE(UPPER(Tasks[[#This Row],[_Predecessors]]),";",",")," ",""),",",REPT(" ",99)),199,99)))</f>
        <v/>
      </c>
      <c r="DD99" s="42">
        <f>IF(Tasks[[#This Row],[_Pred3Text]]="","",IFERROR(VALUE(LEFT(Tasks[[#This Row],[_Pred3Text]],MIN(FIND("F",Tasks[[#This Row],[_Pred3Text]]&amp;"F"),FIND("S",Tasks[[#This Row],[_Pred3Text]]&amp;"S"),FIND("+",Tasks[[#This Row],[_Pred3Text]]&amp;"+"),FIND("-",Tasks[[#This Row],[_Pred3Text]]&amp;"-"))-1)),""))</f>
        <v/>
      </c>
      <c r="DE9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9" s="42">
        <f>IF(Tasks[[#This Row],[_Pred3Text]]="","",TRIM(MID(SUBSTITUTE(SUBSTITUTE(SUBSTITUTE(UPPER(Tasks[[#This Row],[_Predecessors]]),";",",")," ",""),",",REPT(" ",99)),298,99)))</f>
        <v/>
      </c>
      <c r="DH99" s="42">
        <f>IF(Tasks[[#This Row],[_Pred4Text]]="","",IFERROR(VALUE(LEFT(Tasks[[#This Row],[_Pred4Text]],MIN(FIND("F",Tasks[[#This Row],[_Pred4Text]]&amp;"F"),FIND("S",Tasks[[#This Row],[_Pred4Text]]&amp;"S"),FIND("+",Tasks[[#This Row],[_Pred4Text]]&amp;"+"),FIND("-",Tasks[[#This Row],[_Pred4Text]]&amp;"-"))-1)),""))</f>
        <v/>
      </c>
      <c r="DI9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9" s="42">
        <f>IF(OR(Tasks[[#This Row],[Task Name]]="",Tasks[[#This Row],[_Resources]]=""),"",TRIM(MID(SUBSTITUTE(Tasks[[#This Row],[_Resources]],",",REPT(" ",99)),1,99)))</f>
        <v/>
      </c>
      <c r="DL99" s="42">
        <f>IF(Tasks[[#This Row],[_Res1Text]]="","",TRIM(MID(SUBSTITUTE(Tasks[[#This Row],[_Resources]],",",REPT(" ",99)),100,99)))</f>
        <v/>
      </c>
      <c r="DM99" s="42">
        <f>IF(Tasks[[#This Row],[_Res2Text]]="","",TRIM(MID(SUBSTITUTE(Tasks[[#This Row],[_Resources]],",",REPT(" ",99)),199,99)))</f>
        <v/>
      </c>
      <c r="DN99" s="42">
        <f>IF(Tasks[[#This Row],[_Res3Text]]="","",TRIM(MID(SUBSTITUTE(Tasks[[#This Row],[_Resources]],",",REPT(" ",99)),298,99)))</f>
        <v/>
      </c>
      <c r="DO99" s="42">
        <f>IF(Tasks[[#This Row],[_Res1Text]]="",0,IFERROR(MATCH(TRIM(LEFT(Tasks[[#This Row],[_Res1Text]],FIND("[",Tasks[[#This Row],[_Res1Text]]&amp;"[")-1)),res_Name,0),IFERROR(MATCH(TRIM(LEFT(Tasks[[#This Row],[_Res1Text]],FIND("[",Tasks[[#This Row],[_Res1Text]]&amp;"[")-1)),res_Initials,0),0)))</f>
        <v/>
      </c>
      <c r="DP99" s="42">
        <f>IF(Tasks[[#This Row],[_Res2Text]]="",0,IFERROR(MATCH(TRIM(LEFT(Tasks[[#This Row],[_Res2Text]],FIND("[",Tasks[[#This Row],[_Res2Text]]&amp;"[")-1)),res_Name,0),IFERROR(MATCH(TRIM(LEFT(Tasks[[#This Row],[_Res2Text]],FIND("[",Tasks[[#This Row],[_Res2Text]]&amp;"[")-1)),res_Initials,0),0)))</f>
        <v/>
      </c>
      <c r="DQ99" s="42">
        <f>IF(Tasks[[#This Row],[_Res3Text]]="",0,IFERROR(MATCH(TRIM(LEFT(Tasks[[#This Row],[_Res3Text]],FIND("[",Tasks[[#This Row],[_Res3Text]]&amp;"[")-1)),res_Name,0),IFERROR(MATCH(TRIM(LEFT(Tasks[[#This Row],[_Res3Text]],FIND("[",Tasks[[#This Row],[_Res3Text]]&amp;"[")-1)),res_Initials,0),0)))</f>
        <v/>
      </c>
      <c r="DR99" s="42">
        <f>IF(Tasks[[#This Row],[_Res4Text]]="",0,IFERROR(MATCH(TRIM(LEFT(Tasks[[#This Row],[_Res4Text]],FIND("[",Tasks[[#This Row],[_Res4Text]]&amp;"[")-1)),res_Name,0),IFERROR(MATCH(TRIM(LEFT(Tasks[[#This Row],[_Res4Text]],FIND("[",Tasks[[#This Row],[_Res4Text]]&amp;"[")-1)),res_Initials,0),0)))</f>
        <v/>
      </c>
      <c r="DS99" s="42">
        <f>IF(Tasks[[#This Row],[_Res1Text]]="","",IF(Tasks[[#This Row],[_Res1Row]]&gt;0,INDEX(res_Name,Tasks[[#This Row],[_Res1Row]]),TRIM(LEFT(Tasks[[#This Row],[_Res1Text]],FIND("[",Tasks[[#This Row],[_Res1Text]]&amp;"[")-1))))</f>
        <v/>
      </c>
      <c r="DT9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9" s="42">
        <f>IF(NOT(Tasks[[#This Row],[_IsLeaf]]=1),0,(Tasks[[#This Row],[_Resource1]]&lt;&gt;"")+(Tasks[[#This Row],[_Res2]]&lt;&gt;"")+(Tasks[[#This Row],[_Res3]]&lt;&gt;"")+(Tasks[[#This Row],[_Res4]]&lt;&gt;""))</f>
        <v/>
      </c>
      <c r="DV99" s="42">
        <f>IF(Tasks[[#This Row],[_Res2Text]]="","",IF(Tasks[[#This Row],[_Res2Row]]&gt;0,INDEX(res_Name,Tasks[[#This Row],[_Res2Row]]),TRIM(LEFT(Tasks[[#This Row],[_Res2Text]],FIND("[",Tasks[[#This Row],[_Res2Text]]&amp;"[")-1))))</f>
        <v/>
      </c>
      <c r="DW9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9" s="42">
        <f>IF(OR(NOT(Tasks[[#This Row],[_IsLeaf]]=1),Tasks[[#This Row],[_Res2Row]]=0),0,N(Tasks[[#This Row],[_Days]])*HoursPerDay*IF(Tasks[[#This Row],[_Res2Units]]="",DefaultUnits,Tasks[[#This Row],[_Res2Units]]))</f>
        <v/>
      </c>
      <c r="DY99" s="42">
        <f>IF(AND(AND(Tasks[[#This Row],[_IsLeaf]]=1,Tasks[[#This Row],[_LeafTotalWork]]&gt;0),Tasks[[#This Row],[_Res2Work]]&gt;0),Tasks[[#This Row],[_Res2Work]]/(Tasks[[#This Row],[_FinishWorkday]]-Tasks[[#This Row],[_StartWorkday]]+1),0)</f>
        <v/>
      </c>
      <c r="DZ99" s="42">
        <f>Tasks[[#This Row],[_Res2WorkPerWD]]*MAX(0,Tasks[[#This Row],[_StartWorkday]]-1)</f>
        <v/>
      </c>
      <c r="EA99" s="42">
        <f>Tasks[[#This Row],[_Res2Work]]*Tasks[[#This Row],[_LeafProgress]]</f>
        <v/>
      </c>
      <c r="EB99" s="42">
        <f>IF(Tasks[[#This Row],[_Res3Text]]="","",IF(Tasks[[#This Row],[_Res3Row]]&gt;0,INDEX(res_Name,Tasks[[#This Row],[_Res3Row]]),TRIM(LEFT(Tasks[[#This Row],[_Res3Text]],FIND("[",Tasks[[#This Row],[_Res3Text]]&amp;"[")-1))))</f>
        <v/>
      </c>
      <c r="EC9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9" s="42">
        <f>IF(OR(NOT(Tasks[[#This Row],[_IsLeaf]]=1),Tasks[[#This Row],[_Res3Row]]=0),0,N(Tasks[[#This Row],[_Days]])*HoursPerDay*IF(Tasks[[#This Row],[_Res3Units]]="",DefaultUnits,Tasks[[#This Row],[_Res3Units]]))</f>
        <v/>
      </c>
      <c r="EE99" s="42">
        <f>IF(AND(AND(Tasks[[#This Row],[_IsLeaf]]=1,Tasks[[#This Row],[_LeafTotalWork]]&gt;0),Tasks[[#This Row],[_Res3Work]]&gt;0),Tasks[[#This Row],[_Res3Work]]/(Tasks[[#This Row],[_FinishWorkday]]-Tasks[[#This Row],[_StartWorkday]]+1),0)</f>
        <v/>
      </c>
      <c r="EF99" s="42">
        <f>Tasks[[#This Row],[_Res3WorkPerWD]]*MAX(0,Tasks[[#This Row],[_StartWorkday]]-1)</f>
        <v/>
      </c>
      <c r="EG99" s="42">
        <f>Tasks[[#This Row],[_Res3Work]]*Tasks[[#This Row],[_LeafProgress]]</f>
        <v/>
      </c>
      <c r="EH99" s="42">
        <f>IF(Tasks[[#This Row],[_Res4Text]]="","",IF(Tasks[[#This Row],[_Res4Row]]&gt;0,INDEX(res_Name,Tasks[[#This Row],[_Res4Row]]),TRIM(LEFT(Tasks[[#This Row],[_Res4Text]],FIND("[",Tasks[[#This Row],[_Res4Text]]&amp;"[")-1))))</f>
        <v/>
      </c>
      <c r="EI9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9" s="42">
        <f>IF(OR(NOT(Tasks[[#This Row],[_IsLeaf]]=1),Tasks[[#This Row],[_Res4Row]]=0),0,N(Tasks[[#This Row],[_Days]])*HoursPerDay*IF(Tasks[[#This Row],[_Res4Units]]="",DefaultUnits,Tasks[[#This Row],[_Res4Units]]))</f>
        <v/>
      </c>
      <c r="EK99" s="42">
        <f>IF(AND(AND(Tasks[[#This Row],[_IsLeaf]]=1,Tasks[[#This Row],[_LeafTotalWork]]&gt;0),Tasks[[#This Row],[_Res4Work]]&gt;0),Tasks[[#This Row],[_Res4Work]]/(Tasks[[#This Row],[_FinishWorkday]]-Tasks[[#This Row],[_StartWorkday]]+1),0)</f>
        <v/>
      </c>
      <c r="EL99" s="42">
        <f>Tasks[[#This Row],[_Res4WorkPerWD]]*MAX(0,Tasks[[#This Row],[_StartWorkday]]-1)</f>
        <v/>
      </c>
      <c r="EM99" s="42">
        <f>Tasks[[#This Row],[_Res4Work]]*Tasks[[#This Row],[_LeafProgress]]</f>
        <v/>
      </c>
      <c r="EN99" s="42">
        <f>IF(ISNUMBER(Tasks[[#This Row],[% Complete]]),Tasks[[#This Row],[% Complete]],IF(Tasks[[#This Row],[Stage]]="",0,IFERROR(INDEX(stg_Pct,MATCH(Tasks[[#This Row],[Stage]],stg_Name,0)),0)))</f>
        <v/>
      </c>
      <c r="EO99" s="42">
        <f>IF(NOT(Tasks[[#This Row],[_IsLeaf]]=1),0,IF(N(Tasks[[#This Row],[Actual Finish]])&gt;0,1,MIN(1,Tasks[[#This Row],[_Pct]])))</f>
        <v/>
      </c>
      <c r="EP99" s="42">
        <f>IF(OR(NOT(Tasks[[#This Row],[_IsLeaf]]=1),Tasks[[#This Row],[_Res1Row]]=0),0,N(Tasks[[#This Row],[_Days]])*HoursPerDay*IF(Tasks[[#This Row],[_Units1]]="",DefaultUnits,Tasks[[#This Row],[_Units1]]))</f>
        <v/>
      </c>
      <c r="EQ99" s="42">
        <f>Tasks[[#This Row],[_LeafWork]]+Tasks[[#This Row],[_Res2Work]]+Tasks[[#This Row],[_Res3Work]]+Tasks[[#This Row],[_Res4Work]]</f>
        <v/>
      </c>
      <c r="ER9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9" s="42">
        <f>IF(NOT(Tasks[[#This Row],[_IsLeaf]]=1),0,MAX(_xlfn.MAXIFS(Tasks[_Row],Tasks[_Pred1UID],Tasks[[#This Row],[UID]]),_xlfn.MAXIFS(Tasks[_Row],Tasks[_Pred2UID],Tasks[[#This Row],[UID]]),_xlfn.MAXIFS(Tasks[_Row],Tasks[_Pred3UID],Tasks[[#This Row],[UID]]),_xlfn.MAXIFS(Tasks[_Row],Tasks[_Pred4UID],Tasks[[#This Row],[UID]])))</f>
        <v/>
      </c>
      <c r="FA9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9" s="88">
        <f>IF(NOT(Tasks[[#This Row],[_IsLeaf]]=1),"",IF(N(Tasks[[#This Row],[_Days]])&lt;=0,Tasks[[#This Row],[_LeafLateFinish]],WORKDAY.INTL(Tasks[[#This Row],[_LeafLateFinish]],-(Tasks[[#This Row],[_Days]]-1),WorkWeek,Holidays)))</f>
        <v/>
      </c>
      <c r="FD9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9" s="42">
        <f>AND(Tasks[[#This Row],[_IsLeaf]]=1,Tasks[[#This Row],[_LeafProgress]]&lt;1,N(Tasks[[#This Row],[_LeafTotalSlack]])&lt;=CriticalSlackDays)</f>
        <v/>
      </c>
      <c r="FF99" s="42">
        <f>IF(AND(Tasks[[#This Row],[_IsLeaf]]=1,Tasks[[#This Row],[_ConstraintCode]]=1,Tasks[[#This Row],[Mode]]&lt;&gt;"Manual",N(Tasks[[#This Row],[Actual Start]])=0),MAX(0,N(Tasks[[#This Row],[Free Slack]])),0)</f>
        <v/>
      </c>
      <c r="FG99" s="88">
        <f>IF(NOT(Tasks[[#This Row],[_IsLeaf]]=1),"",IF(Tasks[[#This Row],[_AlapShift]]=0,Tasks[[#This Row],[_LeafCalcStart]],WORKDAY.INTL(Tasks[[#This Row],[_LeafCalcStart]],Tasks[[#This Row],[_AlapShift]],WorkWeek,Holidays)))</f>
        <v/>
      </c>
      <c r="FH99" s="88">
        <f>IF(NOT(Tasks[[#This Row],[_IsLeaf]]=1),"",IF(Tasks[[#This Row],[_AlapShift]]=0,Tasks[[#This Row],[_LeafCalcFinish]],WORKDAY.INTL(Tasks[[#This Row],[_LeafCalcFinish]],Tasks[[#This Row],[_AlapShift]],WorkWeek,Holidays)))</f>
        <v/>
      </c>
      <c r="FI99" s="88">
        <f>IF(NOT(Tasks[[#This Row],[_IsLeaf]]=1),"",IF(Tasks[[#This Row],[_AlapShift]]=0,Tasks[[#This Row],[_LeafFcstStart]],WORKDAY.INTL(Tasks[[#This Row],[_LeafFcstStart]],Tasks[[#This Row],[_AlapShift]],WorkWeek,Holidays)))</f>
        <v/>
      </c>
      <c r="FJ99" s="88">
        <f>IF(NOT(Tasks[[#This Row],[_IsLeaf]]=1),"",IF(Tasks[[#This Row],[_AlapShift]]=0,Tasks[[#This Row],[_LeafFcstFinish]],WORKDAY.INTL(Tasks[[#This Row],[_LeafFcstFinish]],Tasks[[#This Row],[_AlapShift]],WorkWeek,Holidays)))</f>
        <v/>
      </c>
      <c r="FK99" s="88">
        <f>IF(Tasks[[#This Row],[Task Name]]="","",IF(Tasks[[#This Row],[_IsSummary]],MIN(INDEX(Tasks[_ShownCalcStart],Tasks[[#This Row],[_Row]]+1):INDEX(Tasks[_ShownCalcStart],Tasks[[#This Row],[_Row]]+Tasks[[#This Row],[_Descendants]])),Tasks[[#This Row],[_ShownCalcStart]]))</f>
        <v/>
      </c>
      <c r="FL99" s="88">
        <f>IF(Tasks[[#This Row],[Task Name]]="","",IF(Tasks[[#This Row],[_IsSummary]],MAX(INDEX(Tasks[_ShownCalcFinish],Tasks[[#This Row],[_Row]]+1):INDEX(Tasks[_ShownCalcFinish],Tasks[[#This Row],[_Row]]+Tasks[[#This Row],[_Descendants]])),Tasks[[#This Row],[_ShownCalcFinish]]))</f>
        <v/>
      </c>
      <c r="FM9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9" s="42">
        <f>IF(AND(Tasks[[#This Row],[_IsLeaf]]=1,Tasks[[#This Row],[_LeafTotalWork]]&gt;0),NETWORKDAYS.INTL(ProjectStart,Tasks[[#This Row],[_ShownFcstStart]],WorkWeek,Holidays),0)</f>
        <v/>
      </c>
      <c r="FZ99" s="42">
        <f>IF(AND(Tasks[[#This Row],[_IsLeaf]]=1,Tasks[[#This Row],[_LeafTotalWork]]&gt;0),MAX(Tasks[[#This Row],[_StartWorkday]],NETWORKDAYS.INTL(ProjectStart,Tasks[[#This Row],[_ShownFcstFinish]],WorkWeek,Holidays)),0)</f>
        <v/>
      </c>
      <c r="GA99" s="42">
        <f>IF(AND(Tasks[[#This Row],[_IsLeaf]]=1,Tasks[[#This Row],[_LeafTotalWork]]&gt;0),Tasks[[#This Row],[_LeafWork]]/(Tasks[[#This Row],[_FinishWorkday]]-Tasks[[#This Row],[_StartWorkday]]+1),0)</f>
        <v/>
      </c>
      <c r="GB99" s="42">
        <f>Tasks[[#This Row],[_WorkPerWorkday]]*(Tasks[[#This Row],[_StartWorkday]]-1)</f>
        <v/>
      </c>
      <c r="GC99" s="42">
        <f>IF(Tasks[[#This Row],[_IsLeaf]]=1,MAX(N(Tasks[[#This Row],[_Days]]),0.1),0)</f>
        <v/>
      </c>
      <c r="GD99" s="42">
        <f>Tasks[[#This Row],[_WeightDur]]*Tasks[[#This Row],[_LeafProgress]]</f>
        <v/>
      </c>
      <c r="GE99" s="42">
        <f>Tasks[[#This Row],[_WeightDur]]*Tasks[[#This Row],[_PlannedPct]]</f>
        <v/>
      </c>
      <c r="GF9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9" s="42">
        <f>IF(AND(Tasks[[#This Row],[_IsLeaf]]=1,N(Tasks[[#This Row],[_Days]])=0,Tasks[[#This Row],[_LeafProgress]]&lt;1),Tasks[[#This Row],[_ShownFcstFinish]]+Tasks[[#This Row],[_Row]]/100000,"")</f>
        <v/>
      </c>
      <c r="GH9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9" s="42">
        <f>IF(Tasks[[#This Row],[Task Name]]="","",LEFT(Tasks[[#This Row],[WBS]],FIND(".",Tasks[[#This Row],[WBS]]&amp;".")-1))</f>
        <v/>
      </c>
      <c r="GJ99" s="42">
        <f>IF(AND(Tasks[[#This Row],[Task Name]]&lt;&gt;"",Tasks[[#This Row],[_Level]]=1),Tasks[[#This Row],[_Row]],"")</f>
        <v/>
      </c>
      <c r="GK99" s="42">
        <f>IF(AND(Tasks[[#This Row],[_IsLeaf]]=1,N(Tasks[[#This Row],[_Days]])=0),Tasks[[#This Row],[Planned Finish]]+Tasks[[#This Row],[_Row]]/100000,"")</f>
        <v/>
      </c>
      <c r="GL99" s="42">
        <f>IF(AND(Tasks[[#This Row],[_IsLeaf]]=1,Tasks[[#This Row],[_LeafProgress]]&lt;1,OR(N(Tasks[[#This Row],[Finish Var]])&gt;0,Tasks[[#This Row],[Status]]="Late Start")),MAX(0,Tasks[[#This Row],[Finish Var]])+1-Tasks[[#This Row],[_Row]]/1000000,"")</f>
        <v/>
      </c>
      <c r="GM99" s="42">
        <f>IF(AND(Tasks[[#This Row],[_IsLeaf]]=1,N(Tasks[[#This Row],[Actual Start]])=0,Tasks[[#This Row],[_ShownFcstStart]]&gt;=StatusDate,Tasks[[#This Row],[_ShownFcstStart]]&lt;=LookaheadEnd),Tasks[[#This Row],[_ShownFcstStart]]+Tasks[[#This Row],[_Row]]/100000,"")</f>
        <v/>
      </c>
      <c r="GN99" s="42">
        <f>IF(AND(Tasks[[#This Row],[_IsLeaf]]=1,Tasks[[#This Row],[_LeafProgress]]&lt;1,Tasks[[#This Row],[_ShownFcstFinish]]&gt;=StatusDate,Tasks[[#This Row],[_ShownFcstFinish]]&lt;=LookaheadEnd),Tasks[[#This Row],[_ShownFcstFinish]]+Tasks[[#This Row],[_Row]]/100000,"")</f>
        <v/>
      </c>
      <c r="GO99" s="42">
        <f>IF(Tasks[[#This Row],[_LeafCritical]],Tasks[[#This Row],[_ShownFcstStart]]+Tasks[[#This Row],[_Row]]/100000,"")</f>
        <v/>
      </c>
      <c r="GP99" s="42">
        <f>Tasks[[#This Row],[_LeafWork]]*Tasks[[#This Row],[_LeafProgress]]</f>
        <v/>
      </c>
      <c r="GQ99" s="88">
        <f>IF(AND(Tasks[[#This Row],[_IsLeaf]]=1,Tasks[[#This Row],[_LeafProgress]]&gt;=1),IF(N(Tasks[[#This Row],[Actual Finish]])&gt;0,Tasks[[#This Row],[Actual Finish]],Tasks[[#This Row],[_ShownFcstFinish]]),"")</f>
        <v/>
      </c>
      <c r="GR99" s="42">
        <f>IF(Tasks[[#This Row],[_IsLeaf]]=1,N(Tasks[[#This Row],[Story Points]]),0)</f>
        <v/>
      </c>
      <c r="GS99" s="42">
        <f>""</f>
        <v/>
      </c>
      <c r="GT99" s="42">
        <f>IF(Tasks[[#This Row],[Task Name]]="",FALSE(),AND(Tasks[[#This Row],[_IsLeaf]]=1,N(Tasks[[#This Row],[_Days]])=0))</f>
        <v/>
      </c>
      <c r="GU99" s="88">
        <f>IF(Tasks[[#This Row],[Task Name]]="",0,IF(AND(Tasks[[#This Row],[_IsLeaf]]=1,NOT(Tasks[[#This Row],[_IsMilestone]]),N(Tasks[[#This Row],[Progress]])&gt;0),Tasks[[#This Row],[Start]],0))</f>
        <v/>
      </c>
      <c r="GV99" s="88">
        <f>IF(Tasks[[#This Row],[_DoneFrom]]=0,0,IF(Tasks[[#This Row],[Progress]]&gt;=1,Tasks[[#This Row],[Finish]],MAX(Tasks[[#This Row],[_DoneFrom]],Tasks[[#This Row],[Start]]+ROUND((Tasks[[#This Row],[Finish]]-Tasks[[#This Row],[Start]]+1)*Tasks[[#This Row],[Progress]],0)-1)))</f>
        <v/>
      </c>
      <c r="GW99" s="88">
        <f>IF(Tasks[[#This Row],[Task Name]]="",0,IF(OR(NOT(Tasks[[#This Row],[_IsLeaf]]=1),Tasks[[#This Row],[_IsMilestone]],N(Tasks[[#This Row],[Progress]])&gt;=1),0,IF(Tasks[[#This Row],[_DoneTo]]&gt;0,Tasks[[#This Row],[_DoneTo]]+1,Tasks[[#This Row],[Start]])))</f>
        <v/>
      </c>
      <c r="GX99" s="88">
        <f>IF(Tasks[[#This Row],[_RemFrom]]=0,0,Tasks[[#This Row],[Finish]])</f>
        <v/>
      </c>
      <c r="GY99" s="42">
        <f>IF(Tasks[[#This Row],[Task Name]]="",FALSE(),OR(NOT(BaselineSet),N(Tasks[[#This Row],[Baseline Start]])&gt;0))</f>
        <v/>
      </c>
      <c r="GZ99" s="42">
        <f>IF(AND(Sandbox="Yes",L_PARSE_DURATION(Tasks[[#This Row],[Sandbox Duration]])&lt;&gt;""),L_PARSE_DURATION(Tasks[[#This Row],[Sandbox Duration]]),L_PARSE_DURATION(Tasks[[#This Row],[Duration]]))</f>
        <v/>
      </c>
      <c r="HA9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9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9" s="42">
        <f>IF(Tasks[[#This Row],[_IsLeaf]]=1,Tasks[[#This Row],[_Row]],"")</f>
        <v/>
      </c>
      <c r="HD99" s="42">
        <f>IFERROR(INDEX(Tasks[UID],SMALL(Tasks[_PickKey],Tasks[[#This Row],[_Row]]))&amp;" "&amp;INDEX(Tasks[Task Name],SMALL(Tasks[_PickKey],Tasks[[#This Row],[_Row]])),"")</f>
        <v/>
      </c>
      <c r="HE99" s="42">
        <f>IF(Tasks[[#This Row],[Task Name]]="","",IF(Tasks[[#This Row],[_IsSummary]],NETWORKDAYS.INTL(Tasks[[#This Row],[Start]],Tasks[[#This Row],[Finish]],WorkWeek,Holidays),N(Tasks[[#This Row],[_Days]])))</f>
        <v/>
      </c>
      <c r="HF99" s="42">
        <f>IF(Tasks[[#This Row],[Expected]]="",0,((Tasks[[#This Row],[Pessimistic]]-Tasks[[#This Row],[Optimistic]])/6)^2)</f>
        <v/>
      </c>
      <c r="HG99" s="42">
        <f>IF(Tasks[[#This Row],[Expected]]="",0,Tasks[[#This Row],[Expected]]-N(Tasks[[#This Row],[_Days]]))</f>
        <v/>
      </c>
    </row>
    <row r="100">
      <c r="A100" s="21">
        <f>IF(Tasks[[#This Row],[Task Name]]="","",COUNTA(Tasks[[#Headers],[Task Name]]:Tasks[[#This Row],[Task Name]])-1)</f>
        <v/>
      </c>
      <c r="B100" s="22" t="n">
        <v>108</v>
      </c>
      <c r="C100" s="22" t="n"/>
      <c r="D100" s="23" t="n"/>
      <c r="E100" s="22" t="n"/>
      <c r="F100" s="23" t="n"/>
      <c r="G100" s="22" t="n"/>
      <c r="H100" s="22" t="n"/>
      <c r="I100" s="23" t="n"/>
      <c r="J100" s="22" t="n"/>
      <c r="K100" s="22" t="n"/>
      <c r="L100" s="23" t="n"/>
      <c r="M100" s="22" t="n"/>
      <c r="N100" s="22" t="n"/>
      <c r="O100" s="23" t="n"/>
      <c r="P100" s="22" t="n"/>
      <c r="Q100" s="22" t="n"/>
      <c r="R100" s="23" t="n"/>
      <c r="S100" s="23" t="n"/>
      <c r="T100" s="82" t="n"/>
      <c r="U100" s="23" t="n"/>
      <c r="V100" s="82" t="n"/>
      <c r="W100" s="23" t="n"/>
      <c r="X100" s="82" t="n"/>
      <c r="Y100" s="23" t="n"/>
      <c r="Z100" s="82" t="n"/>
      <c r="AA100" s="23" t="n"/>
      <c r="AB100" s="23" t="n"/>
      <c r="AC100" s="7" t="n"/>
      <c r="AD100" s="7" t="n"/>
      <c r="AE100" s="61">
        <f>IF(Tasks[[#This Row],[Task Name]]="","",IF(Tasks[[#This Row],[_IsSummary]],MIN(INDEX(Tasks[_ShownFcstStart],Tasks[[#This Row],[_Row]]+1):INDEX(Tasks[_ShownFcstStart],Tasks[[#This Row],[_Row]]+Tasks[[#This Row],[_Descendants]])),Tasks[[#This Row],[_ShownFcstStart]]))</f>
        <v/>
      </c>
      <c r="AF100" s="61">
        <f>IF(Tasks[[#This Row],[Task Name]]="","",IF(Tasks[[#This Row],[_IsSummary]],MAX(INDEX(Tasks[_ShownFcstFinish],Tasks[[#This Row],[_Row]]+1):INDEX(Tasks[_ShownFcstFinish],Tasks[[#This Row],[_Row]]+Tasks[[#This Row],[_Descendants]])),Tasks[[#This Row],[_ShownFcstFinish]]))</f>
        <v/>
      </c>
      <c r="AG100" s="21">
        <f>""</f>
        <v/>
      </c>
      <c r="AH100" s="23" t="n"/>
      <c r="AI10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0" s="7" t="n"/>
      <c r="AK100" s="22" t="n"/>
      <c r="AL100" s="23" t="n"/>
      <c r="AM100" s="7" t="n"/>
      <c r="AN100" s="21">
        <f>IF(Tasks[[#This Row],[Task Name]]="","",IF(Tasks[[#This Row],[Finish]]&gt;=Tasks[[#This Row],[Planned Finish]],NETWORKDAYS.INTL(Tasks[[#This Row],[Planned Finish]],Tasks[[#This Row],[Finish]],WorkWeek,Holidays)-1,1-NETWORKDAYS.INTL(Tasks[[#This Row],[Finish]],Tasks[[#This Row],[Planned Finish]],WorkWeek,Holidays)))</f>
        <v/>
      </c>
      <c r="AO100" s="21">
        <f>IF(Tasks[[#This Row],[Task Name]]="","",IF(Tasks[[#This Row],[Progress]]&gt;=1,"Complete",IF(OR(N(Tasks[[#This Row],[Actual Start]])&gt;0,Tasks[[#This Row],[Progress]]&gt;0),IF(Tasks[[#This Row],[Finish Var]]&gt;0,"Behind","In Progress"),IF(Tasks[[#This Row],[Planned Start]]&lt;StatusDate,"Late Start","Not Started"))))</f>
        <v/>
      </c>
      <c r="AP100" s="21">
        <f>IF(Tasks[[#This Row],[Task Name]]="","",IF(IF(Tasks[[#This Row],[_IsSummary]],COUNTIF(INDEX(Tasks[_LeafCritical],Tasks[[#This Row],[_Row]]+1):INDEX(Tasks[_LeafCritical],Tasks[[#This Row],[_Row]]+Tasks[[#This Row],[_Descendants]]),TRUE())&gt;0,Tasks[[#This Row],[_LeafCritical]]),"Yes",""))</f>
        <v/>
      </c>
      <c r="AQ100" s="61">
        <f>IF(Tasks[[#This Row],[Task Name]]="","",IF(N(Tasks[[#This Row],[Baseline Start]])&gt;0,Tasks[[#This Row],[Baseline Start]],Tasks[[#This Row],[_CalcStart]]))</f>
        <v/>
      </c>
      <c r="AR100" s="61">
        <f>IF(Tasks[[#This Row],[Task Name]]="","",IF(N(Tasks[[#This Row],[Baseline Finish]])&gt;0,Tasks[[#This Row],[Baseline Finish]],Tasks[[#This Row],[_CalcFinish]]))</f>
        <v/>
      </c>
      <c r="AS100" s="21">
        <f>IF(Tasks[[#This Row],[Task Name]]="","",IF(Tasks[[#This Row],[Start]]&gt;=Tasks[[#This Row],[Planned Start]],NETWORKDAYS.INTL(Tasks[[#This Row],[Planned Start]],Tasks[[#This Row],[Start]],WorkWeek,Holidays)-1,1-NETWORKDAYS.INTL(Tasks[[#This Row],[Start]],Tasks[[#This Row],[Planned Start]],WorkWeek,Holidays)))</f>
        <v/>
      </c>
      <c r="AT100" s="61">
        <f>IF(Tasks[[#This Row],[Task Name]]="","",IF(Tasks[[#This Row],[_IsSummary]],MIN(INDEX(Tasks[_LeafLateStart],Tasks[[#This Row],[_Row]]+1):INDEX(Tasks[_LeafLateStart],Tasks[[#This Row],[_Row]]+Tasks[[#This Row],[_Descendants]])),Tasks[[#This Row],[_LeafLateStart]]))</f>
        <v/>
      </c>
      <c r="AU100" s="61">
        <f>IF(Tasks[[#This Row],[Task Name]]="","",IF(Tasks[[#This Row],[_IsSummary]],MAX(INDEX(Tasks[_LeafLateFinish],Tasks[[#This Row],[_Row]]+1):INDEX(Tasks[_LeafLateFinish],Tasks[[#This Row],[_Row]]+Tasks[[#This Row],[_Descendants]])),Tasks[[#This Row],[_LeafLateFinish]]))</f>
        <v/>
      </c>
      <c r="AV100" s="21">
        <f>IF(Tasks[[#This Row],[Task Name]]="","",IF(Tasks[[#This Row],[_IsSummary]],MIN(INDEX(Tasks[_LeafTotalSlack],Tasks[[#This Row],[_Row]]+1):INDEX(Tasks[_LeafTotalSlack],Tasks[[#This Row],[_Row]]+Tasks[[#This Row],[_Descendants]])),Tasks[[#This Row],[_LeafTotalSlack]]))</f>
        <v/>
      </c>
      <c r="AW10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3" t="n"/>
      <c r="BA10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f>IF(Tasks[[#This Row],[Task Name]]="","",IF(Tasks[[#This Row],[_Level]]&lt;=OutlineShowLevel,"Yes","No"))</f>
        <v/>
      </c>
      <c r="BE100" s="84">
        <f>IF(Tasks[[#This Row],[Task Name]]="","",IF(Tasks[[#This Row],[_IsSummary]],SUM(INDEX(Tasks[_LeafTotalWork],Tasks[[#This Row],[_Row]]+1):INDEX(Tasks[_LeafTotalWork],Tasks[[#This Row],[_Row]]+Tasks[[#This Row],[_Descendants]])),Tasks[[#This Row],[_LeafTotalWork]]))</f>
        <v/>
      </c>
      <c r="BF100" s="23" t="n"/>
      <c r="BG10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f>""</f>
        <v/>
      </c>
      <c r="BI100" s="85" t="n"/>
      <c r="BJ100" s="22" t="n"/>
      <c r="BK100" s="21">
        <f>IF(OR(Tasks[[#This Row],[Task Name]]="",Tasks[[#This Row],[Baseline Duration]]=""),"",Tasks[[#This Row],[_SpanDays]]-N(Tasks[[#This Row],[Baseline Duration]]))</f>
        <v/>
      </c>
      <c r="BL100" s="84">
        <f>IF(OR(Tasks[[#This Row],[Task Name]]="",Tasks[[#This Row],[Baseline Work]]=""),"",Tasks[[#This Row],[Work]]-N(Tasks[[#This Row],[Baseline Work]]))</f>
        <v/>
      </c>
      <c r="BM100" s="61">
        <f>IF(Tasks[[#This Row],[Task Name]]="","",IF(OR(TakeBaseline="Yes",N(Tasks[[#This Row],[Baseline Start]])=0),Tasks[[#This Row],[Start]],Tasks[[#This Row],[Baseline Start]]))</f>
        <v/>
      </c>
      <c r="BN100" s="61">
        <f>IF(Tasks[[#This Row],[Task Name]]="","",IF(OR(TakeBaseline="Yes",N(Tasks[[#This Row],[Baseline Finish]])=0),Tasks[[#This Row],[Finish]],Tasks[[#This Row],[Baseline Finish]]))</f>
        <v/>
      </c>
      <c r="BO100" s="21">
        <f>IF(Tasks[[#This Row],[Task Name]]="","",IF(OR(TakeBaseline="Yes",N(Tasks[[#This Row],[Baseline Duration]])=0),Tasks[[#This Row],[_SpanDays]],Tasks[[#This Row],[Baseline Duration]]))</f>
        <v/>
      </c>
      <c r="BP100" s="84">
        <f>IF(Tasks[[#This Row],[Task Name]]="","",IF(OR(TakeBaseline="Yes",N(Tasks[[#This Row],[Baseline Work]])=0),Tasks[[#This Row],[Work]],Tasks[[#This Row],[Baseline Work]]))</f>
        <v/>
      </c>
      <c r="BQ100" s="7" t="n"/>
      <c r="BR100" s="7" t="n"/>
      <c r="BS100" s="22" t="n"/>
      <c r="BT100" s="86" t="n"/>
      <c r="BU100" s="23" t="n"/>
      <c r="BV100" s="23" t="n"/>
      <c r="BW100" s="23" t="n"/>
      <c r="BX100" s="87">
        <f>IF(AND(Tasks[[#This Row],[_IsLeaf]]=1,ISNUMBER(Tasks[[#This Row],[Optimistic]]),ISNUMBER(Tasks[[#This Row],[Pessimistic]])),ROUND((Tasks[[#This Row],[Optimistic]]+4*N(Tasks[[#This Row],[_Days]])+Tasks[[#This Row],[Pessimistic]])/6,1),"")</f>
        <v/>
      </c>
      <c r="BY100" s="85" t="n"/>
      <c r="BZ100" s="85" t="n"/>
      <c r="CA100" s="22" t="n"/>
      <c r="CB100" s="42">
        <f>IF(Tasks[[#This Row],[Task Name]]="","",MAX(1,N(Tasks[[#This Row],[Level]])))</f>
        <v/>
      </c>
      <c r="CC100" s="42">
        <f>ROW()-ROW(Tasks[[#Headers],[ID]])</f>
        <v/>
      </c>
      <c r="CD100" s="42">
        <f>IF(OR(Tasks[[#This Row],[Task Name]]="",Tasks[[#This Row],[_Level]]&lt;=1),0,IFERROR(LOOKUP(2,1/(Tasks[[#Headers],[_Level]]:Tasks[[#This Row],[_Level]]=Tasks[[#This Row],[_Level]]-1),ROW(Tasks[[#Headers],[_Level]]:Tasks[[#This Row],[_Level]])),0))</f>
        <v/>
      </c>
      <c r="CE100" s="42">
        <f>IFERROR(N(INDEX(Tasks[_Level],Tasks[[#This Row],[_Row]]+1)),0)</f>
        <v/>
      </c>
      <c r="CF100" s="42">
        <f>AND(Tasks[[#This Row],[Task Name]]&lt;&gt;"",Tasks[[#This Row],[_NextLevel]]&gt;Tasks[[#This Row],[_Level]])</f>
        <v/>
      </c>
      <c r="CG100" s="42">
        <f>IF(Tasks[[#This Row],[_IsSummary]],COUNTIF(Tasks[WBS],Tasks[[#This Row],[WBS]]&amp;".*"),0)</f>
        <v/>
      </c>
      <c r="CH100" s="42">
        <f>IF(AND(Tasks[[#This Row],[Task Name]]&lt;&gt;"",NOT(Tasks[[#This Row],[_IsSummary]])),1,0)</f>
        <v/>
      </c>
      <c r="CI100" s="42">
        <f>IF(N(Tasks[[#This Row],[_Pred1UID]])=0,0,IFERROR(MATCH(Tasks[[#This Row],[_Pred1UID]],Tasks[UID],0),-1))</f>
        <v/>
      </c>
      <c r="CJ100" s="42">
        <f>IF(N(Tasks[[#This Row],[_Pred2UID]])=0,0,IFERROR(MATCH(Tasks[[#This Row],[_Pred2UID]],Tasks[UID],0),-1))</f>
        <v/>
      </c>
      <c r="CK100" s="42">
        <f>IF(N(Tasks[[#This Row],[_Pred3UID]])=0,0,IFERROR(MATCH(Tasks[[#This Row],[_Pred3UID]],Tasks[UID],0),-1))</f>
        <v/>
      </c>
      <c r="CL100" s="42">
        <f>IF(N(Tasks[[#This Row],[_Pred4UID]])=0,0,IFERROR(MATCH(Tasks[[#This Row],[_Pred4UID]],Tasks[UID],0),-1))</f>
        <v/>
      </c>
      <c r="CM10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0" s="88">
        <f>IF(N(Tasks[[#This Row],[Constraint Date]])=0,0,IF(AND(OR(Tasks[[#This Row],[_ConstraintCode]]=3,Tasks[[#This Row],[_ConstraintCode]]=6,Tasks[[#This Row],[_ConstraintCode]]=7),N(Tasks[[#This Row],[_Days]])&gt;1),WORKDAY.INTL(N(Tasks[[#This Row],[Constraint Date]]),-(N(Tasks[[#This Row],[_Days]])-1),WorkWeek,Holidays),N(Tasks[[#This Row],[Constraint Date]])))</f>
        <v/>
      </c>
      <c r="CO100" s="88">
        <f>IF(OR(Tasks[[#This Row],[_ConstraintCode]]=2,Tasks[[#This Row],[_ConstraintCode]]=3,Tasks[[#This Row],[_ConstraintCode]]=4,Tasks[[#This Row],[_ConstraintCode]]=6),Tasks[[#This Row],[_ConstraintStart]],0)</f>
        <v/>
      </c>
      <c r="CP100" s="88">
        <f>IF(OR(Tasks[[#This Row],[_ConstraintCode]]=2,Tasks[[#This Row],[_ConstraintCode]]=3,Tasks[[#This Row],[_ConstraintCode]]=5,Tasks[[#This Row],[_ConstraintCode]]=7),Tasks[[#This Row],[_ConstraintStart]],2958465)</f>
        <v/>
      </c>
      <c r="CQ10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0" s="88">
        <f>IF(NOT(Tasks[[#This Row],[_IsLeaf]]=1),"",IF(N(Tasks[[#This Row],[_Days]])&lt;=0,Tasks[[#This Row],[_LeafCalcStart]],WORKDAY.INTL(Tasks[[#This Row],[_LeafCalcStart]],Tasks[[#This Row],[_Days]]-1,WorkWeek,Holidays)))</f>
        <v/>
      </c>
      <c r="CS10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0" s="42">
        <f>IF(Tasks[[#This Row],[_Predecessors]]="","",TRIM(MID(SUBSTITUTE(SUBSTITUTE(SUBSTITUTE(UPPER(Tasks[[#This Row],[_Predecessors]]),";",",")," ",""),",",REPT(" ",99)),1,99)))</f>
        <v/>
      </c>
      <c r="CV100" s="42">
        <f>IF(Tasks[[#This Row],[_Pred1Text]]="","",IFERROR(VALUE(LEFT(Tasks[[#This Row],[_Pred1Text]],MIN(FIND("F",Tasks[[#This Row],[_Pred1Text]]&amp;"F"),FIND("S",Tasks[[#This Row],[_Pred1Text]]&amp;"S"),FIND("+",Tasks[[#This Row],[_Pred1Text]]&amp;"+"),FIND("-",Tasks[[#This Row],[_Pred1Text]]&amp;"-"))-1)),""))</f>
        <v/>
      </c>
      <c r="CW10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0" s="42">
        <f>IF(Tasks[[#This Row],[_Pred1Text]]="","",TRIM(MID(SUBSTITUTE(SUBSTITUTE(SUBSTITUTE(UPPER(Tasks[[#This Row],[_Predecessors]]),";",",")," ",""),",",REPT(" ",99)),100,99)))</f>
        <v/>
      </c>
      <c r="CZ100" s="42">
        <f>IF(Tasks[[#This Row],[_Pred2Text]]="","",IFERROR(VALUE(LEFT(Tasks[[#This Row],[_Pred2Text]],MIN(FIND("F",Tasks[[#This Row],[_Pred2Text]]&amp;"F"),FIND("S",Tasks[[#This Row],[_Pred2Text]]&amp;"S"),FIND("+",Tasks[[#This Row],[_Pred2Text]]&amp;"+"),FIND("-",Tasks[[#This Row],[_Pred2Text]]&amp;"-"))-1)),""))</f>
        <v/>
      </c>
      <c r="DA10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0" s="42">
        <f>IF(Tasks[[#This Row],[_Pred2Text]]="","",TRIM(MID(SUBSTITUTE(SUBSTITUTE(SUBSTITUTE(UPPER(Tasks[[#This Row],[_Predecessors]]),";",",")," ",""),",",REPT(" ",99)),199,99)))</f>
        <v/>
      </c>
      <c r="DD100" s="42">
        <f>IF(Tasks[[#This Row],[_Pred3Text]]="","",IFERROR(VALUE(LEFT(Tasks[[#This Row],[_Pred3Text]],MIN(FIND("F",Tasks[[#This Row],[_Pred3Text]]&amp;"F"),FIND("S",Tasks[[#This Row],[_Pred3Text]]&amp;"S"),FIND("+",Tasks[[#This Row],[_Pred3Text]]&amp;"+"),FIND("-",Tasks[[#This Row],[_Pred3Text]]&amp;"-"))-1)),""))</f>
        <v/>
      </c>
      <c r="DE10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0" s="42">
        <f>IF(Tasks[[#This Row],[_Pred3Text]]="","",TRIM(MID(SUBSTITUTE(SUBSTITUTE(SUBSTITUTE(UPPER(Tasks[[#This Row],[_Predecessors]]),";",",")," ",""),",",REPT(" ",99)),298,99)))</f>
        <v/>
      </c>
      <c r="DH100" s="42">
        <f>IF(Tasks[[#This Row],[_Pred4Text]]="","",IFERROR(VALUE(LEFT(Tasks[[#This Row],[_Pred4Text]],MIN(FIND("F",Tasks[[#This Row],[_Pred4Text]]&amp;"F"),FIND("S",Tasks[[#This Row],[_Pred4Text]]&amp;"S"),FIND("+",Tasks[[#This Row],[_Pred4Text]]&amp;"+"),FIND("-",Tasks[[#This Row],[_Pred4Text]]&amp;"-"))-1)),""))</f>
        <v/>
      </c>
      <c r="DI10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0" s="42">
        <f>IF(OR(Tasks[[#This Row],[Task Name]]="",Tasks[[#This Row],[_Resources]]=""),"",TRIM(MID(SUBSTITUTE(Tasks[[#This Row],[_Resources]],",",REPT(" ",99)),1,99)))</f>
        <v/>
      </c>
      <c r="DL100" s="42">
        <f>IF(Tasks[[#This Row],[_Res1Text]]="","",TRIM(MID(SUBSTITUTE(Tasks[[#This Row],[_Resources]],",",REPT(" ",99)),100,99)))</f>
        <v/>
      </c>
      <c r="DM100" s="42">
        <f>IF(Tasks[[#This Row],[_Res2Text]]="","",TRIM(MID(SUBSTITUTE(Tasks[[#This Row],[_Resources]],",",REPT(" ",99)),199,99)))</f>
        <v/>
      </c>
      <c r="DN100" s="42">
        <f>IF(Tasks[[#This Row],[_Res3Text]]="","",TRIM(MID(SUBSTITUTE(Tasks[[#This Row],[_Resources]],",",REPT(" ",99)),298,99)))</f>
        <v/>
      </c>
      <c r="DO100" s="42">
        <f>IF(Tasks[[#This Row],[_Res1Text]]="",0,IFERROR(MATCH(TRIM(LEFT(Tasks[[#This Row],[_Res1Text]],FIND("[",Tasks[[#This Row],[_Res1Text]]&amp;"[")-1)),res_Name,0),IFERROR(MATCH(TRIM(LEFT(Tasks[[#This Row],[_Res1Text]],FIND("[",Tasks[[#This Row],[_Res1Text]]&amp;"[")-1)),res_Initials,0),0)))</f>
        <v/>
      </c>
      <c r="DP100" s="42">
        <f>IF(Tasks[[#This Row],[_Res2Text]]="",0,IFERROR(MATCH(TRIM(LEFT(Tasks[[#This Row],[_Res2Text]],FIND("[",Tasks[[#This Row],[_Res2Text]]&amp;"[")-1)),res_Name,0),IFERROR(MATCH(TRIM(LEFT(Tasks[[#This Row],[_Res2Text]],FIND("[",Tasks[[#This Row],[_Res2Text]]&amp;"[")-1)),res_Initials,0),0)))</f>
        <v/>
      </c>
      <c r="DQ100" s="42">
        <f>IF(Tasks[[#This Row],[_Res3Text]]="",0,IFERROR(MATCH(TRIM(LEFT(Tasks[[#This Row],[_Res3Text]],FIND("[",Tasks[[#This Row],[_Res3Text]]&amp;"[")-1)),res_Name,0),IFERROR(MATCH(TRIM(LEFT(Tasks[[#This Row],[_Res3Text]],FIND("[",Tasks[[#This Row],[_Res3Text]]&amp;"[")-1)),res_Initials,0),0)))</f>
        <v/>
      </c>
      <c r="DR100" s="42">
        <f>IF(Tasks[[#This Row],[_Res4Text]]="",0,IFERROR(MATCH(TRIM(LEFT(Tasks[[#This Row],[_Res4Text]],FIND("[",Tasks[[#This Row],[_Res4Text]]&amp;"[")-1)),res_Name,0),IFERROR(MATCH(TRIM(LEFT(Tasks[[#This Row],[_Res4Text]],FIND("[",Tasks[[#This Row],[_Res4Text]]&amp;"[")-1)),res_Initials,0),0)))</f>
        <v/>
      </c>
      <c r="DS100" s="42">
        <f>IF(Tasks[[#This Row],[_Res1Text]]="","",IF(Tasks[[#This Row],[_Res1Row]]&gt;0,INDEX(res_Name,Tasks[[#This Row],[_Res1Row]]),TRIM(LEFT(Tasks[[#This Row],[_Res1Text]],FIND("[",Tasks[[#This Row],[_Res1Text]]&amp;"[")-1))))</f>
        <v/>
      </c>
      <c r="DT10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0" s="42">
        <f>IF(NOT(Tasks[[#This Row],[_IsLeaf]]=1),0,(Tasks[[#This Row],[_Resource1]]&lt;&gt;"")+(Tasks[[#This Row],[_Res2]]&lt;&gt;"")+(Tasks[[#This Row],[_Res3]]&lt;&gt;"")+(Tasks[[#This Row],[_Res4]]&lt;&gt;""))</f>
        <v/>
      </c>
      <c r="DV100" s="42">
        <f>IF(Tasks[[#This Row],[_Res2Text]]="","",IF(Tasks[[#This Row],[_Res2Row]]&gt;0,INDEX(res_Name,Tasks[[#This Row],[_Res2Row]]),TRIM(LEFT(Tasks[[#This Row],[_Res2Text]],FIND("[",Tasks[[#This Row],[_Res2Text]]&amp;"[")-1))))</f>
        <v/>
      </c>
      <c r="DW10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0" s="42">
        <f>IF(OR(NOT(Tasks[[#This Row],[_IsLeaf]]=1),Tasks[[#This Row],[_Res2Row]]=0),0,N(Tasks[[#This Row],[_Days]])*HoursPerDay*IF(Tasks[[#This Row],[_Res2Units]]="",DefaultUnits,Tasks[[#This Row],[_Res2Units]]))</f>
        <v/>
      </c>
      <c r="DY100" s="42">
        <f>IF(AND(AND(Tasks[[#This Row],[_IsLeaf]]=1,Tasks[[#This Row],[_LeafTotalWork]]&gt;0),Tasks[[#This Row],[_Res2Work]]&gt;0),Tasks[[#This Row],[_Res2Work]]/(Tasks[[#This Row],[_FinishWorkday]]-Tasks[[#This Row],[_StartWorkday]]+1),0)</f>
        <v/>
      </c>
      <c r="DZ100" s="42">
        <f>Tasks[[#This Row],[_Res2WorkPerWD]]*MAX(0,Tasks[[#This Row],[_StartWorkday]]-1)</f>
        <v/>
      </c>
      <c r="EA100" s="42">
        <f>Tasks[[#This Row],[_Res2Work]]*Tasks[[#This Row],[_LeafProgress]]</f>
        <v/>
      </c>
      <c r="EB100" s="42">
        <f>IF(Tasks[[#This Row],[_Res3Text]]="","",IF(Tasks[[#This Row],[_Res3Row]]&gt;0,INDEX(res_Name,Tasks[[#This Row],[_Res3Row]]),TRIM(LEFT(Tasks[[#This Row],[_Res3Text]],FIND("[",Tasks[[#This Row],[_Res3Text]]&amp;"[")-1))))</f>
        <v/>
      </c>
      <c r="EC10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0" s="42">
        <f>IF(OR(NOT(Tasks[[#This Row],[_IsLeaf]]=1),Tasks[[#This Row],[_Res3Row]]=0),0,N(Tasks[[#This Row],[_Days]])*HoursPerDay*IF(Tasks[[#This Row],[_Res3Units]]="",DefaultUnits,Tasks[[#This Row],[_Res3Units]]))</f>
        <v/>
      </c>
      <c r="EE100" s="42">
        <f>IF(AND(AND(Tasks[[#This Row],[_IsLeaf]]=1,Tasks[[#This Row],[_LeafTotalWork]]&gt;0),Tasks[[#This Row],[_Res3Work]]&gt;0),Tasks[[#This Row],[_Res3Work]]/(Tasks[[#This Row],[_FinishWorkday]]-Tasks[[#This Row],[_StartWorkday]]+1),0)</f>
        <v/>
      </c>
      <c r="EF100" s="42">
        <f>Tasks[[#This Row],[_Res3WorkPerWD]]*MAX(0,Tasks[[#This Row],[_StartWorkday]]-1)</f>
        <v/>
      </c>
      <c r="EG100" s="42">
        <f>Tasks[[#This Row],[_Res3Work]]*Tasks[[#This Row],[_LeafProgress]]</f>
        <v/>
      </c>
      <c r="EH100" s="42">
        <f>IF(Tasks[[#This Row],[_Res4Text]]="","",IF(Tasks[[#This Row],[_Res4Row]]&gt;0,INDEX(res_Name,Tasks[[#This Row],[_Res4Row]]),TRIM(LEFT(Tasks[[#This Row],[_Res4Text]],FIND("[",Tasks[[#This Row],[_Res4Text]]&amp;"[")-1))))</f>
        <v/>
      </c>
      <c r="EI10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0" s="42">
        <f>IF(OR(NOT(Tasks[[#This Row],[_IsLeaf]]=1),Tasks[[#This Row],[_Res4Row]]=0),0,N(Tasks[[#This Row],[_Days]])*HoursPerDay*IF(Tasks[[#This Row],[_Res4Units]]="",DefaultUnits,Tasks[[#This Row],[_Res4Units]]))</f>
        <v/>
      </c>
      <c r="EK100" s="42">
        <f>IF(AND(AND(Tasks[[#This Row],[_IsLeaf]]=1,Tasks[[#This Row],[_LeafTotalWork]]&gt;0),Tasks[[#This Row],[_Res4Work]]&gt;0),Tasks[[#This Row],[_Res4Work]]/(Tasks[[#This Row],[_FinishWorkday]]-Tasks[[#This Row],[_StartWorkday]]+1),0)</f>
        <v/>
      </c>
      <c r="EL100" s="42">
        <f>Tasks[[#This Row],[_Res4WorkPerWD]]*MAX(0,Tasks[[#This Row],[_StartWorkday]]-1)</f>
        <v/>
      </c>
      <c r="EM100" s="42">
        <f>Tasks[[#This Row],[_Res4Work]]*Tasks[[#This Row],[_LeafProgress]]</f>
        <v/>
      </c>
      <c r="EN100" s="42">
        <f>IF(ISNUMBER(Tasks[[#This Row],[% Complete]]),Tasks[[#This Row],[% Complete]],IF(Tasks[[#This Row],[Stage]]="",0,IFERROR(INDEX(stg_Pct,MATCH(Tasks[[#This Row],[Stage]],stg_Name,0)),0)))</f>
        <v/>
      </c>
      <c r="EO100" s="42">
        <f>IF(NOT(Tasks[[#This Row],[_IsLeaf]]=1),0,IF(N(Tasks[[#This Row],[Actual Finish]])&gt;0,1,MIN(1,Tasks[[#This Row],[_Pct]])))</f>
        <v/>
      </c>
      <c r="EP100" s="42">
        <f>IF(OR(NOT(Tasks[[#This Row],[_IsLeaf]]=1),Tasks[[#This Row],[_Res1Row]]=0),0,N(Tasks[[#This Row],[_Days]])*HoursPerDay*IF(Tasks[[#This Row],[_Units1]]="",DefaultUnits,Tasks[[#This Row],[_Units1]]))</f>
        <v/>
      </c>
      <c r="EQ100" s="42">
        <f>Tasks[[#This Row],[_LeafWork]]+Tasks[[#This Row],[_Res2Work]]+Tasks[[#This Row],[_Res3Work]]+Tasks[[#This Row],[_Res4Work]]</f>
        <v/>
      </c>
      <c r="ER10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0" s="42">
        <f>IF(NOT(Tasks[[#This Row],[_IsLeaf]]=1),0,MAX(_xlfn.MAXIFS(Tasks[_Row],Tasks[_Pred1UID],Tasks[[#This Row],[UID]]),_xlfn.MAXIFS(Tasks[_Row],Tasks[_Pred2UID],Tasks[[#This Row],[UID]]),_xlfn.MAXIFS(Tasks[_Row],Tasks[_Pred3UID],Tasks[[#This Row],[UID]]),_xlfn.MAXIFS(Tasks[_Row],Tasks[_Pred4UID],Tasks[[#This Row],[UID]])))</f>
        <v/>
      </c>
      <c r="FA10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0" s="88">
        <f>IF(NOT(Tasks[[#This Row],[_IsLeaf]]=1),"",IF(N(Tasks[[#This Row],[_Days]])&lt;=0,Tasks[[#This Row],[_LeafLateFinish]],WORKDAY.INTL(Tasks[[#This Row],[_LeafLateFinish]],-(Tasks[[#This Row],[_Days]]-1),WorkWeek,Holidays)))</f>
        <v/>
      </c>
      <c r="FD10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0" s="42">
        <f>AND(Tasks[[#This Row],[_IsLeaf]]=1,Tasks[[#This Row],[_LeafProgress]]&lt;1,N(Tasks[[#This Row],[_LeafTotalSlack]])&lt;=CriticalSlackDays)</f>
        <v/>
      </c>
      <c r="FF100" s="42">
        <f>IF(AND(Tasks[[#This Row],[_IsLeaf]]=1,Tasks[[#This Row],[_ConstraintCode]]=1,Tasks[[#This Row],[Mode]]&lt;&gt;"Manual",N(Tasks[[#This Row],[Actual Start]])=0),MAX(0,N(Tasks[[#This Row],[Free Slack]])),0)</f>
        <v/>
      </c>
      <c r="FG100" s="88">
        <f>IF(NOT(Tasks[[#This Row],[_IsLeaf]]=1),"",IF(Tasks[[#This Row],[_AlapShift]]=0,Tasks[[#This Row],[_LeafCalcStart]],WORKDAY.INTL(Tasks[[#This Row],[_LeafCalcStart]],Tasks[[#This Row],[_AlapShift]],WorkWeek,Holidays)))</f>
        <v/>
      </c>
      <c r="FH100" s="88">
        <f>IF(NOT(Tasks[[#This Row],[_IsLeaf]]=1),"",IF(Tasks[[#This Row],[_AlapShift]]=0,Tasks[[#This Row],[_LeafCalcFinish]],WORKDAY.INTL(Tasks[[#This Row],[_LeafCalcFinish]],Tasks[[#This Row],[_AlapShift]],WorkWeek,Holidays)))</f>
        <v/>
      </c>
      <c r="FI100" s="88">
        <f>IF(NOT(Tasks[[#This Row],[_IsLeaf]]=1),"",IF(Tasks[[#This Row],[_AlapShift]]=0,Tasks[[#This Row],[_LeafFcstStart]],WORKDAY.INTL(Tasks[[#This Row],[_LeafFcstStart]],Tasks[[#This Row],[_AlapShift]],WorkWeek,Holidays)))</f>
        <v/>
      </c>
      <c r="FJ100" s="88">
        <f>IF(NOT(Tasks[[#This Row],[_IsLeaf]]=1),"",IF(Tasks[[#This Row],[_AlapShift]]=0,Tasks[[#This Row],[_LeafFcstFinish]],WORKDAY.INTL(Tasks[[#This Row],[_LeafFcstFinish]],Tasks[[#This Row],[_AlapShift]],WorkWeek,Holidays)))</f>
        <v/>
      </c>
      <c r="FK100" s="88">
        <f>IF(Tasks[[#This Row],[Task Name]]="","",IF(Tasks[[#This Row],[_IsSummary]],MIN(INDEX(Tasks[_ShownCalcStart],Tasks[[#This Row],[_Row]]+1):INDEX(Tasks[_ShownCalcStart],Tasks[[#This Row],[_Row]]+Tasks[[#This Row],[_Descendants]])),Tasks[[#This Row],[_ShownCalcStart]]))</f>
        <v/>
      </c>
      <c r="FL100" s="88">
        <f>IF(Tasks[[#This Row],[Task Name]]="","",IF(Tasks[[#This Row],[_IsSummary]],MAX(INDEX(Tasks[_ShownCalcFinish],Tasks[[#This Row],[_Row]]+1):INDEX(Tasks[_ShownCalcFinish],Tasks[[#This Row],[_Row]]+Tasks[[#This Row],[_Descendants]])),Tasks[[#This Row],[_ShownCalcFinish]]))</f>
        <v/>
      </c>
      <c r="FM10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0" s="42">
        <f>IF(AND(Tasks[[#This Row],[_IsLeaf]]=1,Tasks[[#This Row],[_LeafTotalWork]]&gt;0),NETWORKDAYS.INTL(ProjectStart,Tasks[[#This Row],[_ShownFcstStart]],WorkWeek,Holidays),0)</f>
        <v/>
      </c>
      <c r="FZ100" s="42">
        <f>IF(AND(Tasks[[#This Row],[_IsLeaf]]=1,Tasks[[#This Row],[_LeafTotalWork]]&gt;0),MAX(Tasks[[#This Row],[_StartWorkday]],NETWORKDAYS.INTL(ProjectStart,Tasks[[#This Row],[_ShownFcstFinish]],WorkWeek,Holidays)),0)</f>
        <v/>
      </c>
      <c r="GA100" s="42">
        <f>IF(AND(Tasks[[#This Row],[_IsLeaf]]=1,Tasks[[#This Row],[_LeafTotalWork]]&gt;0),Tasks[[#This Row],[_LeafWork]]/(Tasks[[#This Row],[_FinishWorkday]]-Tasks[[#This Row],[_StartWorkday]]+1),0)</f>
        <v/>
      </c>
      <c r="GB100" s="42">
        <f>Tasks[[#This Row],[_WorkPerWorkday]]*(Tasks[[#This Row],[_StartWorkday]]-1)</f>
        <v/>
      </c>
      <c r="GC100" s="42">
        <f>IF(Tasks[[#This Row],[_IsLeaf]]=1,MAX(N(Tasks[[#This Row],[_Days]]),0.1),0)</f>
        <v/>
      </c>
      <c r="GD100" s="42">
        <f>Tasks[[#This Row],[_WeightDur]]*Tasks[[#This Row],[_LeafProgress]]</f>
        <v/>
      </c>
      <c r="GE100" s="42">
        <f>Tasks[[#This Row],[_WeightDur]]*Tasks[[#This Row],[_PlannedPct]]</f>
        <v/>
      </c>
      <c r="GF10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0" s="42">
        <f>IF(AND(Tasks[[#This Row],[_IsLeaf]]=1,N(Tasks[[#This Row],[_Days]])=0,Tasks[[#This Row],[_LeafProgress]]&lt;1),Tasks[[#This Row],[_ShownFcstFinish]]+Tasks[[#This Row],[_Row]]/100000,"")</f>
        <v/>
      </c>
      <c r="GH10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0" s="42">
        <f>IF(Tasks[[#This Row],[Task Name]]="","",LEFT(Tasks[[#This Row],[WBS]],FIND(".",Tasks[[#This Row],[WBS]]&amp;".")-1))</f>
        <v/>
      </c>
      <c r="GJ100" s="42">
        <f>IF(AND(Tasks[[#This Row],[Task Name]]&lt;&gt;"",Tasks[[#This Row],[_Level]]=1),Tasks[[#This Row],[_Row]],"")</f>
        <v/>
      </c>
      <c r="GK100" s="42">
        <f>IF(AND(Tasks[[#This Row],[_IsLeaf]]=1,N(Tasks[[#This Row],[_Days]])=0),Tasks[[#This Row],[Planned Finish]]+Tasks[[#This Row],[_Row]]/100000,"")</f>
        <v/>
      </c>
      <c r="GL100" s="42">
        <f>IF(AND(Tasks[[#This Row],[_IsLeaf]]=1,Tasks[[#This Row],[_LeafProgress]]&lt;1,OR(N(Tasks[[#This Row],[Finish Var]])&gt;0,Tasks[[#This Row],[Status]]="Late Start")),MAX(0,Tasks[[#This Row],[Finish Var]])+1-Tasks[[#This Row],[_Row]]/1000000,"")</f>
        <v/>
      </c>
      <c r="GM100" s="42">
        <f>IF(AND(Tasks[[#This Row],[_IsLeaf]]=1,N(Tasks[[#This Row],[Actual Start]])=0,Tasks[[#This Row],[_ShownFcstStart]]&gt;=StatusDate,Tasks[[#This Row],[_ShownFcstStart]]&lt;=LookaheadEnd),Tasks[[#This Row],[_ShownFcstStart]]+Tasks[[#This Row],[_Row]]/100000,"")</f>
        <v/>
      </c>
      <c r="GN100" s="42">
        <f>IF(AND(Tasks[[#This Row],[_IsLeaf]]=1,Tasks[[#This Row],[_LeafProgress]]&lt;1,Tasks[[#This Row],[_ShownFcstFinish]]&gt;=StatusDate,Tasks[[#This Row],[_ShownFcstFinish]]&lt;=LookaheadEnd),Tasks[[#This Row],[_ShownFcstFinish]]+Tasks[[#This Row],[_Row]]/100000,"")</f>
        <v/>
      </c>
      <c r="GO100" s="42">
        <f>IF(Tasks[[#This Row],[_LeafCritical]],Tasks[[#This Row],[_ShownFcstStart]]+Tasks[[#This Row],[_Row]]/100000,"")</f>
        <v/>
      </c>
      <c r="GP100" s="42">
        <f>Tasks[[#This Row],[_LeafWork]]*Tasks[[#This Row],[_LeafProgress]]</f>
        <v/>
      </c>
      <c r="GQ100" s="88">
        <f>IF(AND(Tasks[[#This Row],[_IsLeaf]]=1,Tasks[[#This Row],[_LeafProgress]]&gt;=1),IF(N(Tasks[[#This Row],[Actual Finish]])&gt;0,Tasks[[#This Row],[Actual Finish]],Tasks[[#This Row],[_ShownFcstFinish]]),"")</f>
        <v/>
      </c>
      <c r="GR100" s="42">
        <f>IF(Tasks[[#This Row],[_IsLeaf]]=1,N(Tasks[[#This Row],[Story Points]]),0)</f>
        <v/>
      </c>
      <c r="GS100" s="42">
        <f>""</f>
        <v/>
      </c>
      <c r="GT100" s="42">
        <f>IF(Tasks[[#This Row],[Task Name]]="",FALSE(),AND(Tasks[[#This Row],[_IsLeaf]]=1,N(Tasks[[#This Row],[_Days]])=0))</f>
        <v/>
      </c>
      <c r="GU100" s="88">
        <f>IF(Tasks[[#This Row],[Task Name]]="",0,IF(AND(Tasks[[#This Row],[_IsLeaf]]=1,NOT(Tasks[[#This Row],[_IsMilestone]]),N(Tasks[[#This Row],[Progress]])&gt;0),Tasks[[#This Row],[Start]],0))</f>
        <v/>
      </c>
      <c r="GV100" s="88">
        <f>IF(Tasks[[#This Row],[_DoneFrom]]=0,0,IF(Tasks[[#This Row],[Progress]]&gt;=1,Tasks[[#This Row],[Finish]],MAX(Tasks[[#This Row],[_DoneFrom]],Tasks[[#This Row],[Start]]+ROUND((Tasks[[#This Row],[Finish]]-Tasks[[#This Row],[Start]]+1)*Tasks[[#This Row],[Progress]],0)-1)))</f>
        <v/>
      </c>
      <c r="GW100" s="88">
        <f>IF(Tasks[[#This Row],[Task Name]]="",0,IF(OR(NOT(Tasks[[#This Row],[_IsLeaf]]=1),Tasks[[#This Row],[_IsMilestone]],N(Tasks[[#This Row],[Progress]])&gt;=1),0,IF(Tasks[[#This Row],[_DoneTo]]&gt;0,Tasks[[#This Row],[_DoneTo]]+1,Tasks[[#This Row],[Start]])))</f>
        <v/>
      </c>
      <c r="GX100" s="88">
        <f>IF(Tasks[[#This Row],[_RemFrom]]=0,0,Tasks[[#This Row],[Finish]])</f>
        <v/>
      </c>
      <c r="GY100" s="42">
        <f>IF(Tasks[[#This Row],[Task Name]]="",FALSE(),OR(NOT(BaselineSet),N(Tasks[[#This Row],[Baseline Start]])&gt;0))</f>
        <v/>
      </c>
      <c r="GZ100" s="42">
        <f>IF(AND(Sandbox="Yes",L_PARSE_DURATION(Tasks[[#This Row],[Sandbox Duration]])&lt;&gt;""),L_PARSE_DURATION(Tasks[[#This Row],[Sandbox Duration]]),L_PARSE_DURATION(Tasks[[#This Row],[Duration]]))</f>
        <v/>
      </c>
      <c r="HA10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0" s="42">
        <f>IF(Tasks[[#This Row],[_IsLeaf]]=1,Tasks[[#This Row],[_Row]],"")</f>
        <v/>
      </c>
      <c r="HD100" s="42">
        <f>IFERROR(INDEX(Tasks[UID],SMALL(Tasks[_PickKey],Tasks[[#This Row],[_Row]]))&amp;" "&amp;INDEX(Tasks[Task Name],SMALL(Tasks[_PickKey],Tasks[[#This Row],[_Row]])),"")</f>
        <v/>
      </c>
      <c r="HE100" s="42">
        <f>IF(Tasks[[#This Row],[Task Name]]="","",IF(Tasks[[#This Row],[_IsSummary]],NETWORKDAYS.INTL(Tasks[[#This Row],[Start]],Tasks[[#This Row],[Finish]],WorkWeek,Holidays),N(Tasks[[#This Row],[_Days]])))</f>
        <v/>
      </c>
      <c r="HF100" s="42">
        <f>IF(Tasks[[#This Row],[Expected]]="",0,((Tasks[[#This Row],[Pessimistic]]-Tasks[[#This Row],[Optimistic]])/6)^2)</f>
        <v/>
      </c>
      <c r="HG100" s="42">
        <f>IF(Tasks[[#This Row],[Expected]]="",0,Tasks[[#This Row],[Expected]]-N(Tasks[[#This Row],[_Days]]))</f>
        <v/>
      </c>
    </row>
    <row r="101">
      <c r="A101" s="21">
        <f>IF(Tasks[[#This Row],[Task Name]]="","",COUNTA(Tasks[[#Headers],[Task Name]]:Tasks[[#This Row],[Task Name]])-1)</f>
        <v/>
      </c>
      <c r="B101" s="22" t="n">
        <v>109</v>
      </c>
      <c r="C101" s="22" t="n"/>
      <c r="D101" s="23" t="n"/>
      <c r="E101" s="22" t="n"/>
      <c r="F101" s="23" t="n"/>
      <c r="G101" s="22" t="n"/>
      <c r="H101" s="22" t="n"/>
      <c r="I101" s="23" t="n"/>
      <c r="J101" s="22" t="n"/>
      <c r="K101" s="22" t="n"/>
      <c r="L101" s="23" t="n"/>
      <c r="M101" s="22" t="n"/>
      <c r="N101" s="22" t="n"/>
      <c r="O101" s="23" t="n"/>
      <c r="P101" s="22" t="n"/>
      <c r="Q101" s="22" t="n"/>
      <c r="R101" s="23" t="n"/>
      <c r="S101" s="23" t="n"/>
      <c r="T101" s="82" t="n"/>
      <c r="U101" s="23" t="n"/>
      <c r="V101" s="82" t="n"/>
      <c r="W101" s="23" t="n"/>
      <c r="X101" s="82" t="n"/>
      <c r="Y101" s="23" t="n"/>
      <c r="Z101" s="82" t="n"/>
      <c r="AA101" s="23" t="n"/>
      <c r="AB101" s="23" t="n"/>
      <c r="AC101" s="7" t="n"/>
      <c r="AD101" s="7" t="n"/>
      <c r="AE101" s="61">
        <f>IF(Tasks[[#This Row],[Task Name]]="","",IF(Tasks[[#This Row],[_IsSummary]],MIN(INDEX(Tasks[_ShownFcstStart],Tasks[[#This Row],[_Row]]+1):INDEX(Tasks[_ShownFcstStart],Tasks[[#This Row],[_Row]]+Tasks[[#This Row],[_Descendants]])),Tasks[[#This Row],[_ShownFcstStart]]))</f>
        <v/>
      </c>
      <c r="AF101" s="61">
        <f>IF(Tasks[[#This Row],[Task Name]]="","",IF(Tasks[[#This Row],[_IsSummary]],MAX(INDEX(Tasks[_ShownFcstFinish],Tasks[[#This Row],[_Row]]+1):INDEX(Tasks[_ShownFcstFinish],Tasks[[#This Row],[_Row]]+Tasks[[#This Row],[_Descendants]])),Tasks[[#This Row],[_ShownFcstFinish]]))</f>
        <v/>
      </c>
      <c r="AG101" s="21">
        <f>""</f>
        <v/>
      </c>
      <c r="AH101" s="23" t="n"/>
      <c r="AI10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1" s="7" t="n"/>
      <c r="AK101" s="22" t="n"/>
      <c r="AL101" s="23" t="n"/>
      <c r="AM101" s="7" t="n"/>
      <c r="AN101" s="21">
        <f>IF(Tasks[[#This Row],[Task Name]]="","",IF(Tasks[[#This Row],[Finish]]&gt;=Tasks[[#This Row],[Planned Finish]],NETWORKDAYS.INTL(Tasks[[#This Row],[Planned Finish]],Tasks[[#This Row],[Finish]],WorkWeek,Holidays)-1,1-NETWORKDAYS.INTL(Tasks[[#This Row],[Finish]],Tasks[[#This Row],[Planned Finish]],WorkWeek,Holidays)))</f>
        <v/>
      </c>
      <c r="AO101" s="21">
        <f>IF(Tasks[[#This Row],[Task Name]]="","",IF(Tasks[[#This Row],[Progress]]&gt;=1,"Complete",IF(OR(N(Tasks[[#This Row],[Actual Start]])&gt;0,Tasks[[#This Row],[Progress]]&gt;0),IF(Tasks[[#This Row],[Finish Var]]&gt;0,"Behind","In Progress"),IF(Tasks[[#This Row],[Planned Start]]&lt;StatusDate,"Late Start","Not Started"))))</f>
        <v/>
      </c>
      <c r="AP101" s="21">
        <f>IF(Tasks[[#This Row],[Task Name]]="","",IF(IF(Tasks[[#This Row],[_IsSummary]],COUNTIF(INDEX(Tasks[_LeafCritical],Tasks[[#This Row],[_Row]]+1):INDEX(Tasks[_LeafCritical],Tasks[[#This Row],[_Row]]+Tasks[[#This Row],[_Descendants]]),TRUE())&gt;0,Tasks[[#This Row],[_LeafCritical]]),"Yes",""))</f>
        <v/>
      </c>
      <c r="AQ101" s="61">
        <f>IF(Tasks[[#This Row],[Task Name]]="","",IF(N(Tasks[[#This Row],[Baseline Start]])&gt;0,Tasks[[#This Row],[Baseline Start]],Tasks[[#This Row],[_CalcStart]]))</f>
        <v/>
      </c>
      <c r="AR101" s="61">
        <f>IF(Tasks[[#This Row],[Task Name]]="","",IF(N(Tasks[[#This Row],[Baseline Finish]])&gt;0,Tasks[[#This Row],[Baseline Finish]],Tasks[[#This Row],[_CalcFinish]]))</f>
        <v/>
      </c>
      <c r="AS101" s="21">
        <f>IF(Tasks[[#This Row],[Task Name]]="","",IF(Tasks[[#This Row],[Start]]&gt;=Tasks[[#This Row],[Planned Start]],NETWORKDAYS.INTL(Tasks[[#This Row],[Planned Start]],Tasks[[#This Row],[Start]],WorkWeek,Holidays)-1,1-NETWORKDAYS.INTL(Tasks[[#This Row],[Start]],Tasks[[#This Row],[Planned Start]],WorkWeek,Holidays)))</f>
        <v/>
      </c>
      <c r="AT101" s="61">
        <f>IF(Tasks[[#This Row],[Task Name]]="","",IF(Tasks[[#This Row],[_IsSummary]],MIN(INDEX(Tasks[_LeafLateStart],Tasks[[#This Row],[_Row]]+1):INDEX(Tasks[_LeafLateStart],Tasks[[#This Row],[_Row]]+Tasks[[#This Row],[_Descendants]])),Tasks[[#This Row],[_LeafLateStart]]))</f>
        <v/>
      </c>
      <c r="AU101" s="61">
        <f>IF(Tasks[[#This Row],[Task Name]]="","",IF(Tasks[[#This Row],[_IsSummary]],MAX(INDEX(Tasks[_LeafLateFinish],Tasks[[#This Row],[_Row]]+1):INDEX(Tasks[_LeafLateFinish],Tasks[[#This Row],[_Row]]+Tasks[[#This Row],[_Descendants]])),Tasks[[#This Row],[_LeafLateFinish]]))</f>
        <v/>
      </c>
      <c r="AV101" s="21">
        <f>IF(Tasks[[#This Row],[Task Name]]="","",IF(Tasks[[#This Row],[_IsSummary]],MIN(INDEX(Tasks[_LeafTotalSlack],Tasks[[#This Row],[_Row]]+1):INDEX(Tasks[_LeafTotalSlack],Tasks[[#This Row],[_Row]]+Tasks[[#This Row],[_Descendants]])),Tasks[[#This Row],[_LeafTotalSlack]]))</f>
        <v/>
      </c>
      <c r="AW10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3" t="n"/>
      <c r="BA10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f>IF(Tasks[[#This Row],[Task Name]]="","",IF(Tasks[[#This Row],[_Level]]&lt;=OutlineShowLevel,"Yes","No"))</f>
        <v/>
      </c>
      <c r="BE101" s="84">
        <f>IF(Tasks[[#This Row],[Task Name]]="","",IF(Tasks[[#This Row],[_IsSummary]],SUM(INDEX(Tasks[_LeafTotalWork],Tasks[[#This Row],[_Row]]+1):INDEX(Tasks[_LeafTotalWork],Tasks[[#This Row],[_Row]]+Tasks[[#This Row],[_Descendants]])),Tasks[[#This Row],[_LeafTotalWork]]))</f>
        <v/>
      </c>
      <c r="BF101" s="23" t="n"/>
      <c r="BG10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f>""</f>
        <v/>
      </c>
      <c r="BI101" s="85" t="n"/>
      <c r="BJ101" s="22" t="n"/>
      <c r="BK101" s="21">
        <f>IF(OR(Tasks[[#This Row],[Task Name]]="",Tasks[[#This Row],[Baseline Duration]]=""),"",Tasks[[#This Row],[_SpanDays]]-N(Tasks[[#This Row],[Baseline Duration]]))</f>
        <v/>
      </c>
      <c r="BL101" s="84">
        <f>IF(OR(Tasks[[#This Row],[Task Name]]="",Tasks[[#This Row],[Baseline Work]]=""),"",Tasks[[#This Row],[Work]]-N(Tasks[[#This Row],[Baseline Work]]))</f>
        <v/>
      </c>
      <c r="BM101" s="61">
        <f>IF(Tasks[[#This Row],[Task Name]]="","",IF(OR(TakeBaseline="Yes",N(Tasks[[#This Row],[Baseline Start]])=0),Tasks[[#This Row],[Start]],Tasks[[#This Row],[Baseline Start]]))</f>
        <v/>
      </c>
      <c r="BN101" s="61">
        <f>IF(Tasks[[#This Row],[Task Name]]="","",IF(OR(TakeBaseline="Yes",N(Tasks[[#This Row],[Baseline Finish]])=0),Tasks[[#This Row],[Finish]],Tasks[[#This Row],[Baseline Finish]]))</f>
        <v/>
      </c>
      <c r="BO101" s="21">
        <f>IF(Tasks[[#This Row],[Task Name]]="","",IF(OR(TakeBaseline="Yes",N(Tasks[[#This Row],[Baseline Duration]])=0),Tasks[[#This Row],[_SpanDays]],Tasks[[#This Row],[Baseline Duration]]))</f>
        <v/>
      </c>
      <c r="BP101" s="84">
        <f>IF(Tasks[[#This Row],[Task Name]]="","",IF(OR(TakeBaseline="Yes",N(Tasks[[#This Row],[Baseline Work]])=0),Tasks[[#This Row],[Work]],Tasks[[#This Row],[Baseline Work]]))</f>
        <v/>
      </c>
      <c r="BQ101" s="7" t="n"/>
      <c r="BR101" s="7" t="n"/>
      <c r="BS101" s="22" t="n"/>
      <c r="BT101" s="86" t="n"/>
      <c r="BU101" s="23" t="n"/>
      <c r="BV101" s="23" t="n"/>
      <c r="BW101" s="23" t="n"/>
      <c r="BX101" s="87">
        <f>IF(AND(Tasks[[#This Row],[_IsLeaf]]=1,ISNUMBER(Tasks[[#This Row],[Optimistic]]),ISNUMBER(Tasks[[#This Row],[Pessimistic]])),ROUND((Tasks[[#This Row],[Optimistic]]+4*N(Tasks[[#This Row],[_Days]])+Tasks[[#This Row],[Pessimistic]])/6,1),"")</f>
        <v/>
      </c>
      <c r="BY101" s="85" t="n"/>
      <c r="BZ101" s="85" t="n"/>
      <c r="CA101" s="22" t="n"/>
      <c r="CB101" s="42">
        <f>IF(Tasks[[#This Row],[Task Name]]="","",MAX(1,N(Tasks[[#This Row],[Level]])))</f>
        <v/>
      </c>
      <c r="CC101" s="42">
        <f>ROW()-ROW(Tasks[[#Headers],[ID]])</f>
        <v/>
      </c>
      <c r="CD101" s="42">
        <f>IF(OR(Tasks[[#This Row],[Task Name]]="",Tasks[[#This Row],[_Level]]&lt;=1),0,IFERROR(LOOKUP(2,1/(Tasks[[#Headers],[_Level]]:Tasks[[#This Row],[_Level]]=Tasks[[#This Row],[_Level]]-1),ROW(Tasks[[#Headers],[_Level]]:Tasks[[#This Row],[_Level]])),0))</f>
        <v/>
      </c>
      <c r="CE101" s="42">
        <f>IFERROR(N(INDEX(Tasks[_Level],Tasks[[#This Row],[_Row]]+1)),0)</f>
        <v/>
      </c>
      <c r="CF101" s="42">
        <f>AND(Tasks[[#This Row],[Task Name]]&lt;&gt;"",Tasks[[#This Row],[_NextLevel]]&gt;Tasks[[#This Row],[_Level]])</f>
        <v/>
      </c>
      <c r="CG101" s="42">
        <f>IF(Tasks[[#This Row],[_IsSummary]],COUNTIF(Tasks[WBS],Tasks[[#This Row],[WBS]]&amp;".*"),0)</f>
        <v/>
      </c>
      <c r="CH101" s="42">
        <f>IF(AND(Tasks[[#This Row],[Task Name]]&lt;&gt;"",NOT(Tasks[[#This Row],[_IsSummary]])),1,0)</f>
        <v/>
      </c>
      <c r="CI101" s="42">
        <f>IF(N(Tasks[[#This Row],[_Pred1UID]])=0,0,IFERROR(MATCH(Tasks[[#This Row],[_Pred1UID]],Tasks[UID],0),-1))</f>
        <v/>
      </c>
      <c r="CJ101" s="42">
        <f>IF(N(Tasks[[#This Row],[_Pred2UID]])=0,0,IFERROR(MATCH(Tasks[[#This Row],[_Pred2UID]],Tasks[UID],0),-1))</f>
        <v/>
      </c>
      <c r="CK101" s="42">
        <f>IF(N(Tasks[[#This Row],[_Pred3UID]])=0,0,IFERROR(MATCH(Tasks[[#This Row],[_Pred3UID]],Tasks[UID],0),-1))</f>
        <v/>
      </c>
      <c r="CL101" s="42">
        <f>IF(N(Tasks[[#This Row],[_Pred4UID]])=0,0,IFERROR(MATCH(Tasks[[#This Row],[_Pred4UID]],Tasks[UID],0),-1))</f>
        <v/>
      </c>
      <c r="CM10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1" s="88">
        <f>IF(N(Tasks[[#This Row],[Constraint Date]])=0,0,IF(AND(OR(Tasks[[#This Row],[_ConstraintCode]]=3,Tasks[[#This Row],[_ConstraintCode]]=6,Tasks[[#This Row],[_ConstraintCode]]=7),N(Tasks[[#This Row],[_Days]])&gt;1),WORKDAY.INTL(N(Tasks[[#This Row],[Constraint Date]]),-(N(Tasks[[#This Row],[_Days]])-1),WorkWeek,Holidays),N(Tasks[[#This Row],[Constraint Date]])))</f>
        <v/>
      </c>
      <c r="CO101" s="88">
        <f>IF(OR(Tasks[[#This Row],[_ConstraintCode]]=2,Tasks[[#This Row],[_ConstraintCode]]=3,Tasks[[#This Row],[_ConstraintCode]]=4,Tasks[[#This Row],[_ConstraintCode]]=6),Tasks[[#This Row],[_ConstraintStart]],0)</f>
        <v/>
      </c>
      <c r="CP101" s="88">
        <f>IF(OR(Tasks[[#This Row],[_ConstraintCode]]=2,Tasks[[#This Row],[_ConstraintCode]]=3,Tasks[[#This Row],[_ConstraintCode]]=5,Tasks[[#This Row],[_ConstraintCode]]=7),Tasks[[#This Row],[_ConstraintStart]],2958465)</f>
        <v/>
      </c>
      <c r="CQ10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1" s="88">
        <f>IF(NOT(Tasks[[#This Row],[_IsLeaf]]=1),"",IF(N(Tasks[[#This Row],[_Days]])&lt;=0,Tasks[[#This Row],[_LeafCalcStart]],WORKDAY.INTL(Tasks[[#This Row],[_LeafCalcStart]],Tasks[[#This Row],[_Days]]-1,WorkWeek,Holidays)))</f>
        <v/>
      </c>
      <c r="CS10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1" s="42">
        <f>IF(Tasks[[#This Row],[_Predecessors]]="","",TRIM(MID(SUBSTITUTE(SUBSTITUTE(SUBSTITUTE(UPPER(Tasks[[#This Row],[_Predecessors]]),";",",")," ",""),",",REPT(" ",99)),1,99)))</f>
        <v/>
      </c>
      <c r="CV101" s="42">
        <f>IF(Tasks[[#This Row],[_Pred1Text]]="","",IFERROR(VALUE(LEFT(Tasks[[#This Row],[_Pred1Text]],MIN(FIND("F",Tasks[[#This Row],[_Pred1Text]]&amp;"F"),FIND("S",Tasks[[#This Row],[_Pred1Text]]&amp;"S"),FIND("+",Tasks[[#This Row],[_Pred1Text]]&amp;"+"),FIND("-",Tasks[[#This Row],[_Pred1Text]]&amp;"-"))-1)),""))</f>
        <v/>
      </c>
      <c r="CW10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1" s="42">
        <f>IF(Tasks[[#This Row],[_Pred1Text]]="","",TRIM(MID(SUBSTITUTE(SUBSTITUTE(SUBSTITUTE(UPPER(Tasks[[#This Row],[_Predecessors]]),";",",")," ",""),",",REPT(" ",99)),100,99)))</f>
        <v/>
      </c>
      <c r="CZ101" s="42">
        <f>IF(Tasks[[#This Row],[_Pred2Text]]="","",IFERROR(VALUE(LEFT(Tasks[[#This Row],[_Pred2Text]],MIN(FIND("F",Tasks[[#This Row],[_Pred2Text]]&amp;"F"),FIND("S",Tasks[[#This Row],[_Pred2Text]]&amp;"S"),FIND("+",Tasks[[#This Row],[_Pred2Text]]&amp;"+"),FIND("-",Tasks[[#This Row],[_Pred2Text]]&amp;"-"))-1)),""))</f>
        <v/>
      </c>
      <c r="DA10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1" s="42">
        <f>IF(Tasks[[#This Row],[_Pred2Text]]="","",TRIM(MID(SUBSTITUTE(SUBSTITUTE(SUBSTITUTE(UPPER(Tasks[[#This Row],[_Predecessors]]),";",",")," ",""),",",REPT(" ",99)),199,99)))</f>
        <v/>
      </c>
      <c r="DD101" s="42">
        <f>IF(Tasks[[#This Row],[_Pred3Text]]="","",IFERROR(VALUE(LEFT(Tasks[[#This Row],[_Pred3Text]],MIN(FIND("F",Tasks[[#This Row],[_Pred3Text]]&amp;"F"),FIND("S",Tasks[[#This Row],[_Pred3Text]]&amp;"S"),FIND("+",Tasks[[#This Row],[_Pred3Text]]&amp;"+"),FIND("-",Tasks[[#This Row],[_Pred3Text]]&amp;"-"))-1)),""))</f>
        <v/>
      </c>
      <c r="DE10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1" s="42">
        <f>IF(Tasks[[#This Row],[_Pred3Text]]="","",TRIM(MID(SUBSTITUTE(SUBSTITUTE(SUBSTITUTE(UPPER(Tasks[[#This Row],[_Predecessors]]),";",",")," ",""),",",REPT(" ",99)),298,99)))</f>
        <v/>
      </c>
      <c r="DH101" s="42">
        <f>IF(Tasks[[#This Row],[_Pred4Text]]="","",IFERROR(VALUE(LEFT(Tasks[[#This Row],[_Pred4Text]],MIN(FIND("F",Tasks[[#This Row],[_Pred4Text]]&amp;"F"),FIND("S",Tasks[[#This Row],[_Pred4Text]]&amp;"S"),FIND("+",Tasks[[#This Row],[_Pred4Text]]&amp;"+"),FIND("-",Tasks[[#This Row],[_Pred4Text]]&amp;"-"))-1)),""))</f>
        <v/>
      </c>
      <c r="DI10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1" s="42">
        <f>IF(OR(Tasks[[#This Row],[Task Name]]="",Tasks[[#This Row],[_Resources]]=""),"",TRIM(MID(SUBSTITUTE(Tasks[[#This Row],[_Resources]],",",REPT(" ",99)),1,99)))</f>
        <v/>
      </c>
      <c r="DL101" s="42">
        <f>IF(Tasks[[#This Row],[_Res1Text]]="","",TRIM(MID(SUBSTITUTE(Tasks[[#This Row],[_Resources]],",",REPT(" ",99)),100,99)))</f>
        <v/>
      </c>
      <c r="DM101" s="42">
        <f>IF(Tasks[[#This Row],[_Res2Text]]="","",TRIM(MID(SUBSTITUTE(Tasks[[#This Row],[_Resources]],",",REPT(" ",99)),199,99)))</f>
        <v/>
      </c>
      <c r="DN101" s="42">
        <f>IF(Tasks[[#This Row],[_Res3Text]]="","",TRIM(MID(SUBSTITUTE(Tasks[[#This Row],[_Resources]],",",REPT(" ",99)),298,99)))</f>
        <v/>
      </c>
      <c r="DO101" s="42">
        <f>IF(Tasks[[#This Row],[_Res1Text]]="",0,IFERROR(MATCH(TRIM(LEFT(Tasks[[#This Row],[_Res1Text]],FIND("[",Tasks[[#This Row],[_Res1Text]]&amp;"[")-1)),res_Name,0),IFERROR(MATCH(TRIM(LEFT(Tasks[[#This Row],[_Res1Text]],FIND("[",Tasks[[#This Row],[_Res1Text]]&amp;"[")-1)),res_Initials,0),0)))</f>
        <v/>
      </c>
      <c r="DP101" s="42">
        <f>IF(Tasks[[#This Row],[_Res2Text]]="",0,IFERROR(MATCH(TRIM(LEFT(Tasks[[#This Row],[_Res2Text]],FIND("[",Tasks[[#This Row],[_Res2Text]]&amp;"[")-1)),res_Name,0),IFERROR(MATCH(TRIM(LEFT(Tasks[[#This Row],[_Res2Text]],FIND("[",Tasks[[#This Row],[_Res2Text]]&amp;"[")-1)),res_Initials,0),0)))</f>
        <v/>
      </c>
      <c r="DQ101" s="42">
        <f>IF(Tasks[[#This Row],[_Res3Text]]="",0,IFERROR(MATCH(TRIM(LEFT(Tasks[[#This Row],[_Res3Text]],FIND("[",Tasks[[#This Row],[_Res3Text]]&amp;"[")-1)),res_Name,0),IFERROR(MATCH(TRIM(LEFT(Tasks[[#This Row],[_Res3Text]],FIND("[",Tasks[[#This Row],[_Res3Text]]&amp;"[")-1)),res_Initials,0),0)))</f>
        <v/>
      </c>
      <c r="DR101" s="42">
        <f>IF(Tasks[[#This Row],[_Res4Text]]="",0,IFERROR(MATCH(TRIM(LEFT(Tasks[[#This Row],[_Res4Text]],FIND("[",Tasks[[#This Row],[_Res4Text]]&amp;"[")-1)),res_Name,0),IFERROR(MATCH(TRIM(LEFT(Tasks[[#This Row],[_Res4Text]],FIND("[",Tasks[[#This Row],[_Res4Text]]&amp;"[")-1)),res_Initials,0),0)))</f>
        <v/>
      </c>
      <c r="DS101" s="42">
        <f>IF(Tasks[[#This Row],[_Res1Text]]="","",IF(Tasks[[#This Row],[_Res1Row]]&gt;0,INDEX(res_Name,Tasks[[#This Row],[_Res1Row]]),TRIM(LEFT(Tasks[[#This Row],[_Res1Text]],FIND("[",Tasks[[#This Row],[_Res1Text]]&amp;"[")-1))))</f>
        <v/>
      </c>
      <c r="DT10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1" s="42">
        <f>IF(NOT(Tasks[[#This Row],[_IsLeaf]]=1),0,(Tasks[[#This Row],[_Resource1]]&lt;&gt;"")+(Tasks[[#This Row],[_Res2]]&lt;&gt;"")+(Tasks[[#This Row],[_Res3]]&lt;&gt;"")+(Tasks[[#This Row],[_Res4]]&lt;&gt;""))</f>
        <v/>
      </c>
      <c r="DV101" s="42">
        <f>IF(Tasks[[#This Row],[_Res2Text]]="","",IF(Tasks[[#This Row],[_Res2Row]]&gt;0,INDEX(res_Name,Tasks[[#This Row],[_Res2Row]]),TRIM(LEFT(Tasks[[#This Row],[_Res2Text]],FIND("[",Tasks[[#This Row],[_Res2Text]]&amp;"[")-1))))</f>
        <v/>
      </c>
      <c r="DW10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1" s="42">
        <f>IF(OR(NOT(Tasks[[#This Row],[_IsLeaf]]=1),Tasks[[#This Row],[_Res2Row]]=0),0,N(Tasks[[#This Row],[_Days]])*HoursPerDay*IF(Tasks[[#This Row],[_Res2Units]]="",DefaultUnits,Tasks[[#This Row],[_Res2Units]]))</f>
        <v/>
      </c>
      <c r="DY101" s="42">
        <f>IF(AND(AND(Tasks[[#This Row],[_IsLeaf]]=1,Tasks[[#This Row],[_LeafTotalWork]]&gt;0),Tasks[[#This Row],[_Res2Work]]&gt;0),Tasks[[#This Row],[_Res2Work]]/(Tasks[[#This Row],[_FinishWorkday]]-Tasks[[#This Row],[_StartWorkday]]+1),0)</f>
        <v/>
      </c>
      <c r="DZ101" s="42">
        <f>Tasks[[#This Row],[_Res2WorkPerWD]]*MAX(0,Tasks[[#This Row],[_StartWorkday]]-1)</f>
        <v/>
      </c>
      <c r="EA101" s="42">
        <f>Tasks[[#This Row],[_Res2Work]]*Tasks[[#This Row],[_LeafProgress]]</f>
        <v/>
      </c>
      <c r="EB101" s="42">
        <f>IF(Tasks[[#This Row],[_Res3Text]]="","",IF(Tasks[[#This Row],[_Res3Row]]&gt;0,INDEX(res_Name,Tasks[[#This Row],[_Res3Row]]),TRIM(LEFT(Tasks[[#This Row],[_Res3Text]],FIND("[",Tasks[[#This Row],[_Res3Text]]&amp;"[")-1))))</f>
        <v/>
      </c>
      <c r="EC10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1" s="42">
        <f>IF(OR(NOT(Tasks[[#This Row],[_IsLeaf]]=1),Tasks[[#This Row],[_Res3Row]]=0),0,N(Tasks[[#This Row],[_Days]])*HoursPerDay*IF(Tasks[[#This Row],[_Res3Units]]="",DefaultUnits,Tasks[[#This Row],[_Res3Units]]))</f>
        <v/>
      </c>
      <c r="EE101" s="42">
        <f>IF(AND(AND(Tasks[[#This Row],[_IsLeaf]]=1,Tasks[[#This Row],[_LeafTotalWork]]&gt;0),Tasks[[#This Row],[_Res3Work]]&gt;0),Tasks[[#This Row],[_Res3Work]]/(Tasks[[#This Row],[_FinishWorkday]]-Tasks[[#This Row],[_StartWorkday]]+1),0)</f>
        <v/>
      </c>
      <c r="EF101" s="42">
        <f>Tasks[[#This Row],[_Res3WorkPerWD]]*MAX(0,Tasks[[#This Row],[_StartWorkday]]-1)</f>
        <v/>
      </c>
      <c r="EG101" s="42">
        <f>Tasks[[#This Row],[_Res3Work]]*Tasks[[#This Row],[_LeafProgress]]</f>
        <v/>
      </c>
      <c r="EH101" s="42">
        <f>IF(Tasks[[#This Row],[_Res4Text]]="","",IF(Tasks[[#This Row],[_Res4Row]]&gt;0,INDEX(res_Name,Tasks[[#This Row],[_Res4Row]]),TRIM(LEFT(Tasks[[#This Row],[_Res4Text]],FIND("[",Tasks[[#This Row],[_Res4Text]]&amp;"[")-1))))</f>
        <v/>
      </c>
      <c r="EI10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1" s="42">
        <f>IF(OR(NOT(Tasks[[#This Row],[_IsLeaf]]=1),Tasks[[#This Row],[_Res4Row]]=0),0,N(Tasks[[#This Row],[_Days]])*HoursPerDay*IF(Tasks[[#This Row],[_Res4Units]]="",DefaultUnits,Tasks[[#This Row],[_Res4Units]]))</f>
        <v/>
      </c>
      <c r="EK101" s="42">
        <f>IF(AND(AND(Tasks[[#This Row],[_IsLeaf]]=1,Tasks[[#This Row],[_LeafTotalWork]]&gt;0),Tasks[[#This Row],[_Res4Work]]&gt;0),Tasks[[#This Row],[_Res4Work]]/(Tasks[[#This Row],[_FinishWorkday]]-Tasks[[#This Row],[_StartWorkday]]+1),0)</f>
        <v/>
      </c>
      <c r="EL101" s="42">
        <f>Tasks[[#This Row],[_Res4WorkPerWD]]*MAX(0,Tasks[[#This Row],[_StartWorkday]]-1)</f>
        <v/>
      </c>
      <c r="EM101" s="42">
        <f>Tasks[[#This Row],[_Res4Work]]*Tasks[[#This Row],[_LeafProgress]]</f>
        <v/>
      </c>
      <c r="EN101" s="42">
        <f>IF(ISNUMBER(Tasks[[#This Row],[% Complete]]),Tasks[[#This Row],[% Complete]],IF(Tasks[[#This Row],[Stage]]="",0,IFERROR(INDEX(stg_Pct,MATCH(Tasks[[#This Row],[Stage]],stg_Name,0)),0)))</f>
        <v/>
      </c>
      <c r="EO101" s="42">
        <f>IF(NOT(Tasks[[#This Row],[_IsLeaf]]=1),0,IF(N(Tasks[[#This Row],[Actual Finish]])&gt;0,1,MIN(1,Tasks[[#This Row],[_Pct]])))</f>
        <v/>
      </c>
      <c r="EP101" s="42">
        <f>IF(OR(NOT(Tasks[[#This Row],[_IsLeaf]]=1),Tasks[[#This Row],[_Res1Row]]=0),0,N(Tasks[[#This Row],[_Days]])*HoursPerDay*IF(Tasks[[#This Row],[_Units1]]="",DefaultUnits,Tasks[[#This Row],[_Units1]]))</f>
        <v/>
      </c>
      <c r="EQ101" s="42">
        <f>Tasks[[#This Row],[_LeafWork]]+Tasks[[#This Row],[_Res2Work]]+Tasks[[#This Row],[_Res3Work]]+Tasks[[#This Row],[_Res4Work]]</f>
        <v/>
      </c>
      <c r="ER10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1" s="42">
        <f>IF(NOT(Tasks[[#This Row],[_IsLeaf]]=1),0,MAX(_xlfn.MAXIFS(Tasks[_Row],Tasks[_Pred1UID],Tasks[[#This Row],[UID]]),_xlfn.MAXIFS(Tasks[_Row],Tasks[_Pred2UID],Tasks[[#This Row],[UID]]),_xlfn.MAXIFS(Tasks[_Row],Tasks[_Pred3UID],Tasks[[#This Row],[UID]]),_xlfn.MAXIFS(Tasks[_Row],Tasks[_Pred4UID],Tasks[[#This Row],[UID]])))</f>
        <v/>
      </c>
      <c r="FA10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1" s="88">
        <f>IF(NOT(Tasks[[#This Row],[_IsLeaf]]=1),"",IF(N(Tasks[[#This Row],[_Days]])&lt;=0,Tasks[[#This Row],[_LeafLateFinish]],WORKDAY.INTL(Tasks[[#This Row],[_LeafLateFinish]],-(Tasks[[#This Row],[_Days]]-1),WorkWeek,Holidays)))</f>
        <v/>
      </c>
      <c r="FD10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1" s="42">
        <f>AND(Tasks[[#This Row],[_IsLeaf]]=1,Tasks[[#This Row],[_LeafProgress]]&lt;1,N(Tasks[[#This Row],[_LeafTotalSlack]])&lt;=CriticalSlackDays)</f>
        <v/>
      </c>
      <c r="FF101" s="42">
        <f>IF(AND(Tasks[[#This Row],[_IsLeaf]]=1,Tasks[[#This Row],[_ConstraintCode]]=1,Tasks[[#This Row],[Mode]]&lt;&gt;"Manual",N(Tasks[[#This Row],[Actual Start]])=0),MAX(0,N(Tasks[[#This Row],[Free Slack]])),0)</f>
        <v/>
      </c>
      <c r="FG101" s="88">
        <f>IF(NOT(Tasks[[#This Row],[_IsLeaf]]=1),"",IF(Tasks[[#This Row],[_AlapShift]]=0,Tasks[[#This Row],[_LeafCalcStart]],WORKDAY.INTL(Tasks[[#This Row],[_LeafCalcStart]],Tasks[[#This Row],[_AlapShift]],WorkWeek,Holidays)))</f>
        <v/>
      </c>
      <c r="FH101" s="88">
        <f>IF(NOT(Tasks[[#This Row],[_IsLeaf]]=1),"",IF(Tasks[[#This Row],[_AlapShift]]=0,Tasks[[#This Row],[_LeafCalcFinish]],WORKDAY.INTL(Tasks[[#This Row],[_LeafCalcFinish]],Tasks[[#This Row],[_AlapShift]],WorkWeek,Holidays)))</f>
        <v/>
      </c>
      <c r="FI101" s="88">
        <f>IF(NOT(Tasks[[#This Row],[_IsLeaf]]=1),"",IF(Tasks[[#This Row],[_AlapShift]]=0,Tasks[[#This Row],[_LeafFcstStart]],WORKDAY.INTL(Tasks[[#This Row],[_LeafFcstStart]],Tasks[[#This Row],[_AlapShift]],WorkWeek,Holidays)))</f>
        <v/>
      </c>
      <c r="FJ101" s="88">
        <f>IF(NOT(Tasks[[#This Row],[_IsLeaf]]=1),"",IF(Tasks[[#This Row],[_AlapShift]]=0,Tasks[[#This Row],[_LeafFcstFinish]],WORKDAY.INTL(Tasks[[#This Row],[_LeafFcstFinish]],Tasks[[#This Row],[_AlapShift]],WorkWeek,Holidays)))</f>
        <v/>
      </c>
      <c r="FK101" s="88">
        <f>IF(Tasks[[#This Row],[Task Name]]="","",IF(Tasks[[#This Row],[_IsSummary]],MIN(INDEX(Tasks[_ShownCalcStart],Tasks[[#This Row],[_Row]]+1):INDEX(Tasks[_ShownCalcStart],Tasks[[#This Row],[_Row]]+Tasks[[#This Row],[_Descendants]])),Tasks[[#This Row],[_ShownCalcStart]]))</f>
        <v/>
      </c>
      <c r="FL101" s="88">
        <f>IF(Tasks[[#This Row],[Task Name]]="","",IF(Tasks[[#This Row],[_IsSummary]],MAX(INDEX(Tasks[_ShownCalcFinish],Tasks[[#This Row],[_Row]]+1):INDEX(Tasks[_ShownCalcFinish],Tasks[[#This Row],[_Row]]+Tasks[[#This Row],[_Descendants]])),Tasks[[#This Row],[_ShownCalcFinish]]))</f>
        <v/>
      </c>
      <c r="FM10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1" s="42">
        <f>IF(AND(Tasks[[#This Row],[_IsLeaf]]=1,Tasks[[#This Row],[_LeafTotalWork]]&gt;0),NETWORKDAYS.INTL(ProjectStart,Tasks[[#This Row],[_ShownFcstStart]],WorkWeek,Holidays),0)</f>
        <v/>
      </c>
      <c r="FZ101" s="42">
        <f>IF(AND(Tasks[[#This Row],[_IsLeaf]]=1,Tasks[[#This Row],[_LeafTotalWork]]&gt;0),MAX(Tasks[[#This Row],[_StartWorkday]],NETWORKDAYS.INTL(ProjectStart,Tasks[[#This Row],[_ShownFcstFinish]],WorkWeek,Holidays)),0)</f>
        <v/>
      </c>
      <c r="GA101" s="42">
        <f>IF(AND(Tasks[[#This Row],[_IsLeaf]]=1,Tasks[[#This Row],[_LeafTotalWork]]&gt;0),Tasks[[#This Row],[_LeafWork]]/(Tasks[[#This Row],[_FinishWorkday]]-Tasks[[#This Row],[_StartWorkday]]+1),0)</f>
        <v/>
      </c>
      <c r="GB101" s="42">
        <f>Tasks[[#This Row],[_WorkPerWorkday]]*(Tasks[[#This Row],[_StartWorkday]]-1)</f>
        <v/>
      </c>
      <c r="GC101" s="42">
        <f>IF(Tasks[[#This Row],[_IsLeaf]]=1,MAX(N(Tasks[[#This Row],[_Days]]),0.1),0)</f>
        <v/>
      </c>
      <c r="GD101" s="42">
        <f>Tasks[[#This Row],[_WeightDur]]*Tasks[[#This Row],[_LeafProgress]]</f>
        <v/>
      </c>
      <c r="GE101" s="42">
        <f>Tasks[[#This Row],[_WeightDur]]*Tasks[[#This Row],[_PlannedPct]]</f>
        <v/>
      </c>
      <c r="GF10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1" s="42">
        <f>IF(AND(Tasks[[#This Row],[_IsLeaf]]=1,N(Tasks[[#This Row],[_Days]])=0,Tasks[[#This Row],[_LeafProgress]]&lt;1),Tasks[[#This Row],[_ShownFcstFinish]]+Tasks[[#This Row],[_Row]]/100000,"")</f>
        <v/>
      </c>
      <c r="GH10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1" s="42">
        <f>IF(Tasks[[#This Row],[Task Name]]="","",LEFT(Tasks[[#This Row],[WBS]],FIND(".",Tasks[[#This Row],[WBS]]&amp;".")-1))</f>
        <v/>
      </c>
      <c r="GJ101" s="42">
        <f>IF(AND(Tasks[[#This Row],[Task Name]]&lt;&gt;"",Tasks[[#This Row],[_Level]]=1),Tasks[[#This Row],[_Row]],"")</f>
        <v/>
      </c>
      <c r="GK101" s="42">
        <f>IF(AND(Tasks[[#This Row],[_IsLeaf]]=1,N(Tasks[[#This Row],[_Days]])=0),Tasks[[#This Row],[Planned Finish]]+Tasks[[#This Row],[_Row]]/100000,"")</f>
        <v/>
      </c>
      <c r="GL101" s="42">
        <f>IF(AND(Tasks[[#This Row],[_IsLeaf]]=1,Tasks[[#This Row],[_LeafProgress]]&lt;1,OR(N(Tasks[[#This Row],[Finish Var]])&gt;0,Tasks[[#This Row],[Status]]="Late Start")),MAX(0,Tasks[[#This Row],[Finish Var]])+1-Tasks[[#This Row],[_Row]]/1000000,"")</f>
        <v/>
      </c>
      <c r="GM101" s="42">
        <f>IF(AND(Tasks[[#This Row],[_IsLeaf]]=1,N(Tasks[[#This Row],[Actual Start]])=0,Tasks[[#This Row],[_ShownFcstStart]]&gt;=StatusDate,Tasks[[#This Row],[_ShownFcstStart]]&lt;=LookaheadEnd),Tasks[[#This Row],[_ShownFcstStart]]+Tasks[[#This Row],[_Row]]/100000,"")</f>
        <v/>
      </c>
      <c r="GN101" s="42">
        <f>IF(AND(Tasks[[#This Row],[_IsLeaf]]=1,Tasks[[#This Row],[_LeafProgress]]&lt;1,Tasks[[#This Row],[_ShownFcstFinish]]&gt;=StatusDate,Tasks[[#This Row],[_ShownFcstFinish]]&lt;=LookaheadEnd),Tasks[[#This Row],[_ShownFcstFinish]]+Tasks[[#This Row],[_Row]]/100000,"")</f>
        <v/>
      </c>
      <c r="GO101" s="42">
        <f>IF(Tasks[[#This Row],[_LeafCritical]],Tasks[[#This Row],[_ShownFcstStart]]+Tasks[[#This Row],[_Row]]/100000,"")</f>
        <v/>
      </c>
      <c r="GP101" s="42">
        <f>Tasks[[#This Row],[_LeafWork]]*Tasks[[#This Row],[_LeafProgress]]</f>
        <v/>
      </c>
      <c r="GQ101" s="88">
        <f>IF(AND(Tasks[[#This Row],[_IsLeaf]]=1,Tasks[[#This Row],[_LeafProgress]]&gt;=1),IF(N(Tasks[[#This Row],[Actual Finish]])&gt;0,Tasks[[#This Row],[Actual Finish]],Tasks[[#This Row],[_ShownFcstFinish]]),"")</f>
        <v/>
      </c>
      <c r="GR101" s="42">
        <f>IF(Tasks[[#This Row],[_IsLeaf]]=1,N(Tasks[[#This Row],[Story Points]]),0)</f>
        <v/>
      </c>
      <c r="GS101" s="42">
        <f>""</f>
        <v/>
      </c>
      <c r="GT101" s="42">
        <f>IF(Tasks[[#This Row],[Task Name]]="",FALSE(),AND(Tasks[[#This Row],[_IsLeaf]]=1,N(Tasks[[#This Row],[_Days]])=0))</f>
        <v/>
      </c>
      <c r="GU101" s="88">
        <f>IF(Tasks[[#This Row],[Task Name]]="",0,IF(AND(Tasks[[#This Row],[_IsLeaf]]=1,NOT(Tasks[[#This Row],[_IsMilestone]]),N(Tasks[[#This Row],[Progress]])&gt;0),Tasks[[#This Row],[Start]],0))</f>
        <v/>
      </c>
      <c r="GV101" s="88">
        <f>IF(Tasks[[#This Row],[_DoneFrom]]=0,0,IF(Tasks[[#This Row],[Progress]]&gt;=1,Tasks[[#This Row],[Finish]],MAX(Tasks[[#This Row],[_DoneFrom]],Tasks[[#This Row],[Start]]+ROUND((Tasks[[#This Row],[Finish]]-Tasks[[#This Row],[Start]]+1)*Tasks[[#This Row],[Progress]],0)-1)))</f>
        <v/>
      </c>
      <c r="GW101" s="88">
        <f>IF(Tasks[[#This Row],[Task Name]]="",0,IF(OR(NOT(Tasks[[#This Row],[_IsLeaf]]=1),Tasks[[#This Row],[_IsMilestone]],N(Tasks[[#This Row],[Progress]])&gt;=1),0,IF(Tasks[[#This Row],[_DoneTo]]&gt;0,Tasks[[#This Row],[_DoneTo]]+1,Tasks[[#This Row],[Start]])))</f>
        <v/>
      </c>
      <c r="GX101" s="88">
        <f>IF(Tasks[[#This Row],[_RemFrom]]=0,0,Tasks[[#This Row],[Finish]])</f>
        <v/>
      </c>
      <c r="GY101" s="42">
        <f>IF(Tasks[[#This Row],[Task Name]]="",FALSE(),OR(NOT(BaselineSet),N(Tasks[[#This Row],[Baseline Start]])&gt;0))</f>
        <v/>
      </c>
      <c r="GZ101" s="42">
        <f>IF(AND(Sandbox="Yes",L_PARSE_DURATION(Tasks[[#This Row],[Sandbox Duration]])&lt;&gt;""),L_PARSE_DURATION(Tasks[[#This Row],[Sandbox Duration]]),L_PARSE_DURATION(Tasks[[#This Row],[Duration]]))</f>
        <v/>
      </c>
      <c r="HA10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1" s="42">
        <f>IF(Tasks[[#This Row],[_IsLeaf]]=1,Tasks[[#This Row],[_Row]],"")</f>
        <v/>
      </c>
      <c r="HD101" s="42">
        <f>IFERROR(INDEX(Tasks[UID],SMALL(Tasks[_PickKey],Tasks[[#This Row],[_Row]]))&amp;" "&amp;INDEX(Tasks[Task Name],SMALL(Tasks[_PickKey],Tasks[[#This Row],[_Row]])),"")</f>
        <v/>
      </c>
      <c r="HE101" s="42">
        <f>IF(Tasks[[#This Row],[Task Name]]="","",IF(Tasks[[#This Row],[_IsSummary]],NETWORKDAYS.INTL(Tasks[[#This Row],[Start]],Tasks[[#This Row],[Finish]],WorkWeek,Holidays),N(Tasks[[#This Row],[_Days]])))</f>
        <v/>
      </c>
      <c r="HF101" s="42">
        <f>IF(Tasks[[#This Row],[Expected]]="",0,((Tasks[[#This Row],[Pessimistic]]-Tasks[[#This Row],[Optimistic]])/6)^2)</f>
        <v/>
      </c>
      <c r="HG101" s="42">
        <f>IF(Tasks[[#This Row],[Expected]]="",0,Tasks[[#This Row],[Expected]]-N(Tasks[[#This Row],[_Days]]))</f>
        <v/>
      </c>
    </row>
    <row r="102">
      <c r="A102" s="21">
        <f>IF(Tasks[[#This Row],[Task Name]]="","",COUNTA(Tasks[[#Headers],[Task Name]]:Tasks[[#This Row],[Task Name]])-1)</f>
        <v/>
      </c>
      <c r="B102" s="22" t="n">
        <v>110</v>
      </c>
      <c r="C102" s="22" t="n"/>
      <c r="D102" s="23" t="n"/>
      <c r="E102" s="22" t="n"/>
      <c r="F102" s="23" t="n"/>
      <c r="G102" s="22" t="n"/>
      <c r="H102" s="22" t="n"/>
      <c r="I102" s="23" t="n"/>
      <c r="J102" s="22" t="n"/>
      <c r="K102" s="22" t="n"/>
      <c r="L102" s="23" t="n"/>
      <c r="M102" s="22" t="n"/>
      <c r="N102" s="22" t="n"/>
      <c r="O102" s="23" t="n"/>
      <c r="P102" s="22" t="n"/>
      <c r="Q102" s="22" t="n"/>
      <c r="R102" s="23" t="n"/>
      <c r="S102" s="23" t="n"/>
      <c r="T102" s="82" t="n"/>
      <c r="U102" s="23" t="n"/>
      <c r="V102" s="82" t="n"/>
      <c r="W102" s="23" t="n"/>
      <c r="X102" s="82" t="n"/>
      <c r="Y102" s="23" t="n"/>
      <c r="Z102" s="82" t="n"/>
      <c r="AA102" s="23" t="n"/>
      <c r="AB102" s="23" t="n"/>
      <c r="AC102" s="7" t="n"/>
      <c r="AD102" s="7" t="n"/>
      <c r="AE102" s="61">
        <f>IF(Tasks[[#This Row],[Task Name]]="","",IF(Tasks[[#This Row],[_IsSummary]],MIN(INDEX(Tasks[_ShownFcstStart],Tasks[[#This Row],[_Row]]+1):INDEX(Tasks[_ShownFcstStart],Tasks[[#This Row],[_Row]]+Tasks[[#This Row],[_Descendants]])),Tasks[[#This Row],[_ShownFcstStart]]))</f>
        <v/>
      </c>
      <c r="AF102" s="61">
        <f>IF(Tasks[[#This Row],[Task Name]]="","",IF(Tasks[[#This Row],[_IsSummary]],MAX(INDEX(Tasks[_ShownFcstFinish],Tasks[[#This Row],[_Row]]+1):INDEX(Tasks[_ShownFcstFinish],Tasks[[#This Row],[_Row]]+Tasks[[#This Row],[_Descendants]])),Tasks[[#This Row],[_ShownFcstFinish]]))</f>
        <v/>
      </c>
      <c r="AG102" s="21">
        <f>""</f>
        <v/>
      </c>
      <c r="AH102" s="23" t="n"/>
      <c r="AI10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2" s="7" t="n"/>
      <c r="AK102" s="22" t="n"/>
      <c r="AL102" s="23" t="n"/>
      <c r="AM102" s="7" t="n"/>
      <c r="AN102" s="21">
        <f>IF(Tasks[[#This Row],[Task Name]]="","",IF(Tasks[[#This Row],[Finish]]&gt;=Tasks[[#This Row],[Planned Finish]],NETWORKDAYS.INTL(Tasks[[#This Row],[Planned Finish]],Tasks[[#This Row],[Finish]],WorkWeek,Holidays)-1,1-NETWORKDAYS.INTL(Tasks[[#This Row],[Finish]],Tasks[[#This Row],[Planned Finish]],WorkWeek,Holidays)))</f>
        <v/>
      </c>
      <c r="AO102" s="21">
        <f>IF(Tasks[[#This Row],[Task Name]]="","",IF(Tasks[[#This Row],[Progress]]&gt;=1,"Complete",IF(OR(N(Tasks[[#This Row],[Actual Start]])&gt;0,Tasks[[#This Row],[Progress]]&gt;0),IF(Tasks[[#This Row],[Finish Var]]&gt;0,"Behind","In Progress"),IF(Tasks[[#This Row],[Planned Start]]&lt;StatusDate,"Late Start","Not Started"))))</f>
        <v/>
      </c>
      <c r="AP102" s="21">
        <f>IF(Tasks[[#This Row],[Task Name]]="","",IF(IF(Tasks[[#This Row],[_IsSummary]],COUNTIF(INDEX(Tasks[_LeafCritical],Tasks[[#This Row],[_Row]]+1):INDEX(Tasks[_LeafCritical],Tasks[[#This Row],[_Row]]+Tasks[[#This Row],[_Descendants]]),TRUE())&gt;0,Tasks[[#This Row],[_LeafCritical]]),"Yes",""))</f>
        <v/>
      </c>
      <c r="AQ102" s="61">
        <f>IF(Tasks[[#This Row],[Task Name]]="","",IF(N(Tasks[[#This Row],[Baseline Start]])&gt;0,Tasks[[#This Row],[Baseline Start]],Tasks[[#This Row],[_CalcStart]]))</f>
        <v/>
      </c>
      <c r="AR102" s="61">
        <f>IF(Tasks[[#This Row],[Task Name]]="","",IF(N(Tasks[[#This Row],[Baseline Finish]])&gt;0,Tasks[[#This Row],[Baseline Finish]],Tasks[[#This Row],[_CalcFinish]]))</f>
        <v/>
      </c>
      <c r="AS102" s="21">
        <f>IF(Tasks[[#This Row],[Task Name]]="","",IF(Tasks[[#This Row],[Start]]&gt;=Tasks[[#This Row],[Planned Start]],NETWORKDAYS.INTL(Tasks[[#This Row],[Planned Start]],Tasks[[#This Row],[Start]],WorkWeek,Holidays)-1,1-NETWORKDAYS.INTL(Tasks[[#This Row],[Start]],Tasks[[#This Row],[Planned Start]],WorkWeek,Holidays)))</f>
        <v/>
      </c>
      <c r="AT102" s="61">
        <f>IF(Tasks[[#This Row],[Task Name]]="","",IF(Tasks[[#This Row],[_IsSummary]],MIN(INDEX(Tasks[_LeafLateStart],Tasks[[#This Row],[_Row]]+1):INDEX(Tasks[_LeafLateStart],Tasks[[#This Row],[_Row]]+Tasks[[#This Row],[_Descendants]])),Tasks[[#This Row],[_LeafLateStart]]))</f>
        <v/>
      </c>
      <c r="AU102" s="61">
        <f>IF(Tasks[[#This Row],[Task Name]]="","",IF(Tasks[[#This Row],[_IsSummary]],MAX(INDEX(Tasks[_LeafLateFinish],Tasks[[#This Row],[_Row]]+1):INDEX(Tasks[_LeafLateFinish],Tasks[[#This Row],[_Row]]+Tasks[[#This Row],[_Descendants]])),Tasks[[#This Row],[_LeafLateFinish]]))</f>
        <v/>
      </c>
      <c r="AV102" s="21">
        <f>IF(Tasks[[#This Row],[Task Name]]="","",IF(Tasks[[#This Row],[_IsSummary]],MIN(INDEX(Tasks[_LeafTotalSlack],Tasks[[#This Row],[_Row]]+1):INDEX(Tasks[_LeafTotalSlack],Tasks[[#This Row],[_Row]]+Tasks[[#This Row],[_Descendants]])),Tasks[[#This Row],[_LeafTotalSlack]]))</f>
        <v/>
      </c>
      <c r="AW10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3" t="n"/>
      <c r="BA10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f>IF(Tasks[[#This Row],[Task Name]]="","",IF(Tasks[[#This Row],[_Level]]&lt;=OutlineShowLevel,"Yes","No"))</f>
        <v/>
      </c>
      <c r="BE102" s="84">
        <f>IF(Tasks[[#This Row],[Task Name]]="","",IF(Tasks[[#This Row],[_IsSummary]],SUM(INDEX(Tasks[_LeafTotalWork],Tasks[[#This Row],[_Row]]+1):INDEX(Tasks[_LeafTotalWork],Tasks[[#This Row],[_Row]]+Tasks[[#This Row],[_Descendants]])),Tasks[[#This Row],[_LeafTotalWork]]))</f>
        <v/>
      </c>
      <c r="BF102" s="23" t="n"/>
      <c r="BG10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f>""</f>
        <v/>
      </c>
      <c r="BI102" s="85" t="n"/>
      <c r="BJ102" s="22" t="n"/>
      <c r="BK102" s="21">
        <f>IF(OR(Tasks[[#This Row],[Task Name]]="",Tasks[[#This Row],[Baseline Duration]]=""),"",Tasks[[#This Row],[_SpanDays]]-N(Tasks[[#This Row],[Baseline Duration]]))</f>
        <v/>
      </c>
      <c r="BL102" s="84">
        <f>IF(OR(Tasks[[#This Row],[Task Name]]="",Tasks[[#This Row],[Baseline Work]]=""),"",Tasks[[#This Row],[Work]]-N(Tasks[[#This Row],[Baseline Work]]))</f>
        <v/>
      </c>
      <c r="BM102" s="61">
        <f>IF(Tasks[[#This Row],[Task Name]]="","",IF(OR(TakeBaseline="Yes",N(Tasks[[#This Row],[Baseline Start]])=0),Tasks[[#This Row],[Start]],Tasks[[#This Row],[Baseline Start]]))</f>
        <v/>
      </c>
      <c r="BN102" s="61">
        <f>IF(Tasks[[#This Row],[Task Name]]="","",IF(OR(TakeBaseline="Yes",N(Tasks[[#This Row],[Baseline Finish]])=0),Tasks[[#This Row],[Finish]],Tasks[[#This Row],[Baseline Finish]]))</f>
        <v/>
      </c>
      <c r="BO102" s="21">
        <f>IF(Tasks[[#This Row],[Task Name]]="","",IF(OR(TakeBaseline="Yes",N(Tasks[[#This Row],[Baseline Duration]])=0),Tasks[[#This Row],[_SpanDays]],Tasks[[#This Row],[Baseline Duration]]))</f>
        <v/>
      </c>
      <c r="BP102" s="84">
        <f>IF(Tasks[[#This Row],[Task Name]]="","",IF(OR(TakeBaseline="Yes",N(Tasks[[#This Row],[Baseline Work]])=0),Tasks[[#This Row],[Work]],Tasks[[#This Row],[Baseline Work]]))</f>
        <v/>
      </c>
      <c r="BQ102" s="7" t="n"/>
      <c r="BR102" s="7" t="n"/>
      <c r="BS102" s="22" t="n"/>
      <c r="BT102" s="86" t="n"/>
      <c r="BU102" s="23" t="n"/>
      <c r="BV102" s="23" t="n"/>
      <c r="BW102" s="23" t="n"/>
      <c r="BX102" s="87">
        <f>IF(AND(Tasks[[#This Row],[_IsLeaf]]=1,ISNUMBER(Tasks[[#This Row],[Optimistic]]),ISNUMBER(Tasks[[#This Row],[Pessimistic]])),ROUND((Tasks[[#This Row],[Optimistic]]+4*N(Tasks[[#This Row],[_Days]])+Tasks[[#This Row],[Pessimistic]])/6,1),"")</f>
        <v/>
      </c>
      <c r="BY102" s="85" t="n"/>
      <c r="BZ102" s="85" t="n"/>
      <c r="CA102" s="22" t="n"/>
      <c r="CB102" s="42">
        <f>IF(Tasks[[#This Row],[Task Name]]="","",MAX(1,N(Tasks[[#This Row],[Level]])))</f>
        <v/>
      </c>
      <c r="CC102" s="42">
        <f>ROW()-ROW(Tasks[[#Headers],[ID]])</f>
        <v/>
      </c>
      <c r="CD102" s="42">
        <f>IF(OR(Tasks[[#This Row],[Task Name]]="",Tasks[[#This Row],[_Level]]&lt;=1),0,IFERROR(LOOKUP(2,1/(Tasks[[#Headers],[_Level]]:Tasks[[#This Row],[_Level]]=Tasks[[#This Row],[_Level]]-1),ROW(Tasks[[#Headers],[_Level]]:Tasks[[#This Row],[_Level]])),0))</f>
        <v/>
      </c>
      <c r="CE102" s="42">
        <f>IFERROR(N(INDEX(Tasks[_Level],Tasks[[#This Row],[_Row]]+1)),0)</f>
        <v/>
      </c>
      <c r="CF102" s="42">
        <f>AND(Tasks[[#This Row],[Task Name]]&lt;&gt;"",Tasks[[#This Row],[_NextLevel]]&gt;Tasks[[#This Row],[_Level]])</f>
        <v/>
      </c>
      <c r="CG102" s="42">
        <f>IF(Tasks[[#This Row],[_IsSummary]],COUNTIF(Tasks[WBS],Tasks[[#This Row],[WBS]]&amp;".*"),0)</f>
        <v/>
      </c>
      <c r="CH102" s="42">
        <f>IF(AND(Tasks[[#This Row],[Task Name]]&lt;&gt;"",NOT(Tasks[[#This Row],[_IsSummary]])),1,0)</f>
        <v/>
      </c>
      <c r="CI102" s="42">
        <f>IF(N(Tasks[[#This Row],[_Pred1UID]])=0,0,IFERROR(MATCH(Tasks[[#This Row],[_Pred1UID]],Tasks[UID],0),-1))</f>
        <v/>
      </c>
      <c r="CJ102" s="42">
        <f>IF(N(Tasks[[#This Row],[_Pred2UID]])=0,0,IFERROR(MATCH(Tasks[[#This Row],[_Pred2UID]],Tasks[UID],0),-1))</f>
        <v/>
      </c>
      <c r="CK102" s="42">
        <f>IF(N(Tasks[[#This Row],[_Pred3UID]])=0,0,IFERROR(MATCH(Tasks[[#This Row],[_Pred3UID]],Tasks[UID],0),-1))</f>
        <v/>
      </c>
      <c r="CL102" s="42">
        <f>IF(N(Tasks[[#This Row],[_Pred4UID]])=0,0,IFERROR(MATCH(Tasks[[#This Row],[_Pred4UID]],Tasks[UID],0),-1))</f>
        <v/>
      </c>
      <c r="CM10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2" s="88">
        <f>IF(N(Tasks[[#This Row],[Constraint Date]])=0,0,IF(AND(OR(Tasks[[#This Row],[_ConstraintCode]]=3,Tasks[[#This Row],[_ConstraintCode]]=6,Tasks[[#This Row],[_ConstraintCode]]=7),N(Tasks[[#This Row],[_Days]])&gt;1),WORKDAY.INTL(N(Tasks[[#This Row],[Constraint Date]]),-(N(Tasks[[#This Row],[_Days]])-1),WorkWeek,Holidays),N(Tasks[[#This Row],[Constraint Date]])))</f>
        <v/>
      </c>
      <c r="CO102" s="88">
        <f>IF(OR(Tasks[[#This Row],[_ConstraintCode]]=2,Tasks[[#This Row],[_ConstraintCode]]=3,Tasks[[#This Row],[_ConstraintCode]]=4,Tasks[[#This Row],[_ConstraintCode]]=6),Tasks[[#This Row],[_ConstraintStart]],0)</f>
        <v/>
      </c>
      <c r="CP102" s="88">
        <f>IF(OR(Tasks[[#This Row],[_ConstraintCode]]=2,Tasks[[#This Row],[_ConstraintCode]]=3,Tasks[[#This Row],[_ConstraintCode]]=5,Tasks[[#This Row],[_ConstraintCode]]=7),Tasks[[#This Row],[_ConstraintStart]],2958465)</f>
        <v/>
      </c>
      <c r="CQ10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2" s="88">
        <f>IF(NOT(Tasks[[#This Row],[_IsLeaf]]=1),"",IF(N(Tasks[[#This Row],[_Days]])&lt;=0,Tasks[[#This Row],[_LeafCalcStart]],WORKDAY.INTL(Tasks[[#This Row],[_LeafCalcStart]],Tasks[[#This Row],[_Days]]-1,WorkWeek,Holidays)))</f>
        <v/>
      </c>
      <c r="CS10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2" s="42">
        <f>IF(Tasks[[#This Row],[_Predecessors]]="","",TRIM(MID(SUBSTITUTE(SUBSTITUTE(SUBSTITUTE(UPPER(Tasks[[#This Row],[_Predecessors]]),";",",")," ",""),",",REPT(" ",99)),1,99)))</f>
        <v/>
      </c>
      <c r="CV102" s="42">
        <f>IF(Tasks[[#This Row],[_Pred1Text]]="","",IFERROR(VALUE(LEFT(Tasks[[#This Row],[_Pred1Text]],MIN(FIND("F",Tasks[[#This Row],[_Pred1Text]]&amp;"F"),FIND("S",Tasks[[#This Row],[_Pred1Text]]&amp;"S"),FIND("+",Tasks[[#This Row],[_Pred1Text]]&amp;"+"),FIND("-",Tasks[[#This Row],[_Pred1Text]]&amp;"-"))-1)),""))</f>
        <v/>
      </c>
      <c r="CW10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2" s="42">
        <f>IF(Tasks[[#This Row],[_Pred1Text]]="","",TRIM(MID(SUBSTITUTE(SUBSTITUTE(SUBSTITUTE(UPPER(Tasks[[#This Row],[_Predecessors]]),";",",")," ",""),",",REPT(" ",99)),100,99)))</f>
        <v/>
      </c>
      <c r="CZ102" s="42">
        <f>IF(Tasks[[#This Row],[_Pred2Text]]="","",IFERROR(VALUE(LEFT(Tasks[[#This Row],[_Pred2Text]],MIN(FIND("F",Tasks[[#This Row],[_Pred2Text]]&amp;"F"),FIND("S",Tasks[[#This Row],[_Pred2Text]]&amp;"S"),FIND("+",Tasks[[#This Row],[_Pred2Text]]&amp;"+"),FIND("-",Tasks[[#This Row],[_Pred2Text]]&amp;"-"))-1)),""))</f>
        <v/>
      </c>
      <c r="DA10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2" s="42">
        <f>IF(Tasks[[#This Row],[_Pred2Text]]="","",TRIM(MID(SUBSTITUTE(SUBSTITUTE(SUBSTITUTE(UPPER(Tasks[[#This Row],[_Predecessors]]),";",",")," ",""),",",REPT(" ",99)),199,99)))</f>
        <v/>
      </c>
      <c r="DD102" s="42">
        <f>IF(Tasks[[#This Row],[_Pred3Text]]="","",IFERROR(VALUE(LEFT(Tasks[[#This Row],[_Pred3Text]],MIN(FIND("F",Tasks[[#This Row],[_Pred3Text]]&amp;"F"),FIND("S",Tasks[[#This Row],[_Pred3Text]]&amp;"S"),FIND("+",Tasks[[#This Row],[_Pred3Text]]&amp;"+"),FIND("-",Tasks[[#This Row],[_Pred3Text]]&amp;"-"))-1)),""))</f>
        <v/>
      </c>
      <c r="DE10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2" s="42">
        <f>IF(Tasks[[#This Row],[_Pred3Text]]="","",TRIM(MID(SUBSTITUTE(SUBSTITUTE(SUBSTITUTE(UPPER(Tasks[[#This Row],[_Predecessors]]),";",",")," ",""),",",REPT(" ",99)),298,99)))</f>
        <v/>
      </c>
      <c r="DH102" s="42">
        <f>IF(Tasks[[#This Row],[_Pred4Text]]="","",IFERROR(VALUE(LEFT(Tasks[[#This Row],[_Pred4Text]],MIN(FIND("F",Tasks[[#This Row],[_Pred4Text]]&amp;"F"),FIND("S",Tasks[[#This Row],[_Pred4Text]]&amp;"S"),FIND("+",Tasks[[#This Row],[_Pred4Text]]&amp;"+"),FIND("-",Tasks[[#This Row],[_Pred4Text]]&amp;"-"))-1)),""))</f>
        <v/>
      </c>
      <c r="DI10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2" s="42">
        <f>IF(OR(Tasks[[#This Row],[Task Name]]="",Tasks[[#This Row],[_Resources]]=""),"",TRIM(MID(SUBSTITUTE(Tasks[[#This Row],[_Resources]],",",REPT(" ",99)),1,99)))</f>
        <v/>
      </c>
      <c r="DL102" s="42">
        <f>IF(Tasks[[#This Row],[_Res1Text]]="","",TRIM(MID(SUBSTITUTE(Tasks[[#This Row],[_Resources]],",",REPT(" ",99)),100,99)))</f>
        <v/>
      </c>
      <c r="DM102" s="42">
        <f>IF(Tasks[[#This Row],[_Res2Text]]="","",TRIM(MID(SUBSTITUTE(Tasks[[#This Row],[_Resources]],",",REPT(" ",99)),199,99)))</f>
        <v/>
      </c>
      <c r="DN102" s="42">
        <f>IF(Tasks[[#This Row],[_Res3Text]]="","",TRIM(MID(SUBSTITUTE(Tasks[[#This Row],[_Resources]],",",REPT(" ",99)),298,99)))</f>
        <v/>
      </c>
      <c r="DO102" s="42">
        <f>IF(Tasks[[#This Row],[_Res1Text]]="",0,IFERROR(MATCH(TRIM(LEFT(Tasks[[#This Row],[_Res1Text]],FIND("[",Tasks[[#This Row],[_Res1Text]]&amp;"[")-1)),res_Name,0),IFERROR(MATCH(TRIM(LEFT(Tasks[[#This Row],[_Res1Text]],FIND("[",Tasks[[#This Row],[_Res1Text]]&amp;"[")-1)),res_Initials,0),0)))</f>
        <v/>
      </c>
      <c r="DP102" s="42">
        <f>IF(Tasks[[#This Row],[_Res2Text]]="",0,IFERROR(MATCH(TRIM(LEFT(Tasks[[#This Row],[_Res2Text]],FIND("[",Tasks[[#This Row],[_Res2Text]]&amp;"[")-1)),res_Name,0),IFERROR(MATCH(TRIM(LEFT(Tasks[[#This Row],[_Res2Text]],FIND("[",Tasks[[#This Row],[_Res2Text]]&amp;"[")-1)),res_Initials,0),0)))</f>
        <v/>
      </c>
      <c r="DQ102" s="42">
        <f>IF(Tasks[[#This Row],[_Res3Text]]="",0,IFERROR(MATCH(TRIM(LEFT(Tasks[[#This Row],[_Res3Text]],FIND("[",Tasks[[#This Row],[_Res3Text]]&amp;"[")-1)),res_Name,0),IFERROR(MATCH(TRIM(LEFT(Tasks[[#This Row],[_Res3Text]],FIND("[",Tasks[[#This Row],[_Res3Text]]&amp;"[")-1)),res_Initials,0),0)))</f>
        <v/>
      </c>
      <c r="DR102" s="42">
        <f>IF(Tasks[[#This Row],[_Res4Text]]="",0,IFERROR(MATCH(TRIM(LEFT(Tasks[[#This Row],[_Res4Text]],FIND("[",Tasks[[#This Row],[_Res4Text]]&amp;"[")-1)),res_Name,0),IFERROR(MATCH(TRIM(LEFT(Tasks[[#This Row],[_Res4Text]],FIND("[",Tasks[[#This Row],[_Res4Text]]&amp;"[")-1)),res_Initials,0),0)))</f>
        <v/>
      </c>
      <c r="DS102" s="42">
        <f>IF(Tasks[[#This Row],[_Res1Text]]="","",IF(Tasks[[#This Row],[_Res1Row]]&gt;0,INDEX(res_Name,Tasks[[#This Row],[_Res1Row]]),TRIM(LEFT(Tasks[[#This Row],[_Res1Text]],FIND("[",Tasks[[#This Row],[_Res1Text]]&amp;"[")-1))))</f>
        <v/>
      </c>
      <c r="DT10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2" s="42">
        <f>IF(NOT(Tasks[[#This Row],[_IsLeaf]]=1),0,(Tasks[[#This Row],[_Resource1]]&lt;&gt;"")+(Tasks[[#This Row],[_Res2]]&lt;&gt;"")+(Tasks[[#This Row],[_Res3]]&lt;&gt;"")+(Tasks[[#This Row],[_Res4]]&lt;&gt;""))</f>
        <v/>
      </c>
      <c r="DV102" s="42">
        <f>IF(Tasks[[#This Row],[_Res2Text]]="","",IF(Tasks[[#This Row],[_Res2Row]]&gt;0,INDEX(res_Name,Tasks[[#This Row],[_Res2Row]]),TRIM(LEFT(Tasks[[#This Row],[_Res2Text]],FIND("[",Tasks[[#This Row],[_Res2Text]]&amp;"[")-1))))</f>
        <v/>
      </c>
      <c r="DW10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2" s="42">
        <f>IF(OR(NOT(Tasks[[#This Row],[_IsLeaf]]=1),Tasks[[#This Row],[_Res2Row]]=0),0,N(Tasks[[#This Row],[_Days]])*HoursPerDay*IF(Tasks[[#This Row],[_Res2Units]]="",DefaultUnits,Tasks[[#This Row],[_Res2Units]]))</f>
        <v/>
      </c>
      <c r="DY102" s="42">
        <f>IF(AND(AND(Tasks[[#This Row],[_IsLeaf]]=1,Tasks[[#This Row],[_LeafTotalWork]]&gt;0),Tasks[[#This Row],[_Res2Work]]&gt;0),Tasks[[#This Row],[_Res2Work]]/(Tasks[[#This Row],[_FinishWorkday]]-Tasks[[#This Row],[_StartWorkday]]+1),0)</f>
        <v/>
      </c>
      <c r="DZ102" s="42">
        <f>Tasks[[#This Row],[_Res2WorkPerWD]]*MAX(0,Tasks[[#This Row],[_StartWorkday]]-1)</f>
        <v/>
      </c>
      <c r="EA102" s="42">
        <f>Tasks[[#This Row],[_Res2Work]]*Tasks[[#This Row],[_LeafProgress]]</f>
        <v/>
      </c>
      <c r="EB102" s="42">
        <f>IF(Tasks[[#This Row],[_Res3Text]]="","",IF(Tasks[[#This Row],[_Res3Row]]&gt;0,INDEX(res_Name,Tasks[[#This Row],[_Res3Row]]),TRIM(LEFT(Tasks[[#This Row],[_Res3Text]],FIND("[",Tasks[[#This Row],[_Res3Text]]&amp;"[")-1))))</f>
        <v/>
      </c>
      <c r="EC10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2" s="42">
        <f>IF(OR(NOT(Tasks[[#This Row],[_IsLeaf]]=1),Tasks[[#This Row],[_Res3Row]]=0),0,N(Tasks[[#This Row],[_Days]])*HoursPerDay*IF(Tasks[[#This Row],[_Res3Units]]="",DefaultUnits,Tasks[[#This Row],[_Res3Units]]))</f>
        <v/>
      </c>
      <c r="EE102" s="42">
        <f>IF(AND(AND(Tasks[[#This Row],[_IsLeaf]]=1,Tasks[[#This Row],[_LeafTotalWork]]&gt;0),Tasks[[#This Row],[_Res3Work]]&gt;0),Tasks[[#This Row],[_Res3Work]]/(Tasks[[#This Row],[_FinishWorkday]]-Tasks[[#This Row],[_StartWorkday]]+1),0)</f>
        <v/>
      </c>
      <c r="EF102" s="42">
        <f>Tasks[[#This Row],[_Res3WorkPerWD]]*MAX(0,Tasks[[#This Row],[_StartWorkday]]-1)</f>
        <v/>
      </c>
      <c r="EG102" s="42">
        <f>Tasks[[#This Row],[_Res3Work]]*Tasks[[#This Row],[_LeafProgress]]</f>
        <v/>
      </c>
      <c r="EH102" s="42">
        <f>IF(Tasks[[#This Row],[_Res4Text]]="","",IF(Tasks[[#This Row],[_Res4Row]]&gt;0,INDEX(res_Name,Tasks[[#This Row],[_Res4Row]]),TRIM(LEFT(Tasks[[#This Row],[_Res4Text]],FIND("[",Tasks[[#This Row],[_Res4Text]]&amp;"[")-1))))</f>
        <v/>
      </c>
      <c r="EI10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2" s="42">
        <f>IF(OR(NOT(Tasks[[#This Row],[_IsLeaf]]=1),Tasks[[#This Row],[_Res4Row]]=0),0,N(Tasks[[#This Row],[_Days]])*HoursPerDay*IF(Tasks[[#This Row],[_Res4Units]]="",DefaultUnits,Tasks[[#This Row],[_Res4Units]]))</f>
        <v/>
      </c>
      <c r="EK102" s="42">
        <f>IF(AND(AND(Tasks[[#This Row],[_IsLeaf]]=1,Tasks[[#This Row],[_LeafTotalWork]]&gt;0),Tasks[[#This Row],[_Res4Work]]&gt;0),Tasks[[#This Row],[_Res4Work]]/(Tasks[[#This Row],[_FinishWorkday]]-Tasks[[#This Row],[_StartWorkday]]+1),0)</f>
        <v/>
      </c>
      <c r="EL102" s="42">
        <f>Tasks[[#This Row],[_Res4WorkPerWD]]*MAX(0,Tasks[[#This Row],[_StartWorkday]]-1)</f>
        <v/>
      </c>
      <c r="EM102" s="42">
        <f>Tasks[[#This Row],[_Res4Work]]*Tasks[[#This Row],[_LeafProgress]]</f>
        <v/>
      </c>
      <c r="EN102" s="42">
        <f>IF(ISNUMBER(Tasks[[#This Row],[% Complete]]),Tasks[[#This Row],[% Complete]],IF(Tasks[[#This Row],[Stage]]="",0,IFERROR(INDEX(stg_Pct,MATCH(Tasks[[#This Row],[Stage]],stg_Name,0)),0)))</f>
        <v/>
      </c>
      <c r="EO102" s="42">
        <f>IF(NOT(Tasks[[#This Row],[_IsLeaf]]=1),0,IF(N(Tasks[[#This Row],[Actual Finish]])&gt;0,1,MIN(1,Tasks[[#This Row],[_Pct]])))</f>
        <v/>
      </c>
      <c r="EP102" s="42">
        <f>IF(OR(NOT(Tasks[[#This Row],[_IsLeaf]]=1),Tasks[[#This Row],[_Res1Row]]=0),0,N(Tasks[[#This Row],[_Days]])*HoursPerDay*IF(Tasks[[#This Row],[_Units1]]="",DefaultUnits,Tasks[[#This Row],[_Units1]]))</f>
        <v/>
      </c>
      <c r="EQ102" s="42">
        <f>Tasks[[#This Row],[_LeafWork]]+Tasks[[#This Row],[_Res2Work]]+Tasks[[#This Row],[_Res3Work]]+Tasks[[#This Row],[_Res4Work]]</f>
        <v/>
      </c>
      <c r="ER10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2" s="42">
        <f>IF(NOT(Tasks[[#This Row],[_IsLeaf]]=1),0,MAX(_xlfn.MAXIFS(Tasks[_Row],Tasks[_Pred1UID],Tasks[[#This Row],[UID]]),_xlfn.MAXIFS(Tasks[_Row],Tasks[_Pred2UID],Tasks[[#This Row],[UID]]),_xlfn.MAXIFS(Tasks[_Row],Tasks[_Pred3UID],Tasks[[#This Row],[UID]]),_xlfn.MAXIFS(Tasks[_Row],Tasks[_Pred4UID],Tasks[[#This Row],[UID]])))</f>
        <v/>
      </c>
      <c r="FA10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2" s="88">
        <f>IF(NOT(Tasks[[#This Row],[_IsLeaf]]=1),"",IF(N(Tasks[[#This Row],[_Days]])&lt;=0,Tasks[[#This Row],[_LeafLateFinish]],WORKDAY.INTL(Tasks[[#This Row],[_LeafLateFinish]],-(Tasks[[#This Row],[_Days]]-1),WorkWeek,Holidays)))</f>
        <v/>
      </c>
      <c r="FD10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2" s="42">
        <f>AND(Tasks[[#This Row],[_IsLeaf]]=1,Tasks[[#This Row],[_LeafProgress]]&lt;1,N(Tasks[[#This Row],[_LeafTotalSlack]])&lt;=CriticalSlackDays)</f>
        <v/>
      </c>
      <c r="FF102" s="42">
        <f>IF(AND(Tasks[[#This Row],[_IsLeaf]]=1,Tasks[[#This Row],[_ConstraintCode]]=1,Tasks[[#This Row],[Mode]]&lt;&gt;"Manual",N(Tasks[[#This Row],[Actual Start]])=0),MAX(0,N(Tasks[[#This Row],[Free Slack]])),0)</f>
        <v/>
      </c>
      <c r="FG102" s="88">
        <f>IF(NOT(Tasks[[#This Row],[_IsLeaf]]=1),"",IF(Tasks[[#This Row],[_AlapShift]]=0,Tasks[[#This Row],[_LeafCalcStart]],WORKDAY.INTL(Tasks[[#This Row],[_LeafCalcStart]],Tasks[[#This Row],[_AlapShift]],WorkWeek,Holidays)))</f>
        <v/>
      </c>
      <c r="FH102" s="88">
        <f>IF(NOT(Tasks[[#This Row],[_IsLeaf]]=1),"",IF(Tasks[[#This Row],[_AlapShift]]=0,Tasks[[#This Row],[_LeafCalcFinish]],WORKDAY.INTL(Tasks[[#This Row],[_LeafCalcFinish]],Tasks[[#This Row],[_AlapShift]],WorkWeek,Holidays)))</f>
        <v/>
      </c>
      <c r="FI102" s="88">
        <f>IF(NOT(Tasks[[#This Row],[_IsLeaf]]=1),"",IF(Tasks[[#This Row],[_AlapShift]]=0,Tasks[[#This Row],[_LeafFcstStart]],WORKDAY.INTL(Tasks[[#This Row],[_LeafFcstStart]],Tasks[[#This Row],[_AlapShift]],WorkWeek,Holidays)))</f>
        <v/>
      </c>
      <c r="FJ102" s="88">
        <f>IF(NOT(Tasks[[#This Row],[_IsLeaf]]=1),"",IF(Tasks[[#This Row],[_AlapShift]]=0,Tasks[[#This Row],[_LeafFcstFinish]],WORKDAY.INTL(Tasks[[#This Row],[_LeafFcstFinish]],Tasks[[#This Row],[_AlapShift]],WorkWeek,Holidays)))</f>
        <v/>
      </c>
      <c r="FK102" s="88">
        <f>IF(Tasks[[#This Row],[Task Name]]="","",IF(Tasks[[#This Row],[_IsSummary]],MIN(INDEX(Tasks[_ShownCalcStart],Tasks[[#This Row],[_Row]]+1):INDEX(Tasks[_ShownCalcStart],Tasks[[#This Row],[_Row]]+Tasks[[#This Row],[_Descendants]])),Tasks[[#This Row],[_ShownCalcStart]]))</f>
        <v/>
      </c>
      <c r="FL102" s="88">
        <f>IF(Tasks[[#This Row],[Task Name]]="","",IF(Tasks[[#This Row],[_IsSummary]],MAX(INDEX(Tasks[_ShownCalcFinish],Tasks[[#This Row],[_Row]]+1):INDEX(Tasks[_ShownCalcFinish],Tasks[[#This Row],[_Row]]+Tasks[[#This Row],[_Descendants]])),Tasks[[#This Row],[_ShownCalcFinish]]))</f>
        <v/>
      </c>
      <c r="FM10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2" s="42">
        <f>IF(AND(Tasks[[#This Row],[_IsLeaf]]=1,Tasks[[#This Row],[_LeafTotalWork]]&gt;0),NETWORKDAYS.INTL(ProjectStart,Tasks[[#This Row],[_ShownFcstStart]],WorkWeek,Holidays),0)</f>
        <v/>
      </c>
      <c r="FZ102" s="42">
        <f>IF(AND(Tasks[[#This Row],[_IsLeaf]]=1,Tasks[[#This Row],[_LeafTotalWork]]&gt;0),MAX(Tasks[[#This Row],[_StartWorkday]],NETWORKDAYS.INTL(ProjectStart,Tasks[[#This Row],[_ShownFcstFinish]],WorkWeek,Holidays)),0)</f>
        <v/>
      </c>
      <c r="GA102" s="42">
        <f>IF(AND(Tasks[[#This Row],[_IsLeaf]]=1,Tasks[[#This Row],[_LeafTotalWork]]&gt;0),Tasks[[#This Row],[_LeafWork]]/(Tasks[[#This Row],[_FinishWorkday]]-Tasks[[#This Row],[_StartWorkday]]+1),0)</f>
        <v/>
      </c>
      <c r="GB102" s="42">
        <f>Tasks[[#This Row],[_WorkPerWorkday]]*(Tasks[[#This Row],[_StartWorkday]]-1)</f>
        <v/>
      </c>
      <c r="GC102" s="42">
        <f>IF(Tasks[[#This Row],[_IsLeaf]]=1,MAX(N(Tasks[[#This Row],[_Days]]),0.1),0)</f>
        <v/>
      </c>
      <c r="GD102" s="42">
        <f>Tasks[[#This Row],[_WeightDur]]*Tasks[[#This Row],[_LeafProgress]]</f>
        <v/>
      </c>
      <c r="GE102" s="42">
        <f>Tasks[[#This Row],[_WeightDur]]*Tasks[[#This Row],[_PlannedPct]]</f>
        <v/>
      </c>
      <c r="GF10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2" s="42">
        <f>IF(AND(Tasks[[#This Row],[_IsLeaf]]=1,N(Tasks[[#This Row],[_Days]])=0,Tasks[[#This Row],[_LeafProgress]]&lt;1),Tasks[[#This Row],[_ShownFcstFinish]]+Tasks[[#This Row],[_Row]]/100000,"")</f>
        <v/>
      </c>
      <c r="GH10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2" s="42">
        <f>IF(Tasks[[#This Row],[Task Name]]="","",LEFT(Tasks[[#This Row],[WBS]],FIND(".",Tasks[[#This Row],[WBS]]&amp;".")-1))</f>
        <v/>
      </c>
      <c r="GJ102" s="42">
        <f>IF(AND(Tasks[[#This Row],[Task Name]]&lt;&gt;"",Tasks[[#This Row],[_Level]]=1),Tasks[[#This Row],[_Row]],"")</f>
        <v/>
      </c>
      <c r="GK102" s="42">
        <f>IF(AND(Tasks[[#This Row],[_IsLeaf]]=1,N(Tasks[[#This Row],[_Days]])=0),Tasks[[#This Row],[Planned Finish]]+Tasks[[#This Row],[_Row]]/100000,"")</f>
        <v/>
      </c>
      <c r="GL102" s="42">
        <f>IF(AND(Tasks[[#This Row],[_IsLeaf]]=1,Tasks[[#This Row],[_LeafProgress]]&lt;1,OR(N(Tasks[[#This Row],[Finish Var]])&gt;0,Tasks[[#This Row],[Status]]="Late Start")),MAX(0,Tasks[[#This Row],[Finish Var]])+1-Tasks[[#This Row],[_Row]]/1000000,"")</f>
        <v/>
      </c>
      <c r="GM102" s="42">
        <f>IF(AND(Tasks[[#This Row],[_IsLeaf]]=1,N(Tasks[[#This Row],[Actual Start]])=0,Tasks[[#This Row],[_ShownFcstStart]]&gt;=StatusDate,Tasks[[#This Row],[_ShownFcstStart]]&lt;=LookaheadEnd),Tasks[[#This Row],[_ShownFcstStart]]+Tasks[[#This Row],[_Row]]/100000,"")</f>
        <v/>
      </c>
      <c r="GN102" s="42">
        <f>IF(AND(Tasks[[#This Row],[_IsLeaf]]=1,Tasks[[#This Row],[_LeafProgress]]&lt;1,Tasks[[#This Row],[_ShownFcstFinish]]&gt;=StatusDate,Tasks[[#This Row],[_ShownFcstFinish]]&lt;=LookaheadEnd),Tasks[[#This Row],[_ShownFcstFinish]]+Tasks[[#This Row],[_Row]]/100000,"")</f>
        <v/>
      </c>
      <c r="GO102" s="42">
        <f>IF(Tasks[[#This Row],[_LeafCritical]],Tasks[[#This Row],[_ShownFcstStart]]+Tasks[[#This Row],[_Row]]/100000,"")</f>
        <v/>
      </c>
      <c r="GP102" s="42">
        <f>Tasks[[#This Row],[_LeafWork]]*Tasks[[#This Row],[_LeafProgress]]</f>
        <v/>
      </c>
      <c r="GQ102" s="88">
        <f>IF(AND(Tasks[[#This Row],[_IsLeaf]]=1,Tasks[[#This Row],[_LeafProgress]]&gt;=1),IF(N(Tasks[[#This Row],[Actual Finish]])&gt;0,Tasks[[#This Row],[Actual Finish]],Tasks[[#This Row],[_ShownFcstFinish]]),"")</f>
        <v/>
      </c>
      <c r="GR102" s="42">
        <f>IF(Tasks[[#This Row],[_IsLeaf]]=1,N(Tasks[[#This Row],[Story Points]]),0)</f>
        <v/>
      </c>
      <c r="GS102" s="42">
        <f>""</f>
        <v/>
      </c>
      <c r="GT102" s="42">
        <f>IF(Tasks[[#This Row],[Task Name]]="",FALSE(),AND(Tasks[[#This Row],[_IsLeaf]]=1,N(Tasks[[#This Row],[_Days]])=0))</f>
        <v/>
      </c>
      <c r="GU102" s="88">
        <f>IF(Tasks[[#This Row],[Task Name]]="",0,IF(AND(Tasks[[#This Row],[_IsLeaf]]=1,NOT(Tasks[[#This Row],[_IsMilestone]]),N(Tasks[[#This Row],[Progress]])&gt;0),Tasks[[#This Row],[Start]],0))</f>
        <v/>
      </c>
      <c r="GV102" s="88">
        <f>IF(Tasks[[#This Row],[_DoneFrom]]=0,0,IF(Tasks[[#This Row],[Progress]]&gt;=1,Tasks[[#This Row],[Finish]],MAX(Tasks[[#This Row],[_DoneFrom]],Tasks[[#This Row],[Start]]+ROUND((Tasks[[#This Row],[Finish]]-Tasks[[#This Row],[Start]]+1)*Tasks[[#This Row],[Progress]],0)-1)))</f>
        <v/>
      </c>
      <c r="GW102" s="88">
        <f>IF(Tasks[[#This Row],[Task Name]]="",0,IF(OR(NOT(Tasks[[#This Row],[_IsLeaf]]=1),Tasks[[#This Row],[_IsMilestone]],N(Tasks[[#This Row],[Progress]])&gt;=1),0,IF(Tasks[[#This Row],[_DoneTo]]&gt;0,Tasks[[#This Row],[_DoneTo]]+1,Tasks[[#This Row],[Start]])))</f>
        <v/>
      </c>
      <c r="GX102" s="88">
        <f>IF(Tasks[[#This Row],[_RemFrom]]=0,0,Tasks[[#This Row],[Finish]])</f>
        <v/>
      </c>
      <c r="GY102" s="42">
        <f>IF(Tasks[[#This Row],[Task Name]]="",FALSE(),OR(NOT(BaselineSet),N(Tasks[[#This Row],[Baseline Start]])&gt;0))</f>
        <v/>
      </c>
      <c r="GZ102" s="42">
        <f>IF(AND(Sandbox="Yes",L_PARSE_DURATION(Tasks[[#This Row],[Sandbox Duration]])&lt;&gt;""),L_PARSE_DURATION(Tasks[[#This Row],[Sandbox Duration]]),L_PARSE_DURATION(Tasks[[#This Row],[Duration]]))</f>
        <v/>
      </c>
      <c r="HA10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2" s="42">
        <f>IF(Tasks[[#This Row],[_IsLeaf]]=1,Tasks[[#This Row],[_Row]],"")</f>
        <v/>
      </c>
      <c r="HD102" s="42">
        <f>IFERROR(INDEX(Tasks[UID],SMALL(Tasks[_PickKey],Tasks[[#This Row],[_Row]]))&amp;" "&amp;INDEX(Tasks[Task Name],SMALL(Tasks[_PickKey],Tasks[[#This Row],[_Row]])),"")</f>
        <v/>
      </c>
      <c r="HE102" s="42">
        <f>IF(Tasks[[#This Row],[Task Name]]="","",IF(Tasks[[#This Row],[_IsSummary]],NETWORKDAYS.INTL(Tasks[[#This Row],[Start]],Tasks[[#This Row],[Finish]],WorkWeek,Holidays),N(Tasks[[#This Row],[_Days]])))</f>
        <v/>
      </c>
      <c r="HF102" s="42">
        <f>IF(Tasks[[#This Row],[Expected]]="",0,((Tasks[[#This Row],[Pessimistic]]-Tasks[[#This Row],[Optimistic]])/6)^2)</f>
        <v/>
      </c>
      <c r="HG102" s="42">
        <f>IF(Tasks[[#This Row],[Expected]]="",0,Tasks[[#This Row],[Expected]]-N(Tasks[[#This Row],[_Days]]))</f>
        <v/>
      </c>
    </row>
    <row r="103">
      <c r="A103" s="21">
        <f>IF(Tasks[[#This Row],[Task Name]]="","",COUNTA(Tasks[[#Headers],[Task Name]]:Tasks[[#This Row],[Task Name]])-1)</f>
        <v/>
      </c>
      <c r="B103" s="22" t="n">
        <v>111</v>
      </c>
      <c r="C103" s="22" t="n"/>
      <c r="D103" s="23" t="n"/>
      <c r="E103" s="22" t="n"/>
      <c r="F103" s="23" t="n"/>
      <c r="G103" s="22" t="n"/>
      <c r="H103" s="22" t="n"/>
      <c r="I103" s="23" t="n"/>
      <c r="J103" s="22" t="n"/>
      <c r="K103" s="22" t="n"/>
      <c r="L103" s="23" t="n"/>
      <c r="M103" s="22" t="n"/>
      <c r="N103" s="22" t="n"/>
      <c r="O103" s="23" t="n"/>
      <c r="P103" s="22" t="n"/>
      <c r="Q103" s="22" t="n"/>
      <c r="R103" s="23" t="n"/>
      <c r="S103" s="23" t="n"/>
      <c r="T103" s="82" t="n"/>
      <c r="U103" s="23" t="n"/>
      <c r="V103" s="82" t="n"/>
      <c r="W103" s="23" t="n"/>
      <c r="X103" s="82" t="n"/>
      <c r="Y103" s="23" t="n"/>
      <c r="Z103" s="82" t="n"/>
      <c r="AA103" s="23" t="n"/>
      <c r="AB103" s="23" t="n"/>
      <c r="AC103" s="7" t="n"/>
      <c r="AD103" s="7" t="n"/>
      <c r="AE103" s="61">
        <f>IF(Tasks[[#This Row],[Task Name]]="","",IF(Tasks[[#This Row],[_IsSummary]],MIN(INDEX(Tasks[_ShownFcstStart],Tasks[[#This Row],[_Row]]+1):INDEX(Tasks[_ShownFcstStart],Tasks[[#This Row],[_Row]]+Tasks[[#This Row],[_Descendants]])),Tasks[[#This Row],[_ShownFcstStart]]))</f>
        <v/>
      </c>
      <c r="AF103" s="61">
        <f>IF(Tasks[[#This Row],[Task Name]]="","",IF(Tasks[[#This Row],[_IsSummary]],MAX(INDEX(Tasks[_ShownFcstFinish],Tasks[[#This Row],[_Row]]+1):INDEX(Tasks[_ShownFcstFinish],Tasks[[#This Row],[_Row]]+Tasks[[#This Row],[_Descendants]])),Tasks[[#This Row],[_ShownFcstFinish]]))</f>
        <v/>
      </c>
      <c r="AG103" s="21">
        <f>""</f>
        <v/>
      </c>
      <c r="AH103" s="23" t="n"/>
      <c r="AI10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3" s="7" t="n"/>
      <c r="AK103" s="22" t="n"/>
      <c r="AL103" s="23" t="n"/>
      <c r="AM103" s="7" t="n"/>
      <c r="AN103" s="21">
        <f>IF(Tasks[[#This Row],[Task Name]]="","",IF(Tasks[[#This Row],[Finish]]&gt;=Tasks[[#This Row],[Planned Finish]],NETWORKDAYS.INTL(Tasks[[#This Row],[Planned Finish]],Tasks[[#This Row],[Finish]],WorkWeek,Holidays)-1,1-NETWORKDAYS.INTL(Tasks[[#This Row],[Finish]],Tasks[[#This Row],[Planned Finish]],WorkWeek,Holidays)))</f>
        <v/>
      </c>
      <c r="AO103" s="21">
        <f>IF(Tasks[[#This Row],[Task Name]]="","",IF(Tasks[[#This Row],[Progress]]&gt;=1,"Complete",IF(OR(N(Tasks[[#This Row],[Actual Start]])&gt;0,Tasks[[#This Row],[Progress]]&gt;0),IF(Tasks[[#This Row],[Finish Var]]&gt;0,"Behind","In Progress"),IF(Tasks[[#This Row],[Planned Start]]&lt;StatusDate,"Late Start","Not Started"))))</f>
        <v/>
      </c>
      <c r="AP103" s="21">
        <f>IF(Tasks[[#This Row],[Task Name]]="","",IF(IF(Tasks[[#This Row],[_IsSummary]],COUNTIF(INDEX(Tasks[_LeafCritical],Tasks[[#This Row],[_Row]]+1):INDEX(Tasks[_LeafCritical],Tasks[[#This Row],[_Row]]+Tasks[[#This Row],[_Descendants]]),TRUE())&gt;0,Tasks[[#This Row],[_LeafCritical]]),"Yes",""))</f>
        <v/>
      </c>
      <c r="AQ103" s="61">
        <f>IF(Tasks[[#This Row],[Task Name]]="","",IF(N(Tasks[[#This Row],[Baseline Start]])&gt;0,Tasks[[#This Row],[Baseline Start]],Tasks[[#This Row],[_CalcStart]]))</f>
        <v/>
      </c>
      <c r="AR103" s="61">
        <f>IF(Tasks[[#This Row],[Task Name]]="","",IF(N(Tasks[[#This Row],[Baseline Finish]])&gt;0,Tasks[[#This Row],[Baseline Finish]],Tasks[[#This Row],[_CalcFinish]]))</f>
        <v/>
      </c>
      <c r="AS103" s="21">
        <f>IF(Tasks[[#This Row],[Task Name]]="","",IF(Tasks[[#This Row],[Start]]&gt;=Tasks[[#This Row],[Planned Start]],NETWORKDAYS.INTL(Tasks[[#This Row],[Planned Start]],Tasks[[#This Row],[Start]],WorkWeek,Holidays)-1,1-NETWORKDAYS.INTL(Tasks[[#This Row],[Start]],Tasks[[#This Row],[Planned Start]],WorkWeek,Holidays)))</f>
        <v/>
      </c>
      <c r="AT103" s="61">
        <f>IF(Tasks[[#This Row],[Task Name]]="","",IF(Tasks[[#This Row],[_IsSummary]],MIN(INDEX(Tasks[_LeafLateStart],Tasks[[#This Row],[_Row]]+1):INDEX(Tasks[_LeafLateStart],Tasks[[#This Row],[_Row]]+Tasks[[#This Row],[_Descendants]])),Tasks[[#This Row],[_LeafLateStart]]))</f>
        <v/>
      </c>
      <c r="AU103" s="61">
        <f>IF(Tasks[[#This Row],[Task Name]]="","",IF(Tasks[[#This Row],[_IsSummary]],MAX(INDEX(Tasks[_LeafLateFinish],Tasks[[#This Row],[_Row]]+1):INDEX(Tasks[_LeafLateFinish],Tasks[[#This Row],[_Row]]+Tasks[[#This Row],[_Descendants]])),Tasks[[#This Row],[_LeafLateFinish]]))</f>
        <v/>
      </c>
      <c r="AV103" s="21">
        <f>IF(Tasks[[#This Row],[Task Name]]="","",IF(Tasks[[#This Row],[_IsSummary]],MIN(INDEX(Tasks[_LeafTotalSlack],Tasks[[#This Row],[_Row]]+1):INDEX(Tasks[_LeafTotalSlack],Tasks[[#This Row],[_Row]]+Tasks[[#This Row],[_Descendants]])),Tasks[[#This Row],[_LeafTotalSlack]]))</f>
        <v/>
      </c>
      <c r="AW10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3" t="n"/>
      <c r="BA10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f>IF(Tasks[[#This Row],[Task Name]]="","",IF(Tasks[[#This Row],[_Level]]&lt;=OutlineShowLevel,"Yes","No"))</f>
        <v/>
      </c>
      <c r="BE103" s="84">
        <f>IF(Tasks[[#This Row],[Task Name]]="","",IF(Tasks[[#This Row],[_IsSummary]],SUM(INDEX(Tasks[_LeafTotalWork],Tasks[[#This Row],[_Row]]+1):INDEX(Tasks[_LeafTotalWork],Tasks[[#This Row],[_Row]]+Tasks[[#This Row],[_Descendants]])),Tasks[[#This Row],[_LeafTotalWork]]))</f>
        <v/>
      </c>
      <c r="BF103" s="23" t="n"/>
      <c r="BG10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f>""</f>
        <v/>
      </c>
      <c r="BI103" s="85" t="n"/>
      <c r="BJ103" s="22" t="n"/>
      <c r="BK103" s="21">
        <f>IF(OR(Tasks[[#This Row],[Task Name]]="",Tasks[[#This Row],[Baseline Duration]]=""),"",Tasks[[#This Row],[_SpanDays]]-N(Tasks[[#This Row],[Baseline Duration]]))</f>
        <v/>
      </c>
      <c r="BL103" s="84">
        <f>IF(OR(Tasks[[#This Row],[Task Name]]="",Tasks[[#This Row],[Baseline Work]]=""),"",Tasks[[#This Row],[Work]]-N(Tasks[[#This Row],[Baseline Work]]))</f>
        <v/>
      </c>
      <c r="BM103" s="61">
        <f>IF(Tasks[[#This Row],[Task Name]]="","",IF(OR(TakeBaseline="Yes",N(Tasks[[#This Row],[Baseline Start]])=0),Tasks[[#This Row],[Start]],Tasks[[#This Row],[Baseline Start]]))</f>
        <v/>
      </c>
      <c r="BN103" s="61">
        <f>IF(Tasks[[#This Row],[Task Name]]="","",IF(OR(TakeBaseline="Yes",N(Tasks[[#This Row],[Baseline Finish]])=0),Tasks[[#This Row],[Finish]],Tasks[[#This Row],[Baseline Finish]]))</f>
        <v/>
      </c>
      <c r="BO103" s="21">
        <f>IF(Tasks[[#This Row],[Task Name]]="","",IF(OR(TakeBaseline="Yes",N(Tasks[[#This Row],[Baseline Duration]])=0),Tasks[[#This Row],[_SpanDays]],Tasks[[#This Row],[Baseline Duration]]))</f>
        <v/>
      </c>
      <c r="BP103" s="84">
        <f>IF(Tasks[[#This Row],[Task Name]]="","",IF(OR(TakeBaseline="Yes",N(Tasks[[#This Row],[Baseline Work]])=0),Tasks[[#This Row],[Work]],Tasks[[#This Row],[Baseline Work]]))</f>
        <v/>
      </c>
      <c r="BQ103" s="7" t="n"/>
      <c r="BR103" s="7" t="n"/>
      <c r="BS103" s="22" t="n"/>
      <c r="BT103" s="86" t="n"/>
      <c r="BU103" s="23" t="n"/>
      <c r="BV103" s="23" t="n"/>
      <c r="BW103" s="23" t="n"/>
      <c r="BX103" s="87">
        <f>IF(AND(Tasks[[#This Row],[_IsLeaf]]=1,ISNUMBER(Tasks[[#This Row],[Optimistic]]),ISNUMBER(Tasks[[#This Row],[Pessimistic]])),ROUND((Tasks[[#This Row],[Optimistic]]+4*N(Tasks[[#This Row],[_Days]])+Tasks[[#This Row],[Pessimistic]])/6,1),"")</f>
        <v/>
      </c>
      <c r="BY103" s="85" t="n"/>
      <c r="BZ103" s="85" t="n"/>
      <c r="CA103" s="22" t="n"/>
      <c r="CB103" s="42">
        <f>IF(Tasks[[#This Row],[Task Name]]="","",MAX(1,N(Tasks[[#This Row],[Level]])))</f>
        <v/>
      </c>
      <c r="CC103" s="42">
        <f>ROW()-ROW(Tasks[[#Headers],[ID]])</f>
        <v/>
      </c>
      <c r="CD103" s="42">
        <f>IF(OR(Tasks[[#This Row],[Task Name]]="",Tasks[[#This Row],[_Level]]&lt;=1),0,IFERROR(LOOKUP(2,1/(Tasks[[#Headers],[_Level]]:Tasks[[#This Row],[_Level]]=Tasks[[#This Row],[_Level]]-1),ROW(Tasks[[#Headers],[_Level]]:Tasks[[#This Row],[_Level]])),0))</f>
        <v/>
      </c>
      <c r="CE103" s="42">
        <f>IFERROR(N(INDEX(Tasks[_Level],Tasks[[#This Row],[_Row]]+1)),0)</f>
        <v/>
      </c>
      <c r="CF103" s="42">
        <f>AND(Tasks[[#This Row],[Task Name]]&lt;&gt;"",Tasks[[#This Row],[_NextLevel]]&gt;Tasks[[#This Row],[_Level]])</f>
        <v/>
      </c>
      <c r="CG103" s="42">
        <f>IF(Tasks[[#This Row],[_IsSummary]],COUNTIF(Tasks[WBS],Tasks[[#This Row],[WBS]]&amp;".*"),0)</f>
        <v/>
      </c>
      <c r="CH103" s="42">
        <f>IF(AND(Tasks[[#This Row],[Task Name]]&lt;&gt;"",NOT(Tasks[[#This Row],[_IsSummary]])),1,0)</f>
        <v/>
      </c>
      <c r="CI103" s="42">
        <f>IF(N(Tasks[[#This Row],[_Pred1UID]])=0,0,IFERROR(MATCH(Tasks[[#This Row],[_Pred1UID]],Tasks[UID],0),-1))</f>
        <v/>
      </c>
      <c r="CJ103" s="42">
        <f>IF(N(Tasks[[#This Row],[_Pred2UID]])=0,0,IFERROR(MATCH(Tasks[[#This Row],[_Pred2UID]],Tasks[UID],0),-1))</f>
        <v/>
      </c>
      <c r="CK103" s="42">
        <f>IF(N(Tasks[[#This Row],[_Pred3UID]])=0,0,IFERROR(MATCH(Tasks[[#This Row],[_Pred3UID]],Tasks[UID],0),-1))</f>
        <v/>
      </c>
      <c r="CL103" s="42">
        <f>IF(N(Tasks[[#This Row],[_Pred4UID]])=0,0,IFERROR(MATCH(Tasks[[#This Row],[_Pred4UID]],Tasks[UID],0),-1))</f>
        <v/>
      </c>
      <c r="CM10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3" s="88">
        <f>IF(N(Tasks[[#This Row],[Constraint Date]])=0,0,IF(AND(OR(Tasks[[#This Row],[_ConstraintCode]]=3,Tasks[[#This Row],[_ConstraintCode]]=6,Tasks[[#This Row],[_ConstraintCode]]=7),N(Tasks[[#This Row],[_Days]])&gt;1),WORKDAY.INTL(N(Tasks[[#This Row],[Constraint Date]]),-(N(Tasks[[#This Row],[_Days]])-1),WorkWeek,Holidays),N(Tasks[[#This Row],[Constraint Date]])))</f>
        <v/>
      </c>
      <c r="CO103" s="88">
        <f>IF(OR(Tasks[[#This Row],[_ConstraintCode]]=2,Tasks[[#This Row],[_ConstraintCode]]=3,Tasks[[#This Row],[_ConstraintCode]]=4,Tasks[[#This Row],[_ConstraintCode]]=6),Tasks[[#This Row],[_ConstraintStart]],0)</f>
        <v/>
      </c>
      <c r="CP103" s="88">
        <f>IF(OR(Tasks[[#This Row],[_ConstraintCode]]=2,Tasks[[#This Row],[_ConstraintCode]]=3,Tasks[[#This Row],[_ConstraintCode]]=5,Tasks[[#This Row],[_ConstraintCode]]=7),Tasks[[#This Row],[_ConstraintStart]],2958465)</f>
        <v/>
      </c>
      <c r="CQ10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3" s="88">
        <f>IF(NOT(Tasks[[#This Row],[_IsLeaf]]=1),"",IF(N(Tasks[[#This Row],[_Days]])&lt;=0,Tasks[[#This Row],[_LeafCalcStart]],WORKDAY.INTL(Tasks[[#This Row],[_LeafCalcStart]],Tasks[[#This Row],[_Days]]-1,WorkWeek,Holidays)))</f>
        <v/>
      </c>
      <c r="CS10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3" s="42">
        <f>IF(Tasks[[#This Row],[_Predecessors]]="","",TRIM(MID(SUBSTITUTE(SUBSTITUTE(SUBSTITUTE(UPPER(Tasks[[#This Row],[_Predecessors]]),";",",")," ",""),",",REPT(" ",99)),1,99)))</f>
        <v/>
      </c>
      <c r="CV103" s="42">
        <f>IF(Tasks[[#This Row],[_Pred1Text]]="","",IFERROR(VALUE(LEFT(Tasks[[#This Row],[_Pred1Text]],MIN(FIND("F",Tasks[[#This Row],[_Pred1Text]]&amp;"F"),FIND("S",Tasks[[#This Row],[_Pred1Text]]&amp;"S"),FIND("+",Tasks[[#This Row],[_Pred1Text]]&amp;"+"),FIND("-",Tasks[[#This Row],[_Pred1Text]]&amp;"-"))-1)),""))</f>
        <v/>
      </c>
      <c r="CW10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3" s="42">
        <f>IF(Tasks[[#This Row],[_Pred1Text]]="","",TRIM(MID(SUBSTITUTE(SUBSTITUTE(SUBSTITUTE(UPPER(Tasks[[#This Row],[_Predecessors]]),";",",")," ",""),",",REPT(" ",99)),100,99)))</f>
        <v/>
      </c>
      <c r="CZ103" s="42">
        <f>IF(Tasks[[#This Row],[_Pred2Text]]="","",IFERROR(VALUE(LEFT(Tasks[[#This Row],[_Pred2Text]],MIN(FIND("F",Tasks[[#This Row],[_Pred2Text]]&amp;"F"),FIND("S",Tasks[[#This Row],[_Pred2Text]]&amp;"S"),FIND("+",Tasks[[#This Row],[_Pred2Text]]&amp;"+"),FIND("-",Tasks[[#This Row],[_Pred2Text]]&amp;"-"))-1)),""))</f>
        <v/>
      </c>
      <c r="DA10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3" s="42">
        <f>IF(Tasks[[#This Row],[_Pred2Text]]="","",TRIM(MID(SUBSTITUTE(SUBSTITUTE(SUBSTITUTE(UPPER(Tasks[[#This Row],[_Predecessors]]),";",",")," ",""),",",REPT(" ",99)),199,99)))</f>
        <v/>
      </c>
      <c r="DD103" s="42">
        <f>IF(Tasks[[#This Row],[_Pred3Text]]="","",IFERROR(VALUE(LEFT(Tasks[[#This Row],[_Pred3Text]],MIN(FIND("F",Tasks[[#This Row],[_Pred3Text]]&amp;"F"),FIND("S",Tasks[[#This Row],[_Pred3Text]]&amp;"S"),FIND("+",Tasks[[#This Row],[_Pred3Text]]&amp;"+"),FIND("-",Tasks[[#This Row],[_Pred3Text]]&amp;"-"))-1)),""))</f>
        <v/>
      </c>
      <c r="DE10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3" s="42">
        <f>IF(Tasks[[#This Row],[_Pred3Text]]="","",TRIM(MID(SUBSTITUTE(SUBSTITUTE(SUBSTITUTE(UPPER(Tasks[[#This Row],[_Predecessors]]),";",",")," ",""),",",REPT(" ",99)),298,99)))</f>
        <v/>
      </c>
      <c r="DH103" s="42">
        <f>IF(Tasks[[#This Row],[_Pred4Text]]="","",IFERROR(VALUE(LEFT(Tasks[[#This Row],[_Pred4Text]],MIN(FIND("F",Tasks[[#This Row],[_Pred4Text]]&amp;"F"),FIND("S",Tasks[[#This Row],[_Pred4Text]]&amp;"S"),FIND("+",Tasks[[#This Row],[_Pred4Text]]&amp;"+"),FIND("-",Tasks[[#This Row],[_Pred4Text]]&amp;"-"))-1)),""))</f>
        <v/>
      </c>
      <c r="DI10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3" s="42">
        <f>IF(OR(Tasks[[#This Row],[Task Name]]="",Tasks[[#This Row],[_Resources]]=""),"",TRIM(MID(SUBSTITUTE(Tasks[[#This Row],[_Resources]],",",REPT(" ",99)),1,99)))</f>
        <v/>
      </c>
      <c r="DL103" s="42">
        <f>IF(Tasks[[#This Row],[_Res1Text]]="","",TRIM(MID(SUBSTITUTE(Tasks[[#This Row],[_Resources]],",",REPT(" ",99)),100,99)))</f>
        <v/>
      </c>
      <c r="DM103" s="42">
        <f>IF(Tasks[[#This Row],[_Res2Text]]="","",TRIM(MID(SUBSTITUTE(Tasks[[#This Row],[_Resources]],",",REPT(" ",99)),199,99)))</f>
        <v/>
      </c>
      <c r="DN103" s="42">
        <f>IF(Tasks[[#This Row],[_Res3Text]]="","",TRIM(MID(SUBSTITUTE(Tasks[[#This Row],[_Resources]],",",REPT(" ",99)),298,99)))</f>
        <v/>
      </c>
      <c r="DO103" s="42">
        <f>IF(Tasks[[#This Row],[_Res1Text]]="",0,IFERROR(MATCH(TRIM(LEFT(Tasks[[#This Row],[_Res1Text]],FIND("[",Tasks[[#This Row],[_Res1Text]]&amp;"[")-1)),res_Name,0),IFERROR(MATCH(TRIM(LEFT(Tasks[[#This Row],[_Res1Text]],FIND("[",Tasks[[#This Row],[_Res1Text]]&amp;"[")-1)),res_Initials,0),0)))</f>
        <v/>
      </c>
      <c r="DP103" s="42">
        <f>IF(Tasks[[#This Row],[_Res2Text]]="",0,IFERROR(MATCH(TRIM(LEFT(Tasks[[#This Row],[_Res2Text]],FIND("[",Tasks[[#This Row],[_Res2Text]]&amp;"[")-1)),res_Name,0),IFERROR(MATCH(TRIM(LEFT(Tasks[[#This Row],[_Res2Text]],FIND("[",Tasks[[#This Row],[_Res2Text]]&amp;"[")-1)),res_Initials,0),0)))</f>
        <v/>
      </c>
      <c r="DQ103" s="42">
        <f>IF(Tasks[[#This Row],[_Res3Text]]="",0,IFERROR(MATCH(TRIM(LEFT(Tasks[[#This Row],[_Res3Text]],FIND("[",Tasks[[#This Row],[_Res3Text]]&amp;"[")-1)),res_Name,0),IFERROR(MATCH(TRIM(LEFT(Tasks[[#This Row],[_Res3Text]],FIND("[",Tasks[[#This Row],[_Res3Text]]&amp;"[")-1)),res_Initials,0),0)))</f>
        <v/>
      </c>
      <c r="DR103" s="42">
        <f>IF(Tasks[[#This Row],[_Res4Text]]="",0,IFERROR(MATCH(TRIM(LEFT(Tasks[[#This Row],[_Res4Text]],FIND("[",Tasks[[#This Row],[_Res4Text]]&amp;"[")-1)),res_Name,0),IFERROR(MATCH(TRIM(LEFT(Tasks[[#This Row],[_Res4Text]],FIND("[",Tasks[[#This Row],[_Res4Text]]&amp;"[")-1)),res_Initials,0),0)))</f>
        <v/>
      </c>
      <c r="DS103" s="42">
        <f>IF(Tasks[[#This Row],[_Res1Text]]="","",IF(Tasks[[#This Row],[_Res1Row]]&gt;0,INDEX(res_Name,Tasks[[#This Row],[_Res1Row]]),TRIM(LEFT(Tasks[[#This Row],[_Res1Text]],FIND("[",Tasks[[#This Row],[_Res1Text]]&amp;"[")-1))))</f>
        <v/>
      </c>
      <c r="DT10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3" s="42">
        <f>IF(NOT(Tasks[[#This Row],[_IsLeaf]]=1),0,(Tasks[[#This Row],[_Resource1]]&lt;&gt;"")+(Tasks[[#This Row],[_Res2]]&lt;&gt;"")+(Tasks[[#This Row],[_Res3]]&lt;&gt;"")+(Tasks[[#This Row],[_Res4]]&lt;&gt;""))</f>
        <v/>
      </c>
      <c r="DV103" s="42">
        <f>IF(Tasks[[#This Row],[_Res2Text]]="","",IF(Tasks[[#This Row],[_Res2Row]]&gt;0,INDEX(res_Name,Tasks[[#This Row],[_Res2Row]]),TRIM(LEFT(Tasks[[#This Row],[_Res2Text]],FIND("[",Tasks[[#This Row],[_Res2Text]]&amp;"[")-1))))</f>
        <v/>
      </c>
      <c r="DW10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3" s="42">
        <f>IF(OR(NOT(Tasks[[#This Row],[_IsLeaf]]=1),Tasks[[#This Row],[_Res2Row]]=0),0,N(Tasks[[#This Row],[_Days]])*HoursPerDay*IF(Tasks[[#This Row],[_Res2Units]]="",DefaultUnits,Tasks[[#This Row],[_Res2Units]]))</f>
        <v/>
      </c>
      <c r="DY103" s="42">
        <f>IF(AND(AND(Tasks[[#This Row],[_IsLeaf]]=1,Tasks[[#This Row],[_LeafTotalWork]]&gt;0),Tasks[[#This Row],[_Res2Work]]&gt;0),Tasks[[#This Row],[_Res2Work]]/(Tasks[[#This Row],[_FinishWorkday]]-Tasks[[#This Row],[_StartWorkday]]+1),0)</f>
        <v/>
      </c>
      <c r="DZ103" s="42">
        <f>Tasks[[#This Row],[_Res2WorkPerWD]]*MAX(0,Tasks[[#This Row],[_StartWorkday]]-1)</f>
        <v/>
      </c>
      <c r="EA103" s="42">
        <f>Tasks[[#This Row],[_Res2Work]]*Tasks[[#This Row],[_LeafProgress]]</f>
        <v/>
      </c>
      <c r="EB103" s="42">
        <f>IF(Tasks[[#This Row],[_Res3Text]]="","",IF(Tasks[[#This Row],[_Res3Row]]&gt;0,INDEX(res_Name,Tasks[[#This Row],[_Res3Row]]),TRIM(LEFT(Tasks[[#This Row],[_Res3Text]],FIND("[",Tasks[[#This Row],[_Res3Text]]&amp;"[")-1))))</f>
        <v/>
      </c>
      <c r="EC10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3" s="42">
        <f>IF(OR(NOT(Tasks[[#This Row],[_IsLeaf]]=1),Tasks[[#This Row],[_Res3Row]]=0),0,N(Tasks[[#This Row],[_Days]])*HoursPerDay*IF(Tasks[[#This Row],[_Res3Units]]="",DefaultUnits,Tasks[[#This Row],[_Res3Units]]))</f>
        <v/>
      </c>
      <c r="EE103" s="42">
        <f>IF(AND(AND(Tasks[[#This Row],[_IsLeaf]]=1,Tasks[[#This Row],[_LeafTotalWork]]&gt;0),Tasks[[#This Row],[_Res3Work]]&gt;0),Tasks[[#This Row],[_Res3Work]]/(Tasks[[#This Row],[_FinishWorkday]]-Tasks[[#This Row],[_StartWorkday]]+1),0)</f>
        <v/>
      </c>
      <c r="EF103" s="42">
        <f>Tasks[[#This Row],[_Res3WorkPerWD]]*MAX(0,Tasks[[#This Row],[_StartWorkday]]-1)</f>
        <v/>
      </c>
      <c r="EG103" s="42">
        <f>Tasks[[#This Row],[_Res3Work]]*Tasks[[#This Row],[_LeafProgress]]</f>
        <v/>
      </c>
      <c r="EH103" s="42">
        <f>IF(Tasks[[#This Row],[_Res4Text]]="","",IF(Tasks[[#This Row],[_Res4Row]]&gt;0,INDEX(res_Name,Tasks[[#This Row],[_Res4Row]]),TRIM(LEFT(Tasks[[#This Row],[_Res4Text]],FIND("[",Tasks[[#This Row],[_Res4Text]]&amp;"[")-1))))</f>
        <v/>
      </c>
      <c r="EI10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3" s="42">
        <f>IF(OR(NOT(Tasks[[#This Row],[_IsLeaf]]=1),Tasks[[#This Row],[_Res4Row]]=0),0,N(Tasks[[#This Row],[_Days]])*HoursPerDay*IF(Tasks[[#This Row],[_Res4Units]]="",DefaultUnits,Tasks[[#This Row],[_Res4Units]]))</f>
        <v/>
      </c>
      <c r="EK103" s="42">
        <f>IF(AND(AND(Tasks[[#This Row],[_IsLeaf]]=1,Tasks[[#This Row],[_LeafTotalWork]]&gt;0),Tasks[[#This Row],[_Res4Work]]&gt;0),Tasks[[#This Row],[_Res4Work]]/(Tasks[[#This Row],[_FinishWorkday]]-Tasks[[#This Row],[_StartWorkday]]+1),0)</f>
        <v/>
      </c>
      <c r="EL103" s="42">
        <f>Tasks[[#This Row],[_Res4WorkPerWD]]*MAX(0,Tasks[[#This Row],[_StartWorkday]]-1)</f>
        <v/>
      </c>
      <c r="EM103" s="42">
        <f>Tasks[[#This Row],[_Res4Work]]*Tasks[[#This Row],[_LeafProgress]]</f>
        <v/>
      </c>
      <c r="EN103" s="42">
        <f>IF(ISNUMBER(Tasks[[#This Row],[% Complete]]),Tasks[[#This Row],[% Complete]],IF(Tasks[[#This Row],[Stage]]="",0,IFERROR(INDEX(stg_Pct,MATCH(Tasks[[#This Row],[Stage]],stg_Name,0)),0)))</f>
        <v/>
      </c>
      <c r="EO103" s="42">
        <f>IF(NOT(Tasks[[#This Row],[_IsLeaf]]=1),0,IF(N(Tasks[[#This Row],[Actual Finish]])&gt;0,1,MIN(1,Tasks[[#This Row],[_Pct]])))</f>
        <v/>
      </c>
      <c r="EP103" s="42">
        <f>IF(OR(NOT(Tasks[[#This Row],[_IsLeaf]]=1),Tasks[[#This Row],[_Res1Row]]=0),0,N(Tasks[[#This Row],[_Days]])*HoursPerDay*IF(Tasks[[#This Row],[_Units1]]="",DefaultUnits,Tasks[[#This Row],[_Units1]]))</f>
        <v/>
      </c>
      <c r="EQ103" s="42">
        <f>Tasks[[#This Row],[_LeafWork]]+Tasks[[#This Row],[_Res2Work]]+Tasks[[#This Row],[_Res3Work]]+Tasks[[#This Row],[_Res4Work]]</f>
        <v/>
      </c>
      <c r="ER10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3" s="42">
        <f>IF(NOT(Tasks[[#This Row],[_IsLeaf]]=1),0,MAX(_xlfn.MAXIFS(Tasks[_Row],Tasks[_Pred1UID],Tasks[[#This Row],[UID]]),_xlfn.MAXIFS(Tasks[_Row],Tasks[_Pred2UID],Tasks[[#This Row],[UID]]),_xlfn.MAXIFS(Tasks[_Row],Tasks[_Pred3UID],Tasks[[#This Row],[UID]]),_xlfn.MAXIFS(Tasks[_Row],Tasks[_Pred4UID],Tasks[[#This Row],[UID]])))</f>
        <v/>
      </c>
      <c r="FA10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3" s="88">
        <f>IF(NOT(Tasks[[#This Row],[_IsLeaf]]=1),"",IF(N(Tasks[[#This Row],[_Days]])&lt;=0,Tasks[[#This Row],[_LeafLateFinish]],WORKDAY.INTL(Tasks[[#This Row],[_LeafLateFinish]],-(Tasks[[#This Row],[_Days]]-1),WorkWeek,Holidays)))</f>
        <v/>
      </c>
      <c r="FD10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3" s="42">
        <f>AND(Tasks[[#This Row],[_IsLeaf]]=1,Tasks[[#This Row],[_LeafProgress]]&lt;1,N(Tasks[[#This Row],[_LeafTotalSlack]])&lt;=CriticalSlackDays)</f>
        <v/>
      </c>
      <c r="FF103" s="42">
        <f>IF(AND(Tasks[[#This Row],[_IsLeaf]]=1,Tasks[[#This Row],[_ConstraintCode]]=1,Tasks[[#This Row],[Mode]]&lt;&gt;"Manual",N(Tasks[[#This Row],[Actual Start]])=0),MAX(0,N(Tasks[[#This Row],[Free Slack]])),0)</f>
        <v/>
      </c>
      <c r="FG103" s="88">
        <f>IF(NOT(Tasks[[#This Row],[_IsLeaf]]=1),"",IF(Tasks[[#This Row],[_AlapShift]]=0,Tasks[[#This Row],[_LeafCalcStart]],WORKDAY.INTL(Tasks[[#This Row],[_LeafCalcStart]],Tasks[[#This Row],[_AlapShift]],WorkWeek,Holidays)))</f>
        <v/>
      </c>
      <c r="FH103" s="88">
        <f>IF(NOT(Tasks[[#This Row],[_IsLeaf]]=1),"",IF(Tasks[[#This Row],[_AlapShift]]=0,Tasks[[#This Row],[_LeafCalcFinish]],WORKDAY.INTL(Tasks[[#This Row],[_LeafCalcFinish]],Tasks[[#This Row],[_AlapShift]],WorkWeek,Holidays)))</f>
        <v/>
      </c>
      <c r="FI103" s="88">
        <f>IF(NOT(Tasks[[#This Row],[_IsLeaf]]=1),"",IF(Tasks[[#This Row],[_AlapShift]]=0,Tasks[[#This Row],[_LeafFcstStart]],WORKDAY.INTL(Tasks[[#This Row],[_LeafFcstStart]],Tasks[[#This Row],[_AlapShift]],WorkWeek,Holidays)))</f>
        <v/>
      </c>
      <c r="FJ103" s="88">
        <f>IF(NOT(Tasks[[#This Row],[_IsLeaf]]=1),"",IF(Tasks[[#This Row],[_AlapShift]]=0,Tasks[[#This Row],[_LeafFcstFinish]],WORKDAY.INTL(Tasks[[#This Row],[_LeafFcstFinish]],Tasks[[#This Row],[_AlapShift]],WorkWeek,Holidays)))</f>
        <v/>
      </c>
      <c r="FK103" s="88">
        <f>IF(Tasks[[#This Row],[Task Name]]="","",IF(Tasks[[#This Row],[_IsSummary]],MIN(INDEX(Tasks[_ShownCalcStart],Tasks[[#This Row],[_Row]]+1):INDEX(Tasks[_ShownCalcStart],Tasks[[#This Row],[_Row]]+Tasks[[#This Row],[_Descendants]])),Tasks[[#This Row],[_ShownCalcStart]]))</f>
        <v/>
      </c>
      <c r="FL103" s="88">
        <f>IF(Tasks[[#This Row],[Task Name]]="","",IF(Tasks[[#This Row],[_IsSummary]],MAX(INDEX(Tasks[_ShownCalcFinish],Tasks[[#This Row],[_Row]]+1):INDEX(Tasks[_ShownCalcFinish],Tasks[[#This Row],[_Row]]+Tasks[[#This Row],[_Descendants]])),Tasks[[#This Row],[_ShownCalcFinish]]))</f>
        <v/>
      </c>
      <c r="FM10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3" s="42">
        <f>IF(AND(Tasks[[#This Row],[_IsLeaf]]=1,Tasks[[#This Row],[_LeafTotalWork]]&gt;0),NETWORKDAYS.INTL(ProjectStart,Tasks[[#This Row],[_ShownFcstStart]],WorkWeek,Holidays),0)</f>
        <v/>
      </c>
      <c r="FZ103" s="42">
        <f>IF(AND(Tasks[[#This Row],[_IsLeaf]]=1,Tasks[[#This Row],[_LeafTotalWork]]&gt;0),MAX(Tasks[[#This Row],[_StartWorkday]],NETWORKDAYS.INTL(ProjectStart,Tasks[[#This Row],[_ShownFcstFinish]],WorkWeek,Holidays)),0)</f>
        <v/>
      </c>
      <c r="GA103" s="42">
        <f>IF(AND(Tasks[[#This Row],[_IsLeaf]]=1,Tasks[[#This Row],[_LeafTotalWork]]&gt;0),Tasks[[#This Row],[_LeafWork]]/(Tasks[[#This Row],[_FinishWorkday]]-Tasks[[#This Row],[_StartWorkday]]+1),0)</f>
        <v/>
      </c>
      <c r="GB103" s="42">
        <f>Tasks[[#This Row],[_WorkPerWorkday]]*(Tasks[[#This Row],[_StartWorkday]]-1)</f>
        <v/>
      </c>
      <c r="GC103" s="42">
        <f>IF(Tasks[[#This Row],[_IsLeaf]]=1,MAX(N(Tasks[[#This Row],[_Days]]),0.1),0)</f>
        <v/>
      </c>
      <c r="GD103" s="42">
        <f>Tasks[[#This Row],[_WeightDur]]*Tasks[[#This Row],[_LeafProgress]]</f>
        <v/>
      </c>
      <c r="GE103" s="42">
        <f>Tasks[[#This Row],[_WeightDur]]*Tasks[[#This Row],[_PlannedPct]]</f>
        <v/>
      </c>
      <c r="GF10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3" s="42">
        <f>IF(AND(Tasks[[#This Row],[_IsLeaf]]=1,N(Tasks[[#This Row],[_Days]])=0,Tasks[[#This Row],[_LeafProgress]]&lt;1),Tasks[[#This Row],[_ShownFcstFinish]]+Tasks[[#This Row],[_Row]]/100000,"")</f>
        <v/>
      </c>
      <c r="GH10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3" s="42">
        <f>IF(Tasks[[#This Row],[Task Name]]="","",LEFT(Tasks[[#This Row],[WBS]],FIND(".",Tasks[[#This Row],[WBS]]&amp;".")-1))</f>
        <v/>
      </c>
      <c r="GJ103" s="42">
        <f>IF(AND(Tasks[[#This Row],[Task Name]]&lt;&gt;"",Tasks[[#This Row],[_Level]]=1),Tasks[[#This Row],[_Row]],"")</f>
        <v/>
      </c>
      <c r="GK103" s="42">
        <f>IF(AND(Tasks[[#This Row],[_IsLeaf]]=1,N(Tasks[[#This Row],[_Days]])=0),Tasks[[#This Row],[Planned Finish]]+Tasks[[#This Row],[_Row]]/100000,"")</f>
        <v/>
      </c>
      <c r="GL103" s="42">
        <f>IF(AND(Tasks[[#This Row],[_IsLeaf]]=1,Tasks[[#This Row],[_LeafProgress]]&lt;1,OR(N(Tasks[[#This Row],[Finish Var]])&gt;0,Tasks[[#This Row],[Status]]="Late Start")),MAX(0,Tasks[[#This Row],[Finish Var]])+1-Tasks[[#This Row],[_Row]]/1000000,"")</f>
        <v/>
      </c>
      <c r="GM103" s="42">
        <f>IF(AND(Tasks[[#This Row],[_IsLeaf]]=1,N(Tasks[[#This Row],[Actual Start]])=0,Tasks[[#This Row],[_ShownFcstStart]]&gt;=StatusDate,Tasks[[#This Row],[_ShownFcstStart]]&lt;=LookaheadEnd),Tasks[[#This Row],[_ShownFcstStart]]+Tasks[[#This Row],[_Row]]/100000,"")</f>
        <v/>
      </c>
      <c r="GN103" s="42">
        <f>IF(AND(Tasks[[#This Row],[_IsLeaf]]=1,Tasks[[#This Row],[_LeafProgress]]&lt;1,Tasks[[#This Row],[_ShownFcstFinish]]&gt;=StatusDate,Tasks[[#This Row],[_ShownFcstFinish]]&lt;=LookaheadEnd),Tasks[[#This Row],[_ShownFcstFinish]]+Tasks[[#This Row],[_Row]]/100000,"")</f>
        <v/>
      </c>
      <c r="GO103" s="42">
        <f>IF(Tasks[[#This Row],[_LeafCritical]],Tasks[[#This Row],[_ShownFcstStart]]+Tasks[[#This Row],[_Row]]/100000,"")</f>
        <v/>
      </c>
      <c r="GP103" s="42">
        <f>Tasks[[#This Row],[_LeafWork]]*Tasks[[#This Row],[_LeafProgress]]</f>
        <v/>
      </c>
      <c r="GQ103" s="88">
        <f>IF(AND(Tasks[[#This Row],[_IsLeaf]]=1,Tasks[[#This Row],[_LeafProgress]]&gt;=1),IF(N(Tasks[[#This Row],[Actual Finish]])&gt;0,Tasks[[#This Row],[Actual Finish]],Tasks[[#This Row],[_ShownFcstFinish]]),"")</f>
        <v/>
      </c>
      <c r="GR103" s="42">
        <f>IF(Tasks[[#This Row],[_IsLeaf]]=1,N(Tasks[[#This Row],[Story Points]]),0)</f>
        <v/>
      </c>
      <c r="GS103" s="42">
        <f>""</f>
        <v/>
      </c>
      <c r="GT103" s="42">
        <f>IF(Tasks[[#This Row],[Task Name]]="",FALSE(),AND(Tasks[[#This Row],[_IsLeaf]]=1,N(Tasks[[#This Row],[_Days]])=0))</f>
        <v/>
      </c>
      <c r="GU103" s="88">
        <f>IF(Tasks[[#This Row],[Task Name]]="",0,IF(AND(Tasks[[#This Row],[_IsLeaf]]=1,NOT(Tasks[[#This Row],[_IsMilestone]]),N(Tasks[[#This Row],[Progress]])&gt;0),Tasks[[#This Row],[Start]],0))</f>
        <v/>
      </c>
      <c r="GV103" s="88">
        <f>IF(Tasks[[#This Row],[_DoneFrom]]=0,0,IF(Tasks[[#This Row],[Progress]]&gt;=1,Tasks[[#This Row],[Finish]],MAX(Tasks[[#This Row],[_DoneFrom]],Tasks[[#This Row],[Start]]+ROUND((Tasks[[#This Row],[Finish]]-Tasks[[#This Row],[Start]]+1)*Tasks[[#This Row],[Progress]],0)-1)))</f>
        <v/>
      </c>
      <c r="GW103" s="88">
        <f>IF(Tasks[[#This Row],[Task Name]]="",0,IF(OR(NOT(Tasks[[#This Row],[_IsLeaf]]=1),Tasks[[#This Row],[_IsMilestone]],N(Tasks[[#This Row],[Progress]])&gt;=1),0,IF(Tasks[[#This Row],[_DoneTo]]&gt;0,Tasks[[#This Row],[_DoneTo]]+1,Tasks[[#This Row],[Start]])))</f>
        <v/>
      </c>
      <c r="GX103" s="88">
        <f>IF(Tasks[[#This Row],[_RemFrom]]=0,0,Tasks[[#This Row],[Finish]])</f>
        <v/>
      </c>
      <c r="GY103" s="42">
        <f>IF(Tasks[[#This Row],[Task Name]]="",FALSE(),OR(NOT(BaselineSet),N(Tasks[[#This Row],[Baseline Start]])&gt;0))</f>
        <v/>
      </c>
      <c r="GZ103" s="42">
        <f>IF(AND(Sandbox="Yes",L_PARSE_DURATION(Tasks[[#This Row],[Sandbox Duration]])&lt;&gt;""),L_PARSE_DURATION(Tasks[[#This Row],[Sandbox Duration]]),L_PARSE_DURATION(Tasks[[#This Row],[Duration]]))</f>
        <v/>
      </c>
      <c r="HA10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3" s="42">
        <f>IF(Tasks[[#This Row],[_IsLeaf]]=1,Tasks[[#This Row],[_Row]],"")</f>
        <v/>
      </c>
      <c r="HD103" s="42">
        <f>IFERROR(INDEX(Tasks[UID],SMALL(Tasks[_PickKey],Tasks[[#This Row],[_Row]]))&amp;" "&amp;INDEX(Tasks[Task Name],SMALL(Tasks[_PickKey],Tasks[[#This Row],[_Row]])),"")</f>
        <v/>
      </c>
      <c r="HE103" s="42">
        <f>IF(Tasks[[#This Row],[Task Name]]="","",IF(Tasks[[#This Row],[_IsSummary]],NETWORKDAYS.INTL(Tasks[[#This Row],[Start]],Tasks[[#This Row],[Finish]],WorkWeek,Holidays),N(Tasks[[#This Row],[_Days]])))</f>
        <v/>
      </c>
      <c r="HF103" s="42">
        <f>IF(Tasks[[#This Row],[Expected]]="",0,((Tasks[[#This Row],[Pessimistic]]-Tasks[[#This Row],[Optimistic]])/6)^2)</f>
        <v/>
      </c>
      <c r="HG103" s="42">
        <f>IF(Tasks[[#This Row],[Expected]]="",0,Tasks[[#This Row],[Expected]]-N(Tasks[[#This Row],[_Days]]))</f>
        <v/>
      </c>
    </row>
    <row r="104">
      <c r="A104" s="21">
        <f>IF(Tasks[[#This Row],[Task Name]]="","",COUNTA(Tasks[[#Headers],[Task Name]]:Tasks[[#This Row],[Task Name]])-1)</f>
        <v/>
      </c>
      <c r="B104" s="22" t="n">
        <v>112</v>
      </c>
      <c r="C104" s="22" t="n"/>
      <c r="D104" s="23" t="n"/>
      <c r="E104" s="22" t="n"/>
      <c r="F104" s="23" t="n"/>
      <c r="G104" s="22" t="n"/>
      <c r="H104" s="22" t="n"/>
      <c r="I104" s="23" t="n"/>
      <c r="J104" s="22" t="n"/>
      <c r="K104" s="22" t="n"/>
      <c r="L104" s="23" t="n"/>
      <c r="M104" s="22" t="n"/>
      <c r="N104" s="22" t="n"/>
      <c r="O104" s="23" t="n"/>
      <c r="P104" s="22" t="n"/>
      <c r="Q104" s="22" t="n"/>
      <c r="R104" s="23" t="n"/>
      <c r="S104" s="23" t="n"/>
      <c r="T104" s="82" t="n"/>
      <c r="U104" s="23" t="n"/>
      <c r="V104" s="82" t="n"/>
      <c r="W104" s="23" t="n"/>
      <c r="X104" s="82" t="n"/>
      <c r="Y104" s="23" t="n"/>
      <c r="Z104" s="82" t="n"/>
      <c r="AA104" s="23" t="n"/>
      <c r="AB104" s="23" t="n"/>
      <c r="AC104" s="7" t="n"/>
      <c r="AD104" s="7" t="n"/>
      <c r="AE104" s="61">
        <f>IF(Tasks[[#This Row],[Task Name]]="","",IF(Tasks[[#This Row],[_IsSummary]],MIN(INDEX(Tasks[_ShownFcstStart],Tasks[[#This Row],[_Row]]+1):INDEX(Tasks[_ShownFcstStart],Tasks[[#This Row],[_Row]]+Tasks[[#This Row],[_Descendants]])),Tasks[[#This Row],[_ShownFcstStart]]))</f>
        <v/>
      </c>
      <c r="AF104" s="61">
        <f>IF(Tasks[[#This Row],[Task Name]]="","",IF(Tasks[[#This Row],[_IsSummary]],MAX(INDEX(Tasks[_ShownFcstFinish],Tasks[[#This Row],[_Row]]+1):INDEX(Tasks[_ShownFcstFinish],Tasks[[#This Row],[_Row]]+Tasks[[#This Row],[_Descendants]])),Tasks[[#This Row],[_ShownFcstFinish]]))</f>
        <v/>
      </c>
      <c r="AG104" s="21">
        <f>""</f>
        <v/>
      </c>
      <c r="AH104" s="23" t="n"/>
      <c r="AI10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4" s="7" t="n"/>
      <c r="AK104" s="22" t="n"/>
      <c r="AL104" s="23" t="n"/>
      <c r="AM104" s="7" t="n"/>
      <c r="AN104" s="21">
        <f>IF(Tasks[[#This Row],[Task Name]]="","",IF(Tasks[[#This Row],[Finish]]&gt;=Tasks[[#This Row],[Planned Finish]],NETWORKDAYS.INTL(Tasks[[#This Row],[Planned Finish]],Tasks[[#This Row],[Finish]],WorkWeek,Holidays)-1,1-NETWORKDAYS.INTL(Tasks[[#This Row],[Finish]],Tasks[[#This Row],[Planned Finish]],WorkWeek,Holidays)))</f>
        <v/>
      </c>
      <c r="AO104" s="21">
        <f>IF(Tasks[[#This Row],[Task Name]]="","",IF(Tasks[[#This Row],[Progress]]&gt;=1,"Complete",IF(OR(N(Tasks[[#This Row],[Actual Start]])&gt;0,Tasks[[#This Row],[Progress]]&gt;0),IF(Tasks[[#This Row],[Finish Var]]&gt;0,"Behind","In Progress"),IF(Tasks[[#This Row],[Planned Start]]&lt;StatusDate,"Late Start","Not Started"))))</f>
        <v/>
      </c>
      <c r="AP104" s="21">
        <f>IF(Tasks[[#This Row],[Task Name]]="","",IF(IF(Tasks[[#This Row],[_IsSummary]],COUNTIF(INDEX(Tasks[_LeafCritical],Tasks[[#This Row],[_Row]]+1):INDEX(Tasks[_LeafCritical],Tasks[[#This Row],[_Row]]+Tasks[[#This Row],[_Descendants]]),TRUE())&gt;0,Tasks[[#This Row],[_LeafCritical]]),"Yes",""))</f>
        <v/>
      </c>
      <c r="AQ104" s="61">
        <f>IF(Tasks[[#This Row],[Task Name]]="","",IF(N(Tasks[[#This Row],[Baseline Start]])&gt;0,Tasks[[#This Row],[Baseline Start]],Tasks[[#This Row],[_CalcStart]]))</f>
        <v/>
      </c>
      <c r="AR104" s="61">
        <f>IF(Tasks[[#This Row],[Task Name]]="","",IF(N(Tasks[[#This Row],[Baseline Finish]])&gt;0,Tasks[[#This Row],[Baseline Finish]],Tasks[[#This Row],[_CalcFinish]]))</f>
        <v/>
      </c>
      <c r="AS104" s="21">
        <f>IF(Tasks[[#This Row],[Task Name]]="","",IF(Tasks[[#This Row],[Start]]&gt;=Tasks[[#This Row],[Planned Start]],NETWORKDAYS.INTL(Tasks[[#This Row],[Planned Start]],Tasks[[#This Row],[Start]],WorkWeek,Holidays)-1,1-NETWORKDAYS.INTL(Tasks[[#This Row],[Start]],Tasks[[#This Row],[Planned Start]],WorkWeek,Holidays)))</f>
        <v/>
      </c>
      <c r="AT104" s="61">
        <f>IF(Tasks[[#This Row],[Task Name]]="","",IF(Tasks[[#This Row],[_IsSummary]],MIN(INDEX(Tasks[_LeafLateStart],Tasks[[#This Row],[_Row]]+1):INDEX(Tasks[_LeafLateStart],Tasks[[#This Row],[_Row]]+Tasks[[#This Row],[_Descendants]])),Tasks[[#This Row],[_LeafLateStart]]))</f>
        <v/>
      </c>
      <c r="AU104" s="61">
        <f>IF(Tasks[[#This Row],[Task Name]]="","",IF(Tasks[[#This Row],[_IsSummary]],MAX(INDEX(Tasks[_LeafLateFinish],Tasks[[#This Row],[_Row]]+1):INDEX(Tasks[_LeafLateFinish],Tasks[[#This Row],[_Row]]+Tasks[[#This Row],[_Descendants]])),Tasks[[#This Row],[_LeafLateFinish]]))</f>
        <v/>
      </c>
      <c r="AV104" s="21">
        <f>IF(Tasks[[#This Row],[Task Name]]="","",IF(Tasks[[#This Row],[_IsSummary]],MIN(INDEX(Tasks[_LeafTotalSlack],Tasks[[#This Row],[_Row]]+1):INDEX(Tasks[_LeafTotalSlack],Tasks[[#This Row],[_Row]]+Tasks[[#This Row],[_Descendants]])),Tasks[[#This Row],[_LeafTotalSlack]]))</f>
        <v/>
      </c>
      <c r="AW10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3" t="n"/>
      <c r="BA10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f>IF(Tasks[[#This Row],[Task Name]]="","",IF(Tasks[[#This Row],[_Level]]&lt;=OutlineShowLevel,"Yes","No"))</f>
        <v/>
      </c>
      <c r="BE104" s="84">
        <f>IF(Tasks[[#This Row],[Task Name]]="","",IF(Tasks[[#This Row],[_IsSummary]],SUM(INDEX(Tasks[_LeafTotalWork],Tasks[[#This Row],[_Row]]+1):INDEX(Tasks[_LeafTotalWork],Tasks[[#This Row],[_Row]]+Tasks[[#This Row],[_Descendants]])),Tasks[[#This Row],[_LeafTotalWork]]))</f>
        <v/>
      </c>
      <c r="BF104" s="23" t="n"/>
      <c r="BG10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f>""</f>
        <v/>
      </c>
      <c r="BI104" s="85" t="n"/>
      <c r="BJ104" s="22" t="n"/>
      <c r="BK104" s="21">
        <f>IF(OR(Tasks[[#This Row],[Task Name]]="",Tasks[[#This Row],[Baseline Duration]]=""),"",Tasks[[#This Row],[_SpanDays]]-N(Tasks[[#This Row],[Baseline Duration]]))</f>
        <v/>
      </c>
      <c r="BL104" s="84">
        <f>IF(OR(Tasks[[#This Row],[Task Name]]="",Tasks[[#This Row],[Baseline Work]]=""),"",Tasks[[#This Row],[Work]]-N(Tasks[[#This Row],[Baseline Work]]))</f>
        <v/>
      </c>
      <c r="BM104" s="61">
        <f>IF(Tasks[[#This Row],[Task Name]]="","",IF(OR(TakeBaseline="Yes",N(Tasks[[#This Row],[Baseline Start]])=0),Tasks[[#This Row],[Start]],Tasks[[#This Row],[Baseline Start]]))</f>
        <v/>
      </c>
      <c r="BN104" s="61">
        <f>IF(Tasks[[#This Row],[Task Name]]="","",IF(OR(TakeBaseline="Yes",N(Tasks[[#This Row],[Baseline Finish]])=0),Tasks[[#This Row],[Finish]],Tasks[[#This Row],[Baseline Finish]]))</f>
        <v/>
      </c>
      <c r="BO104" s="21">
        <f>IF(Tasks[[#This Row],[Task Name]]="","",IF(OR(TakeBaseline="Yes",N(Tasks[[#This Row],[Baseline Duration]])=0),Tasks[[#This Row],[_SpanDays]],Tasks[[#This Row],[Baseline Duration]]))</f>
        <v/>
      </c>
      <c r="BP104" s="84">
        <f>IF(Tasks[[#This Row],[Task Name]]="","",IF(OR(TakeBaseline="Yes",N(Tasks[[#This Row],[Baseline Work]])=0),Tasks[[#This Row],[Work]],Tasks[[#This Row],[Baseline Work]]))</f>
        <v/>
      </c>
      <c r="BQ104" s="7" t="n"/>
      <c r="BR104" s="7" t="n"/>
      <c r="BS104" s="22" t="n"/>
      <c r="BT104" s="86" t="n"/>
      <c r="BU104" s="23" t="n"/>
      <c r="BV104" s="23" t="n"/>
      <c r="BW104" s="23" t="n"/>
      <c r="BX104" s="87">
        <f>IF(AND(Tasks[[#This Row],[_IsLeaf]]=1,ISNUMBER(Tasks[[#This Row],[Optimistic]]),ISNUMBER(Tasks[[#This Row],[Pessimistic]])),ROUND((Tasks[[#This Row],[Optimistic]]+4*N(Tasks[[#This Row],[_Days]])+Tasks[[#This Row],[Pessimistic]])/6,1),"")</f>
        <v/>
      </c>
      <c r="BY104" s="85" t="n"/>
      <c r="BZ104" s="85" t="n"/>
      <c r="CA104" s="22" t="n"/>
      <c r="CB104" s="42">
        <f>IF(Tasks[[#This Row],[Task Name]]="","",MAX(1,N(Tasks[[#This Row],[Level]])))</f>
        <v/>
      </c>
      <c r="CC104" s="42">
        <f>ROW()-ROW(Tasks[[#Headers],[ID]])</f>
        <v/>
      </c>
      <c r="CD104" s="42">
        <f>IF(OR(Tasks[[#This Row],[Task Name]]="",Tasks[[#This Row],[_Level]]&lt;=1),0,IFERROR(LOOKUP(2,1/(Tasks[[#Headers],[_Level]]:Tasks[[#This Row],[_Level]]=Tasks[[#This Row],[_Level]]-1),ROW(Tasks[[#Headers],[_Level]]:Tasks[[#This Row],[_Level]])),0))</f>
        <v/>
      </c>
      <c r="CE104" s="42">
        <f>IFERROR(N(INDEX(Tasks[_Level],Tasks[[#This Row],[_Row]]+1)),0)</f>
        <v/>
      </c>
      <c r="CF104" s="42">
        <f>AND(Tasks[[#This Row],[Task Name]]&lt;&gt;"",Tasks[[#This Row],[_NextLevel]]&gt;Tasks[[#This Row],[_Level]])</f>
        <v/>
      </c>
      <c r="CG104" s="42">
        <f>IF(Tasks[[#This Row],[_IsSummary]],COUNTIF(Tasks[WBS],Tasks[[#This Row],[WBS]]&amp;".*"),0)</f>
        <v/>
      </c>
      <c r="CH104" s="42">
        <f>IF(AND(Tasks[[#This Row],[Task Name]]&lt;&gt;"",NOT(Tasks[[#This Row],[_IsSummary]])),1,0)</f>
        <v/>
      </c>
      <c r="CI104" s="42">
        <f>IF(N(Tasks[[#This Row],[_Pred1UID]])=0,0,IFERROR(MATCH(Tasks[[#This Row],[_Pred1UID]],Tasks[UID],0),-1))</f>
        <v/>
      </c>
      <c r="CJ104" s="42">
        <f>IF(N(Tasks[[#This Row],[_Pred2UID]])=0,0,IFERROR(MATCH(Tasks[[#This Row],[_Pred2UID]],Tasks[UID],0),-1))</f>
        <v/>
      </c>
      <c r="CK104" s="42">
        <f>IF(N(Tasks[[#This Row],[_Pred3UID]])=0,0,IFERROR(MATCH(Tasks[[#This Row],[_Pred3UID]],Tasks[UID],0),-1))</f>
        <v/>
      </c>
      <c r="CL104" s="42">
        <f>IF(N(Tasks[[#This Row],[_Pred4UID]])=0,0,IFERROR(MATCH(Tasks[[#This Row],[_Pred4UID]],Tasks[UID],0),-1))</f>
        <v/>
      </c>
      <c r="CM10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4" s="88">
        <f>IF(N(Tasks[[#This Row],[Constraint Date]])=0,0,IF(AND(OR(Tasks[[#This Row],[_ConstraintCode]]=3,Tasks[[#This Row],[_ConstraintCode]]=6,Tasks[[#This Row],[_ConstraintCode]]=7),N(Tasks[[#This Row],[_Days]])&gt;1),WORKDAY.INTL(N(Tasks[[#This Row],[Constraint Date]]),-(N(Tasks[[#This Row],[_Days]])-1),WorkWeek,Holidays),N(Tasks[[#This Row],[Constraint Date]])))</f>
        <v/>
      </c>
      <c r="CO104" s="88">
        <f>IF(OR(Tasks[[#This Row],[_ConstraintCode]]=2,Tasks[[#This Row],[_ConstraintCode]]=3,Tasks[[#This Row],[_ConstraintCode]]=4,Tasks[[#This Row],[_ConstraintCode]]=6),Tasks[[#This Row],[_ConstraintStart]],0)</f>
        <v/>
      </c>
      <c r="CP104" s="88">
        <f>IF(OR(Tasks[[#This Row],[_ConstraintCode]]=2,Tasks[[#This Row],[_ConstraintCode]]=3,Tasks[[#This Row],[_ConstraintCode]]=5,Tasks[[#This Row],[_ConstraintCode]]=7),Tasks[[#This Row],[_ConstraintStart]],2958465)</f>
        <v/>
      </c>
      <c r="CQ10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4" s="88">
        <f>IF(NOT(Tasks[[#This Row],[_IsLeaf]]=1),"",IF(N(Tasks[[#This Row],[_Days]])&lt;=0,Tasks[[#This Row],[_LeafCalcStart]],WORKDAY.INTL(Tasks[[#This Row],[_LeafCalcStart]],Tasks[[#This Row],[_Days]]-1,WorkWeek,Holidays)))</f>
        <v/>
      </c>
      <c r="CS10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4" s="42">
        <f>IF(Tasks[[#This Row],[_Predecessors]]="","",TRIM(MID(SUBSTITUTE(SUBSTITUTE(SUBSTITUTE(UPPER(Tasks[[#This Row],[_Predecessors]]),";",",")," ",""),",",REPT(" ",99)),1,99)))</f>
        <v/>
      </c>
      <c r="CV104" s="42">
        <f>IF(Tasks[[#This Row],[_Pred1Text]]="","",IFERROR(VALUE(LEFT(Tasks[[#This Row],[_Pred1Text]],MIN(FIND("F",Tasks[[#This Row],[_Pred1Text]]&amp;"F"),FIND("S",Tasks[[#This Row],[_Pred1Text]]&amp;"S"),FIND("+",Tasks[[#This Row],[_Pred1Text]]&amp;"+"),FIND("-",Tasks[[#This Row],[_Pred1Text]]&amp;"-"))-1)),""))</f>
        <v/>
      </c>
      <c r="CW10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4" s="42">
        <f>IF(Tasks[[#This Row],[_Pred1Text]]="","",TRIM(MID(SUBSTITUTE(SUBSTITUTE(SUBSTITUTE(UPPER(Tasks[[#This Row],[_Predecessors]]),";",",")," ",""),",",REPT(" ",99)),100,99)))</f>
        <v/>
      </c>
      <c r="CZ104" s="42">
        <f>IF(Tasks[[#This Row],[_Pred2Text]]="","",IFERROR(VALUE(LEFT(Tasks[[#This Row],[_Pred2Text]],MIN(FIND("F",Tasks[[#This Row],[_Pred2Text]]&amp;"F"),FIND("S",Tasks[[#This Row],[_Pred2Text]]&amp;"S"),FIND("+",Tasks[[#This Row],[_Pred2Text]]&amp;"+"),FIND("-",Tasks[[#This Row],[_Pred2Text]]&amp;"-"))-1)),""))</f>
        <v/>
      </c>
      <c r="DA10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4" s="42">
        <f>IF(Tasks[[#This Row],[_Pred2Text]]="","",TRIM(MID(SUBSTITUTE(SUBSTITUTE(SUBSTITUTE(UPPER(Tasks[[#This Row],[_Predecessors]]),";",",")," ",""),",",REPT(" ",99)),199,99)))</f>
        <v/>
      </c>
      <c r="DD104" s="42">
        <f>IF(Tasks[[#This Row],[_Pred3Text]]="","",IFERROR(VALUE(LEFT(Tasks[[#This Row],[_Pred3Text]],MIN(FIND("F",Tasks[[#This Row],[_Pred3Text]]&amp;"F"),FIND("S",Tasks[[#This Row],[_Pred3Text]]&amp;"S"),FIND("+",Tasks[[#This Row],[_Pred3Text]]&amp;"+"),FIND("-",Tasks[[#This Row],[_Pred3Text]]&amp;"-"))-1)),""))</f>
        <v/>
      </c>
      <c r="DE10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4" s="42">
        <f>IF(Tasks[[#This Row],[_Pred3Text]]="","",TRIM(MID(SUBSTITUTE(SUBSTITUTE(SUBSTITUTE(UPPER(Tasks[[#This Row],[_Predecessors]]),";",",")," ",""),",",REPT(" ",99)),298,99)))</f>
        <v/>
      </c>
      <c r="DH104" s="42">
        <f>IF(Tasks[[#This Row],[_Pred4Text]]="","",IFERROR(VALUE(LEFT(Tasks[[#This Row],[_Pred4Text]],MIN(FIND("F",Tasks[[#This Row],[_Pred4Text]]&amp;"F"),FIND("S",Tasks[[#This Row],[_Pred4Text]]&amp;"S"),FIND("+",Tasks[[#This Row],[_Pred4Text]]&amp;"+"),FIND("-",Tasks[[#This Row],[_Pred4Text]]&amp;"-"))-1)),""))</f>
        <v/>
      </c>
      <c r="DI10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4" s="42">
        <f>IF(OR(Tasks[[#This Row],[Task Name]]="",Tasks[[#This Row],[_Resources]]=""),"",TRIM(MID(SUBSTITUTE(Tasks[[#This Row],[_Resources]],",",REPT(" ",99)),1,99)))</f>
        <v/>
      </c>
      <c r="DL104" s="42">
        <f>IF(Tasks[[#This Row],[_Res1Text]]="","",TRIM(MID(SUBSTITUTE(Tasks[[#This Row],[_Resources]],",",REPT(" ",99)),100,99)))</f>
        <v/>
      </c>
      <c r="DM104" s="42">
        <f>IF(Tasks[[#This Row],[_Res2Text]]="","",TRIM(MID(SUBSTITUTE(Tasks[[#This Row],[_Resources]],",",REPT(" ",99)),199,99)))</f>
        <v/>
      </c>
      <c r="DN104" s="42">
        <f>IF(Tasks[[#This Row],[_Res3Text]]="","",TRIM(MID(SUBSTITUTE(Tasks[[#This Row],[_Resources]],",",REPT(" ",99)),298,99)))</f>
        <v/>
      </c>
      <c r="DO104" s="42">
        <f>IF(Tasks[[#This Row],[_Res1Text]]="",0,IFERROR(MATCH(TRIM(LEFT(Tasks[[#This Row],[_Res1Text]],FIND("[",Tasks[[#This Row],[_Res1Text]]&amp;"[")-1)),res_Name,0),IFERROR(MATCH(TRIM(LEFT(Tasks[[#This Row],[_Res1Text]],FIND("[",Tasks[[#This Row],[_Res1Text]]&amp;"[")-1)),res_Initials,0),0)))</f>
        <v/>
      </c>
      <c r="DP104" s="42">
        <f>IF(Tasks[[#This Row],[_Res2Text]]="",0,IFERROR(MATCH(TRIM(LEFT(Tasks[[#This Row],[_Res2Text]],FIND("[",Tasks[[#This Row],[_Res2Text]]&amp;"[")-1)),res_Name,0),IFERROR(MATCH(TRIM(LEFT(Tasks[[#This Row],[_Res2Text]],FIND("[",Tasks[[#This Row],[_Res2Text]]&amp;"[")-1)),res_Initials,0),0)))</f>
        <v/>
      </c>
      <c r="DQ104" s="42">
        <f>IF(Tasks[[#This Row],[_Res3Text]]="",0,IFERROR(MATCH(TRIM(LEFT(Tasks[[#This Row],[_Res3Text]],FIND("[",Tasks[[#This Row],[_Res3Text]]&amp;"[")-1)),res_Name,0),IFERROR(MATCH(TRIM(LEFT(Tasks[[#This Row],[_Res3Text]],FIND("[",Tasks[[#This Row],[_Res3Text]]&amp;"[")-1)),res_Initials,0),0)))</f>
        <v/>
      </c>
      <c r="DR104" s="42">
        <f>IF(Tasks[[#This Row],[_Res4Text]]="",0,IFERROR(MATCH(TRIM(LEFT(Tasks[[#This Row],[_Res4Text]],FIND("[",Tasks[[#This Row],[_Res4Text]]&amp;"[")-1)),res_Name,0),IFERROR(MATCH(TRIM(LEFT(Tasks[[#This Row],[_Res4Text]],FIND("[",Tasks[[#This Row],[_Res4Text]]&amp;"[")-1)),res_Initials,0),0)))</f>
        <v/>
      </c>
      <c r="DS104" s="42">
        <f>IF(Tasks[[#This Row],[_Res1Text]]="","",IF(Tasks[[#This Row],[_Res1Row]]&gt;0,INDEX(res_Name,Tasks[[#This Row],[_Res1Row]]),TRIM(LEFT(Tasks[[#This Row],[_Res1Text]],FIND("[",Tasks[[#This Row],[_Res1Text]]&amp;"[")-1))))</f>
        <v/>
      </c>
      <c r="DT10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4" s="42">
        <f>IF(NOT(Tasks[[#This Row],[_IsLeaf]]=1),0,(Tasks[[#This Row],[_Resource1]]&lt;&gt;"")+(Tasks[[#This Row],[_Res2]]&lt;&gt;"")+(Tasks[[#This Row],[_Res3]]&lt;&gt;"")+(Tasks[[#This Row],[_Res4]]&lt;&gt;""))</f>
        <v/>
      </c>
      <c r="DV104" s="42">
        <f>IF(Tasks[[#This Row],[_Res2Text]]="","",IF(Tasks[[#This Row],[_Res2Row]]&gt;0,INDEX(res_Name,Tasks[[#This Row],[_Res2Row]]),TRIM(LEFT(Tasks[[#This Row],[_Res2Text]],FIND("[",Tasks[[#This Row],[_Res2Text]]&amp;"[")-1))))</f>
        <v/>
      </c>
      <c r="DW10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4" s="42">
        <f>IF(OR(NOT(Tasks[[#This Row],[_IsLeaf]]=1),Tasks[[#This Row],[_Res2Row]]=0),0,N(Tasks[[#This Row],[_Days]])*HoursPerDay*IF(Tasks[[#This Row],[_Res2Units]]="",DefaultUnits,Tasks[[#This Row],[_Res2Units]]))</f>
        <v/>
      </c>
      <c r="DY104" s="42">
        <f>IF(AND(AND(Tasks[[#This Row],[_IsLeaf]]=1,Tasks[[#This Row],[_LeafTotalWork]]&gt;0),Tasks[[#This Row],[_Res2Work]]&gt;0),Tasks[[#This Row],[_Res2Work]]/(Tasks[[#This Row],[_FinishWorkday]]-Tasks[[#This Row],[_StartWorkday]]+1),0)</f>
        <v/>
      </c>
      <c r="DZ104" s="42">
        <f>Tasks[[#This Row],[_Res2WorkPerWD]]*MAX(0,Tasks[[#This Row],[_StartWorkday]]-1)</f>
        <v/>
      </c>
      <c r="EA104" s="42">
        <f>Tasks[[#This Row],[_Res2Work]]*Tasks[[#This Row],[_LeafProgress]]</f>
        <v/>
      </c>
      <c r="EB104" s="42">
        <f>IF(Tasks[[#This Row],[_Res3Text]]="","",IF(Tasks[[#This Row],[_Res3Row]]&gt;0,INDEX(res_Name,Tasks[[#This Row],[_Res3Row]]),TRIM(LEFT(Tasks[[#This Row],[_Res3Text]],FIND("[",Tasks[[#This Row],[_Res3Text]]&amp;"[")-1))))</f>
        <v/>
      </c>
      <c r="EC10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4" s="42">
        <f>IF(OR(NOT(Tasks[[#This Row],[_IsLeaf]]=1),Tasks[[#This Row],[_Res3Row]]=0),0,N(Tasks[[#This Row],[_Days]])*HoursPerDay*IF(Tasks[[#This Row],[_Res3Units]]="",DefaultUnits,Tasks[[#This Row],[_Res3Units]]))</f>
        <v/>
      </c>
      <c r="EE104" s="42">
        <f>IF(AND(AND(Tasks[[#This Row],[_IsLeaf]]=1,Tasks[[#This Row],[_LeafTotalWork]]&gt;0),Tasks[[#This Row],[_Res3Work]]&gt;0),Tasks[[#This Row],[_Res3Work]]/(Tasks[[#This Row],[_FinishWorkday]]-Tasks[[#This Row],[_StartWorkday]]+1),0)</f>
        <v/>
      </c>
      <c r="EF104" s="42">
        <f>Tasks[[#This Row],[_Res3WorkPerWD]]*MAX(0,Tasks[[#This Row],[_StartWorkday]]-1)</f>
        <v/>
      </c>
      <c r="EG104" s="42">
        <f>Tasks[[#This Row],[_Res3Work]]*Tasks[[#This Row],[_LeafProgress]]</f>
        <v/>
      </c>
      <c r="EH104" s="42">
        <f>IF(Tasks[[#This Row],[_Res4Text]]="","",IF(Tasks[[#This Row],[_Res4Row]]&gt;0,INDEX(res_Name,Tasks[[#This Row],[_Res4Row]]),TRIM(LEFT(Tasks[[#This Row],[_Res4Text]],FIND("[",Tasks[[#This Row],[_Res4Text]]&amp;"[")-1))))</f>
        <v/>
      </c>
      <c r="EI10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4" s="42">
        <f>IF(OR(NOT(Tasks[[#This Row],[_IsLeaf]]=1),Tasks[[#This Row],[_Res4Row]]=0),0,N(Tasks[[#This Row],[_Days]])*HoursPerDay*IF(Tasks[[#This Row],[_Res4Units]]="",DefaultUnits,Tasks[[#This Row],[_Res4Units]]))</f>
        <v/>
      </c>
      <c r="EK104" s="42">
        <f>IF(AND(AND(Tasks[[#This Row],[_IsLeaf]]=1,Tasks[[#This Row],[_LeafTotalWork]]&gt;0),Tasks[[#This Row],[_Res4Work]]&gt;0),Tasks[[#This Row],[_Res4Work]]/(Tasks[[#This Row],[_FinishWorkday]]-Tasks[[#This Row],[_StartWorkday]]+1),0)</f>
        <v/>
      </c>
      <c r="EL104" s="42">
        <f>Tasks[[#This Row],[_Res4WorkPerWD]]*MAX(0,Tasks[[#This Row],[_StartWorkday]]-1)</f>
        <v/>
      </c>
      <c r="EM104" s="42">
        <f>Tasks[[#This Row],[_Res4Work]]*Tasks[[#This Row],[_LeafProgress]]</f>
        <v/>
      </c>
      <c r="EN104" s="42">
        <f>IF(ISNUMBER(Tasks[[#This Row],[% Complete]]),Tasks[[#This Row],[% Complete]],IF(Tasks[[#This Row],[Stage]]="",0,IFERROR(INDEX(stg_Pct,MATCH(Tasks[[#This Row],[Stage]],stg_Name,0)),0)))</f>
        <v/>
      </c>
      <c r="EO104" s="42">
        <f>IF(NOT(Tasks[[#This Row],[_IsLeaf]]=1),0,IF(N(Tasks[[#This Row],[Actual Finish]])&gt;0,1,MIN(1,Tasks[[#This Row],[_Pct]])))</f>
        <v/>
      </c>
      <c r="EP104" s="42">
        <f>IF(OR(NOT(Tasks[[#This Row],[_IsLeaf]]=1),Tasks[[#This Row],[_Res1Row]]=0),0,N(Tasks[[#This Row],[_Days]])*HoursPerDay*IF(Tasks[[#This Row],[_Units1]]="",DefaultUnits,Tasks[[#This Row],[_Units1]]))</f>
        <v/>
      </c>
      <c r="EQ104" s="42">
        <f>Tasks[[#This Row],[_LeafWork]]+Tasks[[#This Row],[_Res2Work]]+Tasks[[#This Row],[_Res3Work]]+Tasks[[#This Row],[_Res4Work]]</f>
        <v/>
      </c>
      <c r="ER10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4" s="42">
        <f>IF(NOT(Tasks[[#This Row],[_IsLeaf]]=1),0,MAX(_xlfn.MAXIFS(Tasks[_Row],Tasks[_Pred1UID],Tasks[[#This Row],[UID]]),_xlfn.MAXIFS(Tasks[_Row],Tasks[_Pred2UID],Tasks[[#This Row],[UID]]),_xlfn.MAXIFS(Tasks[_Row],Tasks[_Pred3UID],Tasks[[#This Row],[UID]]),_xlfn.MAXIFS(Tasks[_Row],Tasks[_Pred4UID],Tasks[[#This Row],[UID]])))</f>
        <v/>
      </c>
      <c r="FA10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4" s="88">
        <f>IF(NOT(Tasks[[#This Row],[_IsLeaf]]=1),"",IF(N(Tasks[[#This Row],[_Days]])&lt;=0,Tasks[[#This Row],[_LeafLateFinish]],WORKDAY.INTL(Tasks[[#This Row],[_LeafLateFinish]],-(Tasks[[#This Row],[_Days]]-1),WorkWeek,Holidays)))</f>
        <v/>
      </c>
      <c r="FD10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4" s="42">
        <f>AND(Tasks[[#This Row],[_IsLeaf]]=1,Tasks[[#This Row],[_LeafProgress]]&lt;1,N(Tasks[[#This Row],[_LeafTotalSlack]])&lt;=CriticalSlackDays)</f>
        <v/>
      </c>
      <c r="FF104" s="42">
        <f>IF(AND(Tasks[[#This Row],[_IsLeaf]]=1,Tasks[[#This Row],[_ConstraintCode]]=1,Tasks[[#This Row],[Mode]]&lt;&gt;"Manual",N(Tasks[[#This Row],[Actual Start]])=0),MAX(0,N(Tasks[[#This Row],[Free Slack]])),0)</f>
        <v/>
      </c>
      <c r="FG104" s="88">
        <f>IF(NOT(Tasks[[#This Row],[_IsLeaf]]=1),"",IF(Tasks[[#This Row],[_AlapShift]]=0,Tasks[[#This Row],[_LeafCalcStart]],WORKDAY.INTL(Tasks[[#This Row],[_LeafCalcStart]],Tasks[[#This Row],[_AlapShift]],WorkWeek,Holidays)))</f>
        <v/>
      </c>
      <c r="FH104" s="88">
        <f>IF(NOT(Tasks[[#This Row],[_IsLeaf]]=1),"",IF(Tasks[[#This Row],[_AlapShift]]=0,Tasks[[#This Row],[_LeafCalcFinish]],WORKDAY.INTL(Tasks[[#This Row],[_LeafCalcFinish]],Tasks[[#This Row],[_AlapShift]],WorkWeek,Holidays)))</f>
        <v/>
      </c>
      <c r="FI104" s="88">
        <f>IF(NOT(Tasks[[#This Row],[_IsLeaf]]=1),"",IF(Tasks[[#This Row],[_AlapShift]]=0,Tasks[[#This Row],[_LeafFcstStart]],WORKDAY.INTL(Tasks[[#This Row],[_LeafFcstStart]],Tasks[[#This Row],[_AlapShift]],WorkWeek,Holidays)))</f>
        <v/>
      </c>
      <c r="FJ104" s="88">
        <f>IF(NOT(Tasks[[#This Row],[_IsLeaf]]=1),"",IF(Tasks[[#This Row],[_AlapShift]]=0,Tasks[[#This Row],[_LeafFcstFinish]],WORKDAY.INTL(Tasks[[#This Row],[_LeafFcstFinish]],Tasks[[#This Row],[_AlapShift]],WorkWeek,Holidays)))</f>
        <v/>
      </c>
      <c r="FK104" s="88">
        <f>IF(Tasks[[#This Row],[Task Name]]="","",IF(Tasks[[#This Row],[_IsSummary]],MIN(INDEX(Tasks[_ShownCalcStart],Tasks[[#This Row],[_Row]]+1):INDEX(Tasks[_ShownCalcStart],Tasks[[#This Row],[_Row]]+Tasks[[#This Row],[_Descendants]])),Tasks[[#This Row],[_ShownCalcStart]]))</f>
        <v/>
      </c>
      <c r="FL104" s="88">
        <f>IF(Tasks[[#This Row],[Task Name]]="","",IF(Tasks[[#This Row],[_IsSummary]],MAX(INDEX(Tasks[_ShownCalcFinish],Tasks[[#This Row],[_Row]]+1):INDEX(Tasks[_ShownCalcFinish],Tasks[[#This Row],[_Row]]+Tasks[[#This Row],[_Descendants]])),Tasks[[#This Row],[_ShownCalcFinish]]))</f>
        <v/>
      </c>
      <c r="FM10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4" s="42">
        <f>IF(AND(Tasks[[#This Row],[_IsLeaf]]=1,Tasks[[#This Row],[_LeafTotalWork]]&gt;0),NETWORKDAYS.INTL(ProjectStart,Tasks[[#This Row],[_ShownFcstStart]],WorkWeek,Holidays),0)</f>
        <v/>
      </c>
      <c r="FZ104" s="42">
        <f>IF(AND(Tasks[[#This Row],[_IsLeaf]]=1,Tasks[[#This Row],[_LeafTotalWork]]&gt;0),MAX(Tasks[[#This Row],[_StartWorkday]],NETWORKDAYS.INTL(ProjectStart,Tasks[[#This Row],[_ShownFcstFinish]],WorkWeek,Holidays)),0)</f>
        <v/>
      </c>
      <c r="GA104" s="42">
        <f>IF(AND(Tasks[[#This Row],[_IsLeaf]]=1,Tasks[[#This Row],[_LeafTotalWork]]&gt;0),Tasks[[#This Row],[_LeafWork]]/(Tasks[[#This Row],[_FinishWorkday]]-Tasks[[#This Row],[_StartWorkday]]+1),0)</f>
        <v/>
      </c>
      <c r="GB104" s="42">
        <f>Tasks[[#This Row],[_WorkPerWorkday]]*(Tasks[[#This Row],[_StartWorkday]]-1)</f>
        <v/>
      </c>
      <c r="GC104" s="42">
        <f>IF(Tasks[[#This Row],[_IsLeaf]]=1,MAX(N(Tasks[[#This Row],[_Days]]),0.1),0)</f>
        <v/>
      </c>
      <c r="GD104" s="42">
        <f>Tasks[[#This Row],[_WeightDur]]*Tasks[[#This Row],[_LeafProgress]]</f>
        <v/>
      </c>
      <c r="GE104" s="42">
        <f>Tasks[[#This Row],[_WeightDur]]*Tasks[[#This Row],[_PlannedPct]]</f>
        <v/>
      </c>
      <c r="GF10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4" s="42">
        <f>IF(AND(Tasks[[#This Row],[_IsLeaf]]=1,N(Tasks[[#This Row],[_Days]])=0,Tasks[[#This Row],[_LeafProgress]]&lt;1),Tasks[[#This Row],[_ShownFcstFinish]]+Tasks[[#This Row],[_Row]]/100000,"")</f>
        <v/>
      </c>
      <c r="GH10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4" s="42">
        <f>IF(Tasks[[#This Row],[Task Name]]="","",LEFT(Tasks[[#This Row],[WBS]],FIND(".",Tasks[[#This Row],[WBS]]&amp;".")-1))</f>
        <v/>
      </c>
      <c r="GJ104" s="42">
        <f>IF(AND(Tasks[[#This Row],[Task Name]]&lt;&gt;"",Tasks[[#This Row],[_Level]]=1),Tasks[[#This Row],[_Row]],"")</f>
        <v/>
      </c>
      <c r="GK104" s="42">
        <f>IF(AND(Tasks[[#This Row],[_IsLeaf]]=1,N(Tasks[[#This Row],[_Days]])=0),Tasks[[#This Row],[Planned Finish]]+Tasks[[#This Row],[_Row]]/100000,"")</f>
        <v/>
      </c>
      <c r="GL104" s="42">
        <f>IF(AND(Tasks[[#This Row],[_IsLeaf]]=1,Tasks[[#This Row],[_LeafProgress]]&lt;1,OR(N(Tasks[[#This Row],[Finish Var]])&gt;0,Tasks[[#This Row],[Status]]="Late Start")),MAX(0,Tasks[[#This Row],[Finish Var]])+1-Tasks[[#This Row],[_Row]]/1000000,"")</f>
        <v/>
      </c>
      <c r="GM104" s="42">
        <f>IF(AND(Tasks[[#This Row],[_IsLeaf]]=1,N(Tasks[[#This Row],[Actual Start]])=0,Tasks[[#This Row],[_ShownFcstStart]]&gt;=StatusDate,Tasks[[#This Row],[_ShownFcstStart]]&lt;=LookaheadEnd),Tasks[[#This Row],[_ShownFcstStart]]+Tasks[[#This Row],[_Row]]/100000,"")</f>
        <v/>
      </c>
      <c r="GN104" s="42">
        <f>IF(AND(Tasks[[#This Row],[_IsLeaf]]=1,Tasks[[#This Row],[_LeafProgress]]&lt;1,Tasks[[#This Row],[_ShownFcstFinish]]&gt;=StatusDate,Tasks[[#This Row],[_ShownFcstFinish]]&lt;=LookaheadEnd),Tasks[[#This Row],[_ShownFcstFinish]]+Tasks[[#This Row],[_Row]]/100000,"")</f>
        <v/>
      </c>
      <c r="GO104" s="42">
        <f>IF(Tasks[[#This Row],[_LeafCritical]],Tasks[[#This Row],[_ShownFcstStart]]+Tasks[[#This Row],[_Row]]/100000,"")</f>
        <v/>
      </c>
      <c r="GP104" s="42">
        <f>Tasks[[#This Row],[_LeafWork]]*Tasks[[#This Row],[_LeafProgress]]</f>
        <v/>
      </c>
      <c r="GQ104" s="88">
        <f>IF(AND(Tasks[[#This Row],[_IsLeaf]]=1,Tasks[[#This Row],[_LeafProgress]]&gt;=1),IF(N(Tasks[[#This Row],[Actual Finish]])&gt;0,Tasks[[#This Row],[Actual Finish]],Tasks[[#This Row],[_ShownFcstFinish]]),"")</f>
        <v/>
      </c>
      <c r="GR104" s="42">
        <f>IF(Tasks[[#This Row],[_IsLeaf]]=1,N(Tasks[[#This Row],[Story Points]]),0)</f>
        <v/>
      </c>
      <c r="GS104" s="42">
        <f>""</f>
        <v/>
      </c>
      <c r="GT104" s="42">
        <f>IF(Tasks[[#This Row],[Task Name]]="",FALSE(),AND(Tasks[[#This Row],[_IsLeaf]]=1,N(Tasks[[#This Row],[_Days]])=0))</f>
        <v/>
      </c>
      <c r="GU104" s="88">
        <f>IF(Tasks[[#This Row],[Task Name]]="",0,IF(AND(Tasks[[#This Row],[_IsLeaf]]=1,NOT(Tasks[[#This Row],[_IsMilestone]]),N(Tasks[[#This Row],[Progress]])&gt;0),Tasks[[#This Row],[Start]],0))</f>
        <v/>
      </c>
      <c r="GV104" s="88">
        <f>IF(Tasks[[#This Row],[_DoneFrom]]=0,0,IF(Tasks[[#This Row],[Progress]]&gt;=1,Tasks[[#This Row],[Finish]],MAX(Tasks[[#This Row],[_DoneFrom]],Tasks[[#This Row],[Start]]+ROUND((Tasks[[#This Row],[Finish]]-Tasks[[#This Row],[Start]]+1)*Tasks[[#This Row],[Progress]],0)-1)))</f>
        <v/>
      </c>
      <c r="GW104" s="88">
        <f>IF(Tasks[[#This Row],[Task Name]]="",0,IF(OR(NOT(Tasks[[#This Row],[_IsLeaf]]=1),Tasks[[#This Row],[_IsMilestone]],N(Tasks[[#This Row],[Progress]])&gt;=1),0,IF(Tasks[[#This Row],[_DoneTo]]&gt;0,Tasks[[#This Row],[_DoneTo]]+1,Tasks[[#This Row],[Start]])))</f>
        <v/>
      </c>
      <c r="GX104" s="88">
        <f>IF(Tasks[[#This Row],[_RemFrom]]=0,0,Tasks[[#This Row],[Finish]])</f>
        <v/>
      </c>
      <c r="GY104" s="42">
        <f>IF(Tasks[[#This Row],[Task Name]]="",FALSE(),OR(NOT(BaselineSet),N(Tasks[[#This Row],[Baseline Start]])&gt;0))</f>
        <v/>
      </c>
      <c r="GZ104" s="42">
        <f>IF(AND(Sandbox="Yes",L_PARSE_DURATION(Tasks[[#This Row],[Sandbox Duration]])&lt;&gt;""),L_PARSE_DURATION(Tasks[[#This Row],[Sandbox Duration]]),L_PARSE_DURATION(Tasks[[#This Row],[Duration]]))</f>
        <v/>
      </c>
      <c r="HA10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4" s="42">
        <f>IF(Tasks[[#This Row],[_IsLeaf]]=1,Tasks[[#This Row],[_Row]],"")</f>
        <v/>
      </c>
      <c r="HD104" s="42">
        <f>IFERROR(INDEX(Tasks[UID],SMALL(Tasks[_PickKey],Tasks[[#This Row],[_Row]]))&amp;" "&amp;INDEX(Tasks[Task Name],SMALL(Tasks[_PickKey],Tasks[[#This Row],[_Row]])),"")</f>
        <v/>
      </c>
      <c r="HE104" s="42">
        <f>IF(Tasks[[#This Row],[Task Name]]="","",IF(Tasks[[#This Row],[_IsSummary]],NETWORKDAYS.INTL(Tasks[[#This Row],[Start]],Tasks[[#This Row],[Finish]],WorkWeek,Holidays),N(Tasks[[#This Row],[_Days]])))</f>
        <v/>
      </c>
      <c r="HF104" s="42">
        <f>IF(Tasks[[#This Row],[Expected]]="",0,((Tasks[[#This Row],[Pessimistic]]-Tasks[[#This Row],[Optimistic]])/6)^2)</f>
        <v/>
      </c>
      <c r="HG104" s="42">
        <f>IF(Tasks[[#This Row],[Expected]]="",0,Tasks[[#This Row],[Expected]]-N(Tasks[[#This Row],[_Days]]))</f>
        <v/>
      </c>
    </row>
    <row r="105">
      <c r="A105" s="21">
        <f>IF(Tasks[[#This Row],[Task Name]]="","",COUNTA(Tasks[[#Headers],[Task Name]]:Tasks[[#This Row],[Task Name]])-1)</f>
        <v/>
      </c>
      <c r="B105" s="22" t="n">
        <v>113</v>
      </c>
      <c r="C105" s="22" t="n"/>
      <c r="D105" s="23" t="n"/>
      <c r="E105" s="22" t="n"/>
      <c r="F105" s="23" t="n"/>
      <c r="G105" s="22" t="n"/>
      <c r="H105" s="22" t="n"/>
      <c r="I105" s="23" t="n"/>
      <c r="J105" s="22" t="n"/>
      <c r="K105" s="22" t="n"/>
      <c r="L105" s="23" t="n"/>
      <c r="M105" s="22" t="n"/>
      <c r="N105" s="22" t="n"/>
      <c r="O105" s="23" t="n"/>
      <c r="P105" s="22" t="n"/>
      <c r="Q105" s="22" t="n"/>
      <c r="R105" s="23" t="n"/>
      <c r="S105" s="23" t="n"/>
      <c r="T105" s="82" t="n"/>
      <c r="U105" s="23" t="n"/>
      <c r="V105" s="82" t="n"/>
      <c r="W105" s="23" t="n"/>
      <c r="X105" s="82" t="n"/>
      <c r="Y105" s="23" t="n"/>
      <c r="Z105" s="82" t="n"/>
      <c r="AA105" s="23" t="n"/>
      <c r="AB105" s="23" t="n"/>
      <c r="AC105" s="7" t="n"/>
      <c r="AD105" s="7" t="n"/>
      <c r="AE105" s="61">
        <f>IF(Tasks[[#This Row],[Task Name]]="","",IF(Tasks[[#This Row],[_IsSummary]],MIN(INDEX(Tasks[_ShownFcstStart],Tasks[[#This Row],[_Row]]+1):INDEX(Tasks[_ShownFcstStart],Tasks[[#This Row],[_Row]]+Tasks[[#This Row],[_Descendants]])),Tasks[[#This Row],[_ShownFcstStart]]))</f>
        <v/>
      </c>
      <c r="AF105" s="61">
        <f>IF(Tasks[[#This Row],[Task Name]]="","",IF(Tasks[[#This Row],[_IsSummary]],MAX(INDEX(Tasks[_ShownFcstFinish],Tasks[[#This Row],[_Row]]+1):INDEX(Tasks[_ShownFcstFinish],Tasks[[#This Row],[_Row]]+Tasks[[#This Row],[_Descendants]])),Tasks[[#This Row],[_ShownFcstFinish]]))</f>
        <v/>
      </c>
      <c r="AG105" s="21">
        <f>""</f>
        <v/>
      </c>
      <c r="AH105" s="23" t="n"/>
      <c r="AI10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5" s="7" t="n"/>
      <c r="AK105" s="22" t="n"/>
      <c r="AL105" s="23" t="n"/>
      <c r="AM105" s="7" t="n"/>
      <c r="AN105" s="21">
        <f>IF(Tasks[[#This Row],[Task Name]]="","",IF(Tasks[[#This Row],[Finish]]&gt;=Tasks[[#This Row],[Planned Finish]],NETWORKDAYS.INTL(Tasks[[#This Row],[Planned Finish]],Tasks[[#This Row],[Finish]],WorkWeek,Holidays)-1,1-NETWORKDAYS.INTL(Tasks[[#This Row],[Finish]],Tasks[[#This Row],[Planned Finish]],WorkWeek,Holidays)))</f>
        <v/>
      </c>
      <c r="AO105" s="21">
        <f>IF(Tasks[[#This Row],[Task Name]]="","",IF(Tasks[[#This Row],[Progress]]&gt;=1,"Complete",IF(OR(N(Tasks[[#This Row],[Actual Start]])&gt;0,Tasks[[#This Row],[Progress]]&gt;0),IF(Tasks[[#This Row],[Finish Var]]&gt;0,"Behind","In Progress"),IF(Tasks[[#This Row],[Planned Start]]&lt;StatusDate,"Late Start","Not Started"))))</f>
        <v/>
      </c>
      <c r="AP105" s="21">
        <f>IF(Tasks[[#This Row],[Task Name]]="","",IF(IF(Tasks[[#This Row],[_IsSummary]],COUNTIF(INDEX(Tasks[_LeafCritical],Tasks[[#This Row],[_Row]]+1):INDEX(Tasks[_LeafCritical],Tasks[[#This Row],[_Row]]+Tasks[[#This Row],[_Descendants]]),TRUE())&gt;0,Tasks[[#This Row],[_LeafCritical]]),"Yes",""))</f>
        <v/>
      </c>
      <c r="AQ105" s="61">
        <f>IF(Tasks[[#This Row],[Task Name]]="","",IF(N(Tasks[[#This Row],[Baseline Start]])&gt;0,Tasks[[#This Row],[Baseline Start]],Tasks[[#This Row],[_CalcStart]]))</f>
        <v/>
      </c>
      <c r="AR105" s="61">
        <f>IF(Tasks[[#This Row],[Task Name]]="","",IF(N(Tasks[[#This Row],[Baseline Finish]])&gt;0,Tasks[[#This Row],[Baseline Finish]],Tasks[[#This Row],[_CalcFinish]]))</f>
        <v/>
      </c>
      <c r="AS105" s="21">
        <f>IF(Tasks[[#This Row],[Task Name]]="","",IF(Tasks[[#This Row],[Start]]&gt;=Tasks[[#This Row],[Planned Start]],NETWORKDAYS.INTL(Tasks[[#This Row],[Planned Start]],Tasks[[#This Row],[Start]],WorkWeek,Holidays)-1,1-NETWORKDAYS.INTL(Tasks[[#This Row],[Start]],Tasks[[#This Row],[Planned Start]],WorkWeek,Holidays)))</f>
        <v/>
      </c>
      <c r="AT105" s="61">
        <f>IF(Tasks[[#This Row],[Task Name]]="","",IF(Tasks[[#This Row],[_IsSummary]],MIN(INDEX(Tasks[_LeafLateStart],Tasks[[#This Row],[_Row]]+1):INDEX(Tasks[_LeafLateStart],Tasks[[#This Row],[_Row]]+Tasks[[#This Row],[_Descendants]])),Tasks[[#This Row],[_LeafLateStart]]))</f>
        <v/>
      </c>
      <c r="AU105" s="61">
        <f>IF(Tasks[[#This Row],[Task Name]]="","",IF(Tasks[[#This Row],[_IsSummary]],MAX(INDEX(Tasks[_LeafLateFinish],Tasks[[#This Row],[_Row]]+1):INDEX(Tasks[_LeafLateFinish],Tasks[[#This Row],[_Row]]+Tasks[[#This Row],[_Descendants]])),Tasks[[#This Row],[_LeafLateFinish]]))</f>
        <v/>
      </c>
      <c r="AV105" s="21">
        <f>IF(Tasks[[#This Row],[Task Name]]="","",IF(Tasks[[#This Row],[_IsSummary]],MIN(INDEX(Tasks[_LeafTotalSlack],Tasks[[#This Row],[_Row]]+1):INDEX(Tasks[_LeafTotalSlack],Tasks[[#This Row],[_Row]]+Tasks[[#This Row],[_Descendants]])),Tasks[[#This Row],[_LeafTotalSlack]]))</f>
        <v/>
      </c>
      <c r="AW10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3" t="n"/>
      <c r="BA10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f>IF(Tasks[[#This Row],[Task Name]]="","",IF(Tasks[[#This Row],[_Level]]&lt;=OutlineShowLevel,"Yes","No"))</f>
        <v/>
      </c>
      <c r="BE105" s="84">
        <f>IF(Tasks[[#This Row],[Task Name]]="","",IF(Tasks[[#This Row],[_IsSummary]],SUM(INDEX(Tasks[_LeafTotalWork],Tasks[[#This Row],[_Row]]+1):INDEX(Tasks[_LeafTotalWork],Tasks[[#This Row],[_Row]]+Tasks[[#This Row],[_Descendants]])),Tasks[[#This Row],[_LeafTotalWork]]))</f>
        <v/>
      </c>
      <c r="BF105" s="23" t="n"/>
      <c r="BG10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f>""</f>
        <v/>
      </c>
      <c r="BI105" s="85" t="n"/>
      <c r="BJ105" s="22" t="n"/>
      <c r="BK105" s="21">
        <f>IF(OR(Tasks[[#This Row],[Task Name]]="",Tasks[[#This Row],[Baseline Duration]]=""),"",Tasks[[#This Row],[_SpanDays]]-N(Tasks[[#This Row],[Baseline Duration]]))</f>
        <v/>
      </c>
      <c r="BL105" s="84">
        <f>IF(OR(Tasks[[#This Row],[Task Name]]="",Tasks[[#This Row],[Baseline Work]]=""),"",Tasks[[#This Row],[Work]]-N(Tasks[[#This Row],[Baseline Work]]))</f>
        <v/>
      </c>
      <c r="BM105" s="61">
        <f>IF(Tasks[[#This Row],[Task Name]]="","",IF(OR(TakeBaseline="Yes",N(Tasks[[#This Row],[Baseline Start]])=0),Tasks[[#This Row],[Start]],Tasks[[#This Row],[Baseline Start]]))</f>
        <v/>
      </c>
      <c r="BN105" s="61">
        <f>IF(Tasks[[#This Row],[Task Name]]="","",IF(OR(TakeBaseline="Yes",N(Tasks[[#This Row],[Baseline Finish]])=0),Tasks[[#This Row],[Finish]],Tasks[[#This Row],[Baseline Finish]]))</f>
        <v/>
      </c>
      <c r="BO105" s="21">
        <f>IF(Tasks[[#This Row],[Task Name]]="","",IF(OR(TakeBaseline="Yes",N(Tasks[[#This Row],[Baseline Duration]])=0),Tasks[[#This Row],[_SpanDays]],Tasks[[#This Row],[Baseline Duration]]))</f>
        <v/>
      </c>
      <c r="BP105" s="84">
        <f>IF(Tasks[[#This Row],[Task Name]]="","",IF(OR(TakeBaseline="Yes",N(Tasks[[#This Row],[Baseline Work]])=0),Tasks[[#This Row],[Work]],Tasks[[#This Row],[Baseline Work]]))</f>
        <v/>
      </c>
      <c r="BQ105" s="7" t="n"/>
      <c r="BR105" s="7" t="n"/>
      <c r="BS105" s="22" t="n"/>
      <c r="BT105" s="86" t="n"/>
      <c r="BU105" s="23" t="n"/>
      <c r="BV105" s="23" t="n"/>
      <c r="BW105" s="23" t="n"/>
      <c r="BX105" s="87">
        <f>IF(AND(Tasks[[#This Row],[_IsLeaf]]=1,ISNUMBER(Tasks[[#This Row],[Optimistic]]),ISNUMBER(Tasks[[#This Row],[Pessimistic]])),ROUND((Tasks[[#This Row],[Optimistic]]+4*N(Tasks[[#This Row],[_Days]])+Tasks[[#This Row],[Pessimistic]])/6,1),"")</f>
        <v/>
      </c>
      <c r="BY105" s="85" t="n"/>
      <c r="BZ105" s="85" t="n"/>
      <c r="CA105" s="22" t="n"/>
      <c r="CB105" s="42">
        <f>IF(Tasks[[#This Row],[Task Name]]="","",MAX(1,N(Tasks[[#This Row],[Level]])))</f>
        <v/>
      </c>
      <c r="CC105" s="42">
        <f>ROW()-ROW(Tasks[[#Headers],[ID]])</f>
        <v/>
      </c>
      <c r="CD105" s="42">
        <f>IF(OR(Tasks[[#This Row],[Task Name]]="",Tasks[[#This Row],[_Level]]&lt;=1),0,IFERROR(LOOKUP(2,1/(Tasks[[#Headers],[_Level]]:Tasks[[#This Row],[_Level]]=Tasks[[#This Row],[_Level]]-1),ROW(Tasks[[#Headers],[_Level]]:Tasks[[#This Row],[_Level]])),0))</f>
        <v/>
      </c>
      <c r="CE105" s="42">
        <f>IFERROR(N(INDEX(Tasks[_Level],Tasks[[#This Row],[_Row]]+1)),0)</f>
        <v/>
      </c>
      <c r="CF105" s="42">
        <f>AND(Tasks[[#This Row],[Task Name]]&lt;&gt;"",Tasks[[#This Row],[_NextLevel]]&gt;Tasks[[#This Row],[_Level]])</f>
        <v/>
      </c>
      <c r="CG105" s="42">
        <f>IF(Tasks[[#This Row],[_IsSummary]],COUNTIF(Tasks[WBS],Tasks[[#This Row],[WBS]]&amp;".*"),0)</f>
        <v/>
      </c>
      <c r="CH105" s="42">
        <f>IF(AND(Tasks[[#This Row],[Task Name]]&lt;&gt;"",NOT(Tasks[[#This Row],[_IsSummary]])),1,0)</f>
        <v/>
      </c>
      <c r="CI105" s="42">
        <f>IF(N(Tasks[[#This Row],[_Pred1UID]])=0,0,IFERROR(MATCH(Tasks[[#This Row],[_Pred1UID]],Tasks[UID],0),-1))</f>
        <v/>
      </c>
      <c r="CJ105" s="42">
        <f>IF(N(Tasks[[#This Row],[_Pred2UID]])=0,0,IFERROR(MATCH(Tasks[[#This Row],[_Pred2UID]],Tasks[UID],0),-1))</f>
        <v/>
      </c>
      <c r="CK105" s="42">
        <f>IF(N(Tasks[[#This Row],[_Pred3UID]])=0,0,IFERROR(MATCH(Tasks[[#This Row],[_Pred3UID]],Tasks[UID],0),-1))</f>
        <v/>
      </c>
      <c r="CL105" s="42">
        <f>IF(N(Tasks[[#This Row],[_Pred4UID]])=0,0,IFERROR(MATCH(Tasks[[#This Row],[_Pred4UID]],Tasks[UID],0),-1))</f>
        <v/>
      </c>
      <c r="CM10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5" s="88">
        <f>IF(N(Tasks[[#This Row],[Constraint Date]])=0,0,IF(AND(OR(Tasks[[#This Row],[_ConstraintCode]]=3,Tasks[[#This Row],[_ConstraintCode]]=6,Tasks[[#This Row],[_ConstraintCode]]=7),N(Tasks[[#This Row],[_Days]])&gt;1),WORKDAY.INTL(N(Tasks[[#This Row],[Constraint Date]]),-(N(Tasks[[#This Row],[_Days]])-1),WorkWeek,Holidays),N(Tasks[[#This Row],[Constraint Date]])))</f>
        <v/>
      </c>
      <c r="CO105" s="88">
        <f>IF(OR(Tasks[[#This Row],[_ConstraintCode]]=2,Tasks[[#This Row],[_ConstraintCode]]=3,Tasks[[#This Row],[_ConstraintCode]]=4,Tasks[[#This Row],[_ConstraintCode]]=6),Tasks[[#This Row],[_ConstraintStart]],0)</f>
        <v/>
      </c>
      <c r="CP105" s="88">
        <f>IF(OR(Tasks[[#This Row],[_ConstraintCode]]=2,Tasks[[#This Row],[_ConstraintCode]]=3,Tasks[[#This Row],[_ConstraintCode]]=5,Tasks[[#This Row],[_ConstraintCode]]=7),Tasks[[#This Row],[_ConstraintStart]],2958465)</f>
        <v/>
      </c>
      <c r="CQ10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5" s="88">
        <f>IF(NOT(Tasks[[#This Row],[_IsLeaf]]=1),"",IF(N(Tasks[[#This Row],[_Days]])&lt;=0,Tasks[[#This Row],[_LeafCalcStart]],WORKDAY.INTL(Tasks[[#This Row],[_LeafCalcStart]],Tasks[[#This Row],[_Days]]-1,WorkWeek,Holidays)))</f>
        <v/>
      </c>
      <c r="CS10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5" s="42">
        <f>IF(Tasks[[#This Row],[_Predecessors]]="","",TRIM(MID(SUBSTITUTE(SUBSTITUTE(SUBSTITUTE(UPPER(Tasks[[#This Row],[_Predecessors]]),";",",")," ",""),",",REPT(" ",99)),1,99)))</f>
        <v/>
      </c>
      <c r="CV105" s="42">
        <f>IF(Tasks[[#This Row],[_Pred1Text]]="","",IFERROR(VALUE(LEFT(Tasks[[#This Row],[_Pred1Text]],MIN(FIND("F",Tasks[[#This Row],[_Pred1Text]]&amp;"F"),FIND("S",Tasks[[#This Row],[_Pred1Text]]&amp;"S"),FIND("+",Tasks[[#This Row],[_Pred1Text]]&amp;"+"),FIND("-",Tasks[[#This Row],[_Pred1Text]]&amp;"-"))-1)),""))</f>
        <v/>
      </c>
      <c r="CW10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5" s="42">
        <f>IF(Tasks[[#This Row],[_Pred1Text]]="","",TRIM(MID(SUBSTITUTE(SUBSTITUTE(SUBSTITUTE(UPPER(Tasks[[#This Row],[_Predecessors]]),";",",")," ",""),",",REPT(" ",99)),100,99)))</f>
        <v/>
      </c>
      <c r="CZ105" s="42">
        <f>IF(Tasks[[#This Row],[_Pred2Text]]="","",IFERROR(VALUE(LEFT(Tasks[[#This Row],[_Pred2Text]],MIN(FIND("F",Tasks[[#This Row],[_Pred2Text]]&amp;"F"),FIND("S",Tasks[[#This Row],[_Pred2Text]]&amp;"S"),FIND("+",Tasks[[#This Row],[_Pred2Text]]&amp;"+"),FIND("-",Tasks[[#This Row],[_Pred2Text]]&amp;"-"))-1)),""))</f>
        <v/>
      </c>
      <c r="DA10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5" s="42">
        <f>IF(Tasks[[#This Row],[_Pred2Text]]="","",TRIM(MID(SUBSTITUTE(SUBSTITUTE(SUBSTITUTE(UPPER(Tasks[[#This Row],[_Predecessors]]),";",",")," ",""),",",REPT(" ",99)),199,99)))</f>
        <v/>
      </c>
      <c r="DD105" s="42">
        <f>IF(Tasks[[#This Row],[_Pred3Text]]="","",IFERROR(VALUE(LEFT(Tasks[[#This Row],[_Pred3Text]],MIN(FIND("F",Tasks[[#This Row],[_Pred3Text]]&amp;"F"),FIND("S",Tasks[[#This Row],[_Pred3Text]]&amp;"S"),FIND("+",Tasks[[#This Row],[_Pred3Text]]&amp;"+"),FIND("-",Tasks[[#This Row],[_Pred3Text]]&amp;"-"))-1)),""))</f>
        <v/>
      </c>
      <c r="DE10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5" s="42">
        <f>IF(Tasks[[#This Row],[_Pred3Text]]="","",TRIM(MID(SUBSTITUTE(SUBSTITUTE(SUBSTITUTE(UPPER(Tasks[[#This Row],[_Predecessors]]),";",",")," ",""),",",REPT(" ",99)),298,99)))</f>
        <v/>
      </c>
      <c r="DH105" s="42">
        <f>IF(Tasks[[#This Row],[_Pred4Text]]="","",IFERROR(VALUE(LEFT(Tasks[[#This Row],[_Pred4Text]],MIN(FIND("F",Tasks[[#This Row],[_Pred4Text]]&amp;"F"),FIND("S",Tasks[[#This Row],[_Pred4Text]]&amp;"S"),FIND("+",Tasks[[#This Row],[_Pred4Text]]&amp;"+"),FIND("-",Tasks[[#This Row],[_Pred4Text]]&amp;"-"))-1)),""))</f>
        <v/>
      </c>
      <c r="DI10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5" s="42">
        <f>IF(OR(Tasks[[#This Row],[Task Name]]="",Tasks[[#This Row],[_Resources]]=""),"",TRIM(MID(SUBSTITUTE(Tasks[[#This Row],[_Resources]],",",REPT(" ",99)),1,99)))</f>
        <v/>
      </c>
      <c r="DL105" s="42">
        <f>IF(Tasks[[#This Row],[_Res1Text]]="","",TRIM(MID(SUBSTITUTE(Tasks[[#This Row],[_Resources]],",",REPT(" ",99)),100,99)))</f>
        <v/>
      </c>
      <c r="DM105" s="42">
        <f>IF(Tasks[[#This Row],[_Res2Text]]="","",TRIM(MID(SUBSTITUTE(Tasks[[#This Row],[_Resources]],",",REPT(" ",99)),199,99)))</f>
        <v/>
      </c>
      <c r="DN105" s="42">
        <f>IF(Tasks[[#This Row],[_Res3Text]]="","",TRIM(MID(SUBSTITUTE(Tasks[[#This Row],[_Resources]],",",REPT(" ",99)),298,99)))</f>
        <v/>
      </c>
      <c r="DO105" s="42">
        <f>IF(Tasks[[#This Row],[_Res1Text]]="",0,IFERROR(MATCH(TRIM(LEFT(Tasks[[#This Row],[_Res1Text]],FIND("[",Tasks[[#This Row],[_Res1Text]]&amp;"[")-1)),res_Name,0),IFERROR(MATCH(TRIM(LEFT(Tasks[[#This Row],[_Res1Text]],FIND("[",Tasks[[#This Row],[_Res1Text]]&amp;"[")-1)),res_Initials,0),0)))</f>
        <v/>
      </c>
      <c r="DP105" s="42">
        <f>IF(Tasks[[#This Row],[_Res2Text]]="",0,IFERROR(MATCH(TRIM(LEFT(Tasks[[#This Row],[_Res2Text]],FIND("[",Tasks[[#This Row],[_Res2Text]]&amp;"[")-1)),res_Name,0),IFERROR(MATCH(TRIM(LEFT(Tasks[[#This Row],[_Res2Text]],FIND("[",Tasks[[#This Row],[_Res2Text]]&amp;"[")-1)),res_Initials,0),0)))</f>
        <v/>
      </c>
      <c r="DQ105" s="42">
        <f>IF(Tasks[[#This Row],[_Res3Text]]="",0,IFERROR(MATCH(TRIM(LEFT(Tasks[[#This Row],[_Res3Text]],FIND("[",Tasks[[#This Row],[_Res3Text]]&amp;"[")-1)),res_Name,0),IFERROR(MATCH(TRIM(LEFT(Tasks[[#This Row],[_Res3Text]],FIND("[",Tasks[[#This Row],[_Res3Text]]&amp;"[")-1)),res_Initials,0),0)))</f>
        <v/>
      </c>
      <c r="DR105" s="42">
        <f>IF(Tasks[[#This Row],[_Res4Text]]="",0,IFERROR(MATCH(TRIM(LEFT(Tasks[[#This Row],[_Res4Text]],FIND("[",Tasks[[#This Row],[_Res4Text]]&amp;"[")-1)),res_Name,0),IFERROR(MATCH(TRIM(LEFT(Tasks[[#This Row],[_Res4Text]],FIND("[",Tasks[[#This Row],[_Res4Text]]&amp;"[")-1)),res_Initials,0),0)))</f>
        <v/>
      </c>
      <c r="DS105" s="42">
        <f>IF(Tasks[[#This Row],[_Res1Text]]="","",IF(Tasks[[#This Row],[_Res1Row]]&gt;0,INDEX(res_Name,Tasks[[#This Row],[_Res1Row]]),TRIM(LEFT(Tasks[[#This Row],[_Res1Text]],FIND("[",Tasks[[#This Row],[_Res1Text]]&amp;"[")-1))))</f>
        <v/>
      </c>
      <c r="DT10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5" s="42">
        <f>IF(NOT(Tasks[[#This Row],[_IsLeaf]]=1),0,(Tasks[[#This Row],[_Resource1]]&lt;&gt;"")+(Tasks[[#This Row],[_Res2]]&lt;&gt;"")+(Tasks[[#This Row],[_Res3]]&lt;&gt;"")+(Tasks[[#This Row],[_Res4]]&lt;&gt;""))</f>
        <v/>
      </c>
      <c r="DV105" s="42">
        <f>IF(Tasks[[#This Row],[_Res2Text]]="","",IF(Tasks[[#This Row],[_Res2Row]]&gt;0,INDEX(res_Name,Tasks[[#This Row],[_Res2Row]]),TRIM(LEFT(Tasks[[#This Row],[_Res2Text]],FIND("[",Tasks[[#This Row],[_Res2Text]]&amp;"[")-1))))</f>
        <v/>
      </c>
      <c r="DW10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5" s="42">
        <f>IF(OR(NOT(Tasks[[#This Row],[_IsLeaf]]=1),Tasks[[#This Row],[_Res2Row]]=0),0,N(Tasks[[#This Row],[_Days]])*HoursPerDay*IF(Tasks[[#This Row],[_Res2Units]]="",DefaultUnits,Tasks[[#This Row],[_Res2Units]]))</f>
        <v/>
      </c>
      <c r="DY105" s="42">
        <f>IF(AND(AND(Tasks[[#This Row],[_IsLeaf]]=1,Tasks[[#This Row],[_LeafTotalWork]]&gt;0),Tasks[[#This Row],[_Res2Work]]&gt;0),Tasks[[#This Row],[_Res2Work]]/(Tasks[[#This Row],[_FinishWorkday]]-Tasks[[#This Row],[_StartWorkday]]+1),0)</f>
        <v/>
      </c>
      <c r="DZ105" s="42">
        <f>Tasks[[#This Row],[_Res2WorkPerWD]]*MAX(0,Tasks[[#This Row],[_StartWorkday]]-1)</f>
        <v/>
      </c>
      <c r="EA105" s="42">
        <f>Tasks[[#This Row],[_Res2Work]]*Tasks[[#This Row],[_LeafProgress]]</f>
        <v/>
      </c>
      <c r="EB105" s="42">
        <f>IF(Tasks[[#This Row],[_Res3Text]]="","",IF(Tasks[[#This Row],[_Res3Row]]&gt;0,INDEX(res_Name,Tasks[[#This Row],[_Res3Row]]),TRIM(LEFT(Tasks[[#This Row],[_Res3Text]],FIND("[",Tasks[[#This Row],[_Res3Text]]&amp;"[")-1))))</f>
        <v/>
      </c>
      <c r="EC10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5" s="42">
        <f>IF(OR(NOT(Tasks[[#This Row],[_IsLeaf]]=1),Tasks[[#This Row],[_Res3Row]]=0),0,N(Tasks[[#This Row],[_Days]])*HoursPerDay*IF(Tasks[[#This Row],[_Res3Units]]="",DefaultUnits,Tasks[[#This Row],[_Res3Units]]))</f>
        <v/>
      </c>
      <c r="EE105" s="42">
        <f>IF(AND(AND(Tasks[[#This Row],[_IsLeaf]]=1,Tasks[[#This Row],[_LeafTotalWork]]&gt;0),Tasks[[#This Row],[_Res3Work]]&gt;0),Tasks[[#This Row],[_Res3Work]]/(Tasks[[#This Row],[_FinishWorkday]]-Tasks[[#This Row],[_StartWorkday]]+1),0)</f>
        <v/>
      </c>
      <c r="EF105" s="42">
        <f>Tasks[[#This Row],[_Res3WorkPerWD]]*MAX(0,Tasks[[#This Row],[_StartWorkday]]-1)</f>
        <v/>
      </c>
      <c r="EG105" s="42">
        <f>Tasks[[#This Row],[_Res3Work]]*Tasks[[#This Row],[_LeafProgress]]</f>
        <v/>
      </c>
      <c r="EH105" s="42">
        <f>IF(Tasks[[#This Row],[_Res4Text]]="","",IF(Tasks[[#This Row],[_Res4Row]]&gt;0,INDEX(res_Name,Tasks[[#This Row],[_Res4Row]]),TRIM(LEFT(Tasks[[#This Row],[_Res4Text]],FIND("[",Tasks[[#This Row],[_Res4Text]]&amp;"[")-1))))</f>
        <v/>
      </c>
      <c r="EI10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5" s="42">
        <f>IF(OR(NOT(Tasks[[#This Row],[_IsLeaf]]=1),Tasks[[#This Row],[_Res4Row]]=0),0,N(Tasks[[#This Row],[_Days]])*HoursPerDay*IF(Tasks[[#This Row],[_Res4Units]]="",DefaultUnits,Tasks[[#This Row],[_Res4Units]]))</f>
        <v/>
      </c>
      <c r="EK105" s="42">
        <f>IF(AND(AND(Tasks[[#This Row],[_IsLeaf]]=1,Tasks[[#This Row],[_LeafTotalWork]]&gt;0),Tasks[[#This Row],[_Res4Work]]&gt;0),Tasks[[#This Row],[_Res4Work]]/(Tasks[[#This Row],[_FinishWorkday]]-Tasks[[#This Row],[_StartWorkday]]+1),0)</f>
        <v/>
      </c>
      <c r="EL105" s="42">
        <f>Tasks[[#This Row],[_Res4WorkPerWD]]*MAX(0,Tasks[[#This Row],[_StartWorkday]]-1)</f>
        <v/>
      </c>
      <c r="EM105" s="42">
        <f>Tasks[[#This Row],[_Res4Work]]*Tasks[[#This Row],[_LeafProgress]]</f>
        <v/>
      </c>
      <c r="EN105" s="42">
        <f>IF(ISNUMBER(Tasks[[#This Row],[% Complete]]),Tasks[[#This Row],[% Complete]],IF(Tasks[[#This Row],[Stage]]="",0,IFERROR(INDEX(stg_Pct,MATCH(Tasks[[#This Row],[Stage]],stg_Name,0)),0)))</f>
        <v/>
      </c>
      <c r="EO105" s="42">
        <f>IF(NOT(Tasks[[#This Row],[_IsLeaf]]=1),0,IF(N(Tasks[[#This Row],[Actual Finish]])&gt;0,1,MIN(1,Tasks[[#This Row],[_Pct]])))</f>
        <v/>
      </c>
      <c r="EP105" s="42">
        <f>IF(OR(NOT(Tasks[[#This Row],[_IsLeaf]]=1),Tasks[[#This Row],[_Res1Row]]=0),0,N(Tasks[[#This Row],[_Days]])*HoursPerDay*IF(Tasks[[#This Row],[_Units1]]="",DefaultUnits,Tasks[[#This Row],[_Units1]]))</f>
        <v/>
      </c>
      <c r="EQ105" s="42">
        <f>Tasks[[#This Row],[_LeafWork]]+Tasks[[#This Row],[_Res2Work]]+Tasks[[#This Row],[_Res3Work]]+Tasks[[#This Row],[_Res4Work]]</f>
        <v/>
      </c>
      <c r="ER10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5" s="42">
        <f>IF(NOT(Tasks[[#This Row],[_IsLeaf]]=1),0,MAX(_xlfn.MAXIFS(Tasks[_Row],Tasks[_Pred1UID],Tasks[[#This Row],[UID]]),_xlfn.MAXIFS(Tasks[_Row],Tasks[_Pred2UID],Tasks[[#This Row],[UID]]),_xlfn.MAXIFS(Tasks[_Row],Tasks[_Pred3UID],Tasks[[#This Row],[UID]]),_xlfn.MAXIFS(Tasks[_Row],Tasks[_Pred4UID],Tasks[[#This Row],[UID]])))</f>
        <v/>
      </c>
      <c r="FA10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5" s="88">
        <f>IF(NOT(Tasks[[#This Row],[_IsLeaf]]=1),"",IF(N(Tasks[[#This Row],[_Days]])&lt;=0,Tasks[[#This Row],[_LeafLateFinish]],WORKDAY.INTL(Tasks[[#This Row],[_LeafLateFinish]],-(Tasks[[#This Row],[_Days]]-1),WorkWeek,Holidays)))</f>
        <v/>
      </c>
      <c r="FD10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5" s="42">
        <f>AND(Tasks[[#This Row],[_IsLeaf]]=1,Tasks[[#This Row],[_LeafProgress]]&lt;1,N(Tasks[[#This Row],[_LeafTotalSlack]])&lt;=CriticalSlackDays)</f>
        <v/>
      </c>
      <c r="FF105" s="42">
        <f>IF(AND(Tasks[[#This Row],[_IsLeaf]]=1,Tasks[[#This Row],[_ConstraintCode]]=1,Tasks[[#This Row],[Mode]]&lt;&gt;"Manual",N(Tasks[[#This Row],[Actual Start]])=0),MAX(0,N(Tasks[[#This Row],[Free Slack]])),0)</f>
        <v/>
      </c>
      <c r="FG105" s="88">
        <f>IF(NOT(Tasks[[#This Row],[_IsLeaf]]=1),"",IF(Tasks[[#This Row],[_AlapShift]]=0,Tasks[[#This Row],[_LeafCalcStart]],WORKDAY.INTL(Tasks[[#This Row],[_LeafCalcStart]],Tasks[[#This Row],[_AlapShift]],WorkWeek,Holidays)))</f>
        <v/>
      </c>
      <c r="FH105" s="88">
        <f>IF(NOT(Tasks[[#This Row],[_IsLeaf]]=1),"",IF(Tasks[[#This Row],[_AlapShift]]=0,Tasks[[#This Row],[_LeafCalcFinish]],WORKDAY.INTL(Tasks[[#This Row],[_LeafCalcFinish]],Tasks[[#This Row],[_AlapShift]],WorkWeek,Holidays)))</f>
        <v/>
      </c>
      <c r="FI105" s="88">
        <f>IF(NOT(Tasks[[#This Row],[_IsLeaf]]=1),"",IF(Tasks[[#This Row],[_AlapShift]]=0,Tasks[[#This Row],[_LeafFcstStart]],WORKDAY.INTL(Tasks[[#This Row],[_LeafFcstStart]],Tasks[[#This Row],[_AlapShift]],WorkWeek,Holidays)))</f>
        <v/>
      </c>
      <c r="FJ105" s="88">
        <f>IF(NOT(Tasks[[#This Row],[_IsLeaf]]=1),"",IF(Tasks[[#This Row],[_AlapShift]]=0,Tasks[[#This Row],[_LeafFcstFinish]],WORKDAY.INTL(Tasks[[#This Row],[_LeafFcstFinish]],Tasks[[#This Row],[_AlapShift]],WorkWeek,Holidays)))</f>
        <v/>
      </c>
      <c r="FK105" s="88">
        <f>IF(Tasks[[#This Row],[Task Name]]="","",IF(Tasks[[#This Row],[_IsSummary]],MIN(INDEX(Tasks[_ShownCalcStart],Tasks[[#This Row],[_Row]]+1):INDEX(Tasks[_ShownCalcStart],Tasks[[#This Row],[_Row]]+Tasks[[#This Row],[_Descendants]])),Tasks[[#This Row],[_ShownCalcStart]]))</f>
        <v/>
      </c>
      <c r="FL105" s="88">
        <f>IF(Tasks[[#This Row],[Task Name]]="","",IF(Tasks[[#This Row],[_IsSummary]],MAX(INDEX(Tasks[_ShownCalcFinish],Tasks[[#This Row],[_Row]]+1):INDEX(Tasks[_ShownCalcFinish],Tasks[[#This Row],[_Row]]+Tasks[[#This Row],[_Descendants]])),Tasks[[#This Row],[_ShownCalcFinish]]))</f>
        <v/>
      </c>
      <c r="FM10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5" s="42">
        <f>IF(AND(Tasks[[#This Row],[_IsLeaf]]=1,Tasks[[#This Row],[_LeafTotalWork]]&gt;0),NETWORKDAYS.INTL(ProjectStart,Tasks[[#This Row],[_ShownFcstStart]],WorkWeek,Holidays),0)</f>
        <v/>
      </c>
      <c r="FZ105" s="42">
        <f>IF(AND(Tasks[[#This Row],[_IsLeaf]]=1,Tasks[[#This Row],[_LeafTotalWork]]&gt;0),MAX(Tasks[[#This Row],[_StartWorkday]],NETWORKDAYS.INTL(ProjectStart,Tasks[[#This Row],[_ShownFcstFinish]],WorkWeek,Holidays)),0)</f>
        <v/>
      </c>
      <c r="GA105" s="42">
        <f>IF(AND(Tasks[[#This Row],[_IsLeaf]]=1,Tasks[[#This Row],[_LeafTotalWork]]&gt;0),Tasks[[#This Row],[_LeafWork]]/(Tasks[[#This Row],[_FinishWorkday]]-Tasks[[#This Row],[_StartWorkday]]+1),0)</f>
        <v/>
      </c>
      <c r="GB105" s="42">
        <f>Tasks[[#This Row],[_WorkPerWorkday]]*(Tasks[[#This Row],[_StartWorkday]]-1)</f>
        <v/>
      </c>
      <c r="GC105" s="42">
        <f>IF(Tasks[[#This Row],[_IsLeaf]]=1,MAX(N(Tasks[[#This Row],[_Days]]),0.1),0)</f>
        <v/>
      </c>
      <c r="GD105" s="42">
        <f>Tasks[[#This Row],[_WeightDur]]*Tasks[[#This Row],[_LeafProgress]]</f>
        <v/>
      </c>
      <c r="GE105" s="42">
        <f>Tasks[[#This Row],[_WeightDur]]*Tasks[[#This Row],[_PlannedPct]]</f>
        <v/>
      </c>
      <c r="GF10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5" s="42">
        <f>IF(AND(Tasks[[#This Row],[_IsLeaf]]=1,N(Tasks[[#This Row],[_Days]])=0,Tasks[[#This Row],[_LeafProgress]]&lt;1),Tasks[[#This Row],[_ShownFcstFinish]]+Tasks[[#This Row],[_Row]]/100000,"")</f>
        <v/>
      </c>
      <c r="GH10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5" s="42">
        <f>IF(Tasks[[#This Row],[Task Name]]="","",LEFT(Tasks[[#This Row],[WBS]],FIND(".",Tasks[[#This Row],[WBS]]&amp;".")-1))</f>
        <v/>
      </c>
      <c r="GJ105" s="42">
        <f>IF(AND(Tasks[[#This Row],[Task Name]]&lt;&gt;"",Tasks[[#This Row],[_Level]]=1),Tasks[[#This Row],[_Row]],"")</f>
        <v/>
      </c>
      <c r="GK105" s="42">
        <f>IF(AND(Tasks[[#This Row],[_IsLeaf]]=1,N(Tasks[[#This Row],[_Days]])=0),Tasks[[#This Row],[Planned Finish]]+Tasks[[#This Row],[_Row]]/100000,"")</f>
        <v/>
      </c>
      <c r="GL105" s="42">
        <f>IF(AND(Tasks[[#This Row],[_IsLeaf]]=1,Tasks[[#This Row],[_LeafProgress]]&lt;1,OR(N(Tasks[[#This Row],[Finish Var]])&gt;0,Tasks[[#This Row],[Status]]="Late Start")),MAX(0,Tasks[[#This Row],[Finish Var]])+1-Tasks[[#This Row],[_Row]]/1000000,"")</f>
        <v/>
      </c>
      <c r="GM105" s="42">
        <f>IF(AND(Tasks[[#This Row],[_IsLeaf]]=1,N(Tasks[[#This Row],[Actual Start]])=0,Tasks[[#This Row],[_ShownFcstStart]]&gt;=StatusDate,Tasks[[#This Row],[_ShownFcstStart]]&lt;=LookaheadEnd),Tasks[[#This Row],[_ShownFcstStart]]+Tasks[[#This Row],[_Row]]/100000,"")</f>
        <v/>
      </c>
      <c r="GN105" s="42">
        <f>IF(AND(Tasks[[#This Row],[_IsLeaf]]=1,Tasks[[#This Row],[_LeafProgress]]&lt;1,Tasks[[#This Row],[_ShownFcstFinish]]&gt;=StatusDate,Tasks[[#This Row],[_ShownFcstFinish]]&lt;=LookaheadEnd),Tasks[[#This Row],[_ShownFcstFinish]]+Tasks[[#This Row],[_Row]]/100000,"")</f>
        <v/>
      </c>
      <c r="GO105" s="42">
        <f>IF(Tasks[[#This Row],[_LeafCritical]],Tasks[[#This Row],[_ShownFcstStart]]+Tasks[[#This Row],[_Row]]/100000,"")</f>
        <v/>
      </c>
      <c r="GP105" s="42">
        <f>Tasks[[#This Row],[_LeafWork]]*Tasks[[#This Row],[_LeafProgress]]</f>
        <v/>
      </c>
      <c r="GQ105" s="88">
        <f>IF(AND(Tasks[[#This Row],[_IsLeaf]]=1,Tasks[[#This Row],[_LeafProgress]]&gt;=1),IF(N(Tasks[[#This Row],[Actual Finish]])&gt;0,Tasks[[#This Row],[Actual Finish]],Tasks[[#This Row],[_ShownFcstFinish]]),"")</f>
        <v/>
      </c>
      <c r="GR105" s="42">
        <f>IF(Tasks[[#This Row],[_IsLeaf]]=1,N(Tasks[[#This Row],[Story Points]]),0)</f>
        <v/>
      </c>
      <c r="GS105" s="42">
        <f>""</f>
        <v/>
      </c>
      <c r="GT105" s="42">
        <f>IF(Tasks[[#This Row],[Task Name]]="",FALSE(),AND(Tasks[[#This Row],[_IsLeaf]]=1,N(Tasks[[#This Row],[_Days]])=0))</f>
        <v/>
      </c>
      <c r="GU105" s="88">
        <f>IF(Tasks[[#This Row],[Task Name]]="",0,IF(AND(Tasks[[#This Row],[_IsLeaf]]=1,NOT(Tasks[[#This Row],[_IsMilestone]]),N(Tasks[[#This Row],[Progress]])&gt;0),Tasks[[#This Row],[Start]],0))</f>
        <v/>
      </c>
      <c r="GV105" s="88">
        <f>IF(Tasks[[#This Row],[_DoneFrom]]=0,0,IF(Tasks[[#This Row],[Progress]]&gt;=1,Tasks[[#This Row],[Finish]],MAX(Tasks[[#This Row],[_DoneFrom]],Tasks[[#This Row],[Start]]+ROUND((Tasks[[#This Row],[Finish]]-Tasks[[#This Row],[Start]]+1)*Tasks[[#This Row],[Progress]],0)-1)))</f>
        <v/>
      </c>
      <c r="GW105" s="88">
        <f>IF(Tasks[[#This Row],[Task Name]]="",0,IF(OR(NOT(Tasks[[#This Row],[_IsLeaf]]=1),Tasks[[#This Row],[_IsMilestone]],N(Tasks[[#This Row],[Progress]])&gt;=1),0,IF(Tasks[[#This Row],[_DoneTo]]&gt;0,Tasks[[#This Row],[_DoneTo]]+1,Tasks[[#This Row],[Start]])))</f>
        <v/>
      </c>
      <c r="GX105" s="88">
        <f>IF(Tasks[[#This Row],[_RemFrom]]=0,0,Tasks[[#This Row],[Finish]])</f>
        <v/>
      </c>
      <c r="GY105" s="42">
        <f>IF(Tasks[[#This Row],[Task Name]]="",FALSE(),OR(NOT(BaselineSet),N(Tasks[[#This Row],[Baseline Start]])&gt;0))</f>
        <v/>
      </c>
      <c r="GZ105" s="42">
        <f>IF(AND(Sandbox="Yes",L_PARSE_DURATION(Tasks[[#This Row],[Sandbox Duration]])&lt;&gt;""),L_PARSE_DURATION(Tasks[[#This Row],[Sandbox Duration]]),L_PARSE_DURATION(Tasks[[#This Row],[Duration]]))</f>
        <v/>
      </c>
      <c r="HA10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5" s="42">
        <f>IF(Tasks[[#This Row],[_IsLeaf]]=1,Tasks[[#This Row],[_Row]],"")</f>
        <v/>
      </c>
      <c r="HD105" s="42">
        <f>IFERROR(INDEX(Tasks[UID],SMALL(Tasks[_PickKey],Tasks[[#This Row],[_Row]]))&amp;" "&amp;INDEX(Tasks[Task Name],SMALL(Tasks[_PickKey],Tasks[[#This Row],[_Row]])),"")</f>
        <v/>
      </c>
      <c r="HE105" s="42">
        <f>IF(Tasks[[#This Row],[Task Name]]="","",IF(Tasks[[#This Row],[_IsSummary]],NETWORKDAYS.INTL(Tasks[[#This Row],[Start]],Tasks[[#This Row],[Finish]],WorkWeek,Holidays),N(Tasks[[#This Row],[_Days]])))</f>
        <v/>
      </c>
      <c r="HF105" s="42">
        <f>IF(Tasks[[#This Row],[Expected]]="",0,((Tasks[[#This Row],[Pessimistic]]-Tasks[[#This Row],[Optimistic]])/6)^2)</f>
        <v/>
      </c>
      <c r="HG105" s="42">
        <f>IF(Tasks[[#This Row],[Expected]]="",0,Tasks[[#This Row],[Expected]]-N(Tasks[[#This Row],[_Days]]))</f>
        <v/>
      </c>
    </row>
    <row r="106">
      <c r="A106" s="21">
        <f>IF(Tasks[[#This Row],[Task Name]]="","",COUNTA(Tasks[[#Headers],[Task Name]]:Tasks[[#This Row],[Task Name]])-1)</f>
        <v/>
      </c>
      <c r="B106" s="22" t="n">
        <v>114</v>
      </c>
      <c r="C106" s="22" t="n"/>
      <c r="D106" s="23" t="n"/>
      <c r="E106" s="22" t="n"/>
      <c r="F106" s="23" t="n"/>
      <c r="G106" s="22" t="n"/>
      <c r="H106" s="22" t="n"/>
      <c r="I106" s="23" t="n"/>
      <c r="J106" s="22" t="n"/>
      <c r="K106" s="22" t="n"/>
      <c r="L106" s="23" t="n"/>
      <c r="M106" s="22" t="n"/>
      <c r="N106" s="22" t="n"/>
      <c r="O106" s="23" t="n"/>
      <c r="P106" s="22" t="n"/>
      <c r="Q106" s="22" t="n"/>
      <c r="R106" s="23" t="n"/>
      <c r="S106" s="23" t="n"/>
      <c r="T106" s="82" t="n"/>
      <c r="U106" s="23" t="n"/>
      <c r="V106" s="82" t="n"/>
      <c r="W106" s="23" t="n"/>
      <c r="X106" s="82" t="n"/>
      <c r="Y106" s="23" t="n"/>
      <c r="Z106" s="82" t="n"/>
      <c r="AA106" s="23" t="n"/>
      <c r="AB106" s="23" t="n"/>
      <c r="AC106" s="7" t="n"/>
      <c r="AD106" s="7" t="n"/>
      <c r="AE106" s="61">
        <f>IF(Tasks[[#This Row],[Task Name]]="","",IF(Tasks[[#This Row],[_IsSummary]],MIN(INDEX(Tasks[_ShownFcstStart],Tasks[[#This Row],[_Row]]+1):INDEX(Tasks[_ShownFcstStart],Tasks[[#This Row],[_Row]]+Tasks[[#This Row],[_Descendants]])),Tasks[[#This Row],[_ShownFcstStart]]))</f>
        <v/>
      </c>
      <c r="AF106" s="61">
        <f>IF(Tasks[[#This Row],[Task Name]]="","",IF(Tasks[[#This Row],[_IsSummary]],MAX(INDEX(Tasks[_ShownFcstFinish],Tasks[[#This Row],[_Row]]+1):INDEX(Tasks[_ShownFcstFinish],Tasks[[#This Row],[_Row]]+Tasks[[#This Row],[_Descendants]])),Tasks[[#This Row],[_ShownFcstFinish]]))</f>
        <v/>
      </c>
      <c r="AG106" s="21">
        <f>""</f>
        <v/>
      </c>
      <c r="AH106" s="23" t="n"/>
      <c r="AI10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6" s="7" t="n"/>
      <c r="AK106" s="22" t="n"/>
      <c r="AL106" s="23" t="n"/>
      <c r="AM106" s="7" t="n"/>
      <c r="AN106" s="21">
        <f>IF(Tasks[[#This Row],[Task Name]]="","",IF(Tasks[[#This Row],[Finish]]&gt;=Tasks[[#This Row],[Planned Finish]],NETWORKDAYS.INTL(Tasks[[#This Row],[Planned Finish]],Tasks[[#This Row],[Finish]],WorkWeek,Holidays)-1,1-NETWORKDAYS.INTL(Tasks[[#This Row],[Finish]],Tasks[[#This Row],[Planned Finish]],WorkWeek,Holidays)))</f>
        <v/>
      </c>
      <c r="AO106" s="21">
        <f>IF(Tasks[[#This Row],[Task Name]]="","",IF(Tasks[[#This Row],[Progress]]&gt;=1,"Complete",IF(OR(N(Tasks[[#This Row],[Actual Start]])&gt;0,Tasks[[#This Row],[Progress]]&gt;0),IF(Tasks[[#This Row],[Finish Var]]&gt;0,"Behind","In Progress"),IF(Tasks[[#This Row],[Planned Start]]&lt;StatusDate,"Late Start","Not Started"))))</f>
        <v/>
      </c>
      <c r="AP106" s="21">
        <f>IF(Tasks[[#This Row],[Task Name]]="","",IF(IF(Tasks[[#This Row],[_IsSummary]],COUNTIF(INDEX(Tasks[_LeafCritical],Tasks[[#This Row],[_Row]]+1):INDEX(Tasks[_LeafCritical],Tasks[[#This Row],[_Row]]+Tasks[[#This Row],[_Descendants]]),TRUE())&gt;0,Tasks[[#This Row],[_LeafCritical]]),"Yes",""))</f>
        <v/>
      </c>
      <c r="AQ106" s="61">
        <f>IF(Tasks[[#This Row],[Task Name]]="","",IF(N(Tasks[[#This Row],[Baseline Start]])&gt;0,Tasks[[#This Row],[Baseline Start]],Tasks[[#This Row],[_CalcStart]]))</f>
        <v/>
      </c>
      <c r="AR106" s="61">
        <f>IF(Tasks[[#This Row],[Task Name]]="","",IF(N(Tasks[[#This Row],[Baseline Finish]])&gt;0,Tasks[[#This Row],[Baseline Finish]],Tasks[[#This Row],[_CalcFinish]]))</f>
        <v/>
      </c>
      <c r="AS106" s="21">
        <f>IF(Tasks[[#This Row],[Task Name]]="","",IF(Tasks[[#This Row],[Start]]&gt;=Tasks[[#This Row],[Planned Start]],NETWORKDAYS.INTL(Tasks[[#This Row],[Planned Start]],Tasks[[#This Row],[Start]],WorkWeek,Holidays)-1,1-NETWORKDAYS.INTL(Tasks[[#This Row],[Start]],Tasks[[#This Row],[Planned Start]],WorkWeek,Holidays)))</f>
        <v/>
      </c>
      <c r="AT106" s="61">
        <f>IF(Tasks[[#This Row],[Task Name]]="","",IF(Tasks[[#This Row],[_IsSummary]],MIN(INDEX(Tasks[_LeafLateStart],Tasks[[#This Row],[_Row]]+1):INDEX(Tasks[_LeafLateStart],Tasks[[#This Row],[_Row]]+Tasks[[#This Row],[_Descendants]])),Tasks[[#This Row],[_LeafLateStart]]))</f>
        <v/>
      </c>
      <c r="AU106" s="61">
        <f>IF(Tasks[[#This Row],[Task Name]]="","",IF(Tasks[[#This Row],[_IsSummary]],MAX(INDEX(Tasks[_LeafLateFinish],Tasks[[#This Row],[_Row]]+1):INDEX(Tasks[_LeafLateFinish],Tasks[[#This Row],[_Row]]+Tasks[[#This Row],[_Descendants]])),Tasks[[#This Row],[_LeafLateFinish]]))</f>
        <v/>
      </c>
      <c r="AV106" s="21">
        <f>IF(Tasks[[#This Row],[Task Name]]="","",IF(Tasks[[#This Row],[_IsSummary]],MIN(INDEX(Tasks[_LeafTotalSlack],Tasks[[#This Row],[_Row]]+1):INDEX(Tasks[_LeafTotalSlack],Tasks[[#This Row],[_Row]]+Tasks[[#This Row],[_Descendants]])),Tasks[[#This Row],[_LeafTotalSlack]]))</f>
        <v/>
      </c>
      <c r="AW10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3" t="n"/>
      <c r="BA10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f>IF(Tasks[[#This Row],[Task Name]]="","",IF(Tasks[[#This Row],[_Level]]&lt;=OutlineShowLevel,"Yes","No"))</f>
        <v/>
      </c>
      <c r="BE106" s="84">
        <f>IF(Tasks[[#This Row],[Task Name]]="","",IF(Tasks[[#This Row],[_IsSummary]],SUM(INDEX(Tasks[_LeafTotalWork],Tasks[[#This Row],[_Row]]+1):INDEX(Tasks[_LeafTotalWork],Tasks[[#This Row],[_Row]]+Tasks[[#This Row],[_Descendants]])),Tasks[[#This Row],[_LeafTotalWork]]))</f>
        <v/>
      </c>
      <c r="BF106" s="23" t="n"/>
      <c r="BG10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f>""</f>
        <v/>
      </c>
      <c r="BI106" s="85" t="n"/>
      <c r="BJ106" s="22" t="n"/>
      <c r="BK106" s="21">
        <f>IF(OR(Tasks[[#This Row],[Task Name]]="",Tasks[[#This Row],[Baseline Duration]]=""),"",Tasks[[#This Row],[_SpanDays]]-N(Tasks[[#This Row],[Baseline Duration]]))</f>
        <v/>
      </c>
      <c r="BL106" s="84">
        <f>IF(OR(Tasks[[#This Row],[Task Name]]="",Tasks[[#This Row],[Baseline Work]]=""),"",Tasks[[#This Row],[Work]]-N(Tasks[[#This Row],[Baseline Work]]))</f>
        <v/>
      </c>
      <c r="BM106" s="61">
        <f>IF(Tasks[[#This Row],[Task Name]]="","",IF(OR(TakeBaseline="Yes",N(Tasks[[#This Row],[Baseline Start]])=0),Tasks[[#This Row],[Start]],Tasks[[#This Row],[Baseline Start]]))</f>
        <v/>
      </c>
      <c r="BN106" s="61">
        <f>IF(Tasks[[#This Row],[Task Name]]="","",IF(OR(TakeBaseline="Yes",N(Tasks[[#This Row],[Baseline Finish]])=0),Tasks[[#This Row],[Finish]],Tasks[[#This Row],[Baseline Finish]]))</f>
        <v/>
      </c>
      <c r="BO106" s="21">
        <f>IF(Tasks[[#This Row],[Task Name]]="","",IF(OR(TakeBaseline="Yes",N(Tasks[[#This Row],[Baseline Duration]])=0),Tasks[[#This Row],[_SpanDays]],Tasks[[#This Row],[Baseline Duration]]))</f>
        <v/>
      </c>
      <c r="BP106" s="84">
        <f>IF(Tasks[[#This Row],[Task Name]]="","",IF(OR(TakeBaseline="Yes",N(Tasks[[#This Row],[Baseline Work]])=0),Tasks[[#This Row],[Work]],Tasks[[#This Row],[Baseline Work]]))</f>
        <v/>
      </c>
      <c r="BQ106" s="7" t="n"/>
      <c r="BR106" s="7" t="n"/>
      <c r="BS106" s="22" t="n"/>
      <c r="BT106" s="86" t="n"/>
      <c r="BU106" s="23" t="n"/>
      <c r="BV106" s="23" t="n"/>
      <c r="BW106" s="23" t="n"/>
      <c r="BX106" s="87">
        <f>IF(AND(Tasks[[#This Row],[_IsLeaf]]=1,ISNUMBER(Tasks[[#This Row],[Optimistic]]),ISNUMBER(Tasks[[#This Row],[Pessimistic]])),ROUND((Tasks[[#This Row],[Optimistic]]+4*N(Tasks[[#This Row],[_Days]])+Tasks[[#This Row],[Pessimistic]])/6,1),"")</f>
        <v/>
      </c>
      <c r="BY106" s="85" t="n"/>
      <c r="BZ106" s="85" t="n"/>
      <c r="CA106" s="22" t="n"/>
      <c r="CB106" s="42">
        <f>IF(Tasks[[#This Row],[Task Name]]="","",MAX(1,N(Tasks[[#This Row],[Level]])))</f>
        <v/>
      </c>
      <c r="CC106" s="42">
        <f>ROW()-ROW(Tasks[[#Headers],[ID]])</f>
        <v/>
      </c>
      <c r="CD106" s="42">
        <f>IF(OR(Tasks[[#This Row],[Task Name]]="",Tasks[[#This Row],[_Level]]&lt;=1),0,IFERROR(LOOKUP(2,1/(Tasks[[#Headers],[_Level]]:Tasks[[#This Row],[_Level]]=Tasks[[#This Row],[_Level]]-1),ROW(Tasks[[#Headers],[_Level]]:Tasks[[#This Row],[_Level]])),0))</f>
        <v/>
      </c>
      <c r="CE106" s="42">
        <f>IFERROR(N(INDEX(Tasks[_Level],Tasks[[#This Row],[_Row]]+1)),0)</f>
        <v/>
      </c>
      <c r="CF106" s="42">
        <f>AND(Tasks[[#This Row],[Task Name]]&lt;&gt;"",Tasks[[#This Row],[_NextLevel]]&gt;Tasks[[#This Row],[_Level]])</f>
        <v/>
      </c>
      <c r="CG106" s="42">
        <f>IF(Tasks[[#This Row],[_IsSummary]],COUNTIF(Tasks[WBS],Tasks[[#This Row],[WBS]]&amp;".*"),0)</f>
        <v/>
      </c>
      <c r="CH106" s="42">
        <f>IF(AND(Tasks[[#This Row],[Task Name]]&lt;&gt;"",NOT(Tasks[[#This Row],[_IsSummary]])),1,0)</f>
        <v/>
      </c>
      <c r="CI106" s="42">
        <f>IF(N(Tasks[[#This Row],[_Pred1UID]])=0,0,IFERROR(MATCH(Tasks[[#This Row],[_Pred1UID]],Tasks[UID],0),-1))</f>
        <v/>
      </c>
      <c r="CJ106" s="42">
        <f>IF(N(Tasks[[#This Row],[_Pred2UID]])=0,0,IFERROR(MATCH(Tasks[[#This Row],[_Pred2UID]],Tasks[UID],0),-1))</f>
        <v/>
      </c>
      <c r="CK106" s="42">
        <f>IF(N(Tasks[[#This Row],[_Pred3UID]])=0,0,IFERROR(MATCH(Tasks[[#This Row],[_Pred3UID]],Tasks[UID],0),-1))</f>
        <v/>
      </c>
      <c r="CL106" s="42">
        <f>IF(N(Tasks[[#This Row],[_Pred4UID]])=0,0,IFERROR(MATCH(Tasks[[#This Row],[_Pred4UID]],Tasks[UID],0),-1))</f>
        <v/>
      </c>
      <c r="CM10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6" s="88">
        <f>IF(N(Tasks[[#This Row],[Constraint Date]])=0,0,IF(AND(OR(Tasks[[#This Row],[_ConstraintCode]]=3,Tasks[[#This Row],[_ConstraintCode]]=6,Tasks[[#This Row],[_ConstraintCode]]=7),N(Tasks[[#This Row],[_Days]])&gt;1),WORKDAY.INTL(N(Tasks[[#This Row],[Constraint Date]]),-(N(Tasks[[#This Row],[_Days]])-1),WorkWeek,Holidays),N(Tasks[[#This Row],[Constraint Date]])))</f>
        <v/>
      </c>
      <c r="CO106" s="88">
        <f>IF(OR(Tasks[[#This Row],[_ConstraintCode]]=2,Tasks[[#This Row],[_ConstraintCode]]=3,Tasks[[#This Row],[_ConstraintCode]]=4,Tasks[[#This Row],[_ConstraintCode]]=6),Tasks[[#This Row],[_ConstraintStart]],0)</f>
        <v/>
      </c>
      <c r="CP106" s="88">
        <f>IF(OR(Tasks[[#This Row],[_ConstraintCode]]=2,Tasks[[#This Row],[_ConstraintCode]]=3,Tasks[[#This Row],[_ConstraintCode]]=5,Tasks[[#This Row],[_ConstraintCode]]=7),Tasks[[#This Row],[_ConstraintStart]],2958465)</f>
        <v/>
      </c>
      <c r="CQ10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6" s="88">
        <f>IF(NOT(Tasks[[#This Row],[_IsLeaf]]=1),"",IF(N(Tasks[[#This Row],[_Days]])&lt;=0,Tasks[[#This Row],[_LeafCalcStart]],WORKDAY.INTL(Tasks[[#This Row],[_LeafCalcStart]],Tasks[[#This Row],[_Days]]-1,WorkWeek,Holidays)))</f>
        <v/>
      </c>
      <c r="CS10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6" s="42">
        <f>IF(Tasks[[#This Row],[_Predecessors]]="","",TRIM(MID(SUBSTITUTE(SUBSTITUTE(SUBSTITUTE(UPPER(Tasks[[#This Row],[_Predecessors]]),";",",")," ",""),",",REPT(" ",99)),1,99)))</f>
        <v/>
      </c>
      <c r="CV106" s="42">
        <f>IF(Tasks[[#This Row],[_Pred1Text]]="","",IFERROR(VALUE(LEFT(Tasks[[#This Row],[_Pred1Text]],MIN(FIND("F",Tasks[[#This Row],[_Pred1Text]]&amp;"F"),FIND("S",Tasks[[#This Row],[_Pred1Text]]&amp;"S"),FIND("+",Tasks[[#This Row],[_Pred1Text]]&amp;"+"),FIND("-",Tasks[[#This Row],[_Pred1Text]]&amp;"-"))-1)),""))</f>
        <v/>
      </c>
      <c r="CW10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6" s="42">
        <f>IF(Tasks[[#This Row],[_Pred1Text]]="","",TRIM(MID(SUBSTITUTE(SUBSTITUTE(SUBSTITUTE(UPPER(Tasks[[#This Row],[_Predecessors]]),";",",")," ",""),",",REPT(" ",99)),100,99)))</f>
        <v/>
      </c>
      <c r="CZ106" s="42">
        <f>IF(Tasks[[#This Row],[_Pred2Text]]="","",IFERROR(VALUE(LEFT(Tasks[[#This Row],[_Pred2Text]],MIN(FIND("F",Tasks[[#This Row],[_Pred2Text]]&amp;"F"),FIND("S",Tasks[[#This Row],[_Pred2Text]]&amp;"S"),FIND("+",Tasks[[#This Row],[_Pred2Text]]&amp;"+"),FIND("-",Tasks[[#This Row],[_Pred2Text]]&amp;"-"))-1)),""))</f>
        <v/>
      </c>
      <c r="DA10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6" s="42">
        <f>IF(Tasks[[#This Row],[_Pred2Text]]="","",TRIM(MID(SUBSTITUTE(SUBSTITUTE(SUBSTITUTE(UPPER(Tasks[[#This Row],[_Predecessors]]),";",",")," ",""),",",REPT(" ",99)),199,99)))</f>
        <v/>
      </c>
      <c r="DD106" s="42">
        <f>IF(Tasks[[#This Row],[_Pred3Text]]="","",IFERROR(VALUE(LEFT(Tasks[[#This Row],[_Pred3Text]],MIN(FIND("F",Tasks[[#This Row],[_Pred3Text]]&amp;"F"),FIND("S",Tasks[[#This Row],[_Pred3Text]]&amp;"S"),FIND("+",Tasks[[#This Row],[_Pred3Text]]&amp;"+"),FIND("-",Tasks[[#This Row],[_Pred3Text]]&amp;"-"))-1)),""))</f>
        <v/>
      </c>
      <c r="DE10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6" s="42">
        <f>IF(Tasks[[#This Row],[_Pred3Text]]="","",TRIM(MID(SUBSTITUTE(SUBSTITUTE(SUBSTITUTE(UPPER(Tasks[[#This Row],[_Predecessors]]),";",",")," ",""),",",REPT(" ",99)),298,99)))</f>
        <v/>
      </c>
      <c r="DH106" s="42">
        <f>IF(Tasks[[#This Row],[_Pred4Text]]="","",IFERROR(VALUE(LEFT(Tasks[[#This Row],[_Pred4Text]],MIN(FIND("F",Tasks[[#This Row],[_Pred4Text]]&amp;"F"),FIND("S",Tasks[[#This Row],[_Pred4Text]]&amp;"S"),FIND("+",Tasks[[#This Row],[_Pred4Text]]&amp;"+"),FIND("-",Tasks[[#This Row],[_Pred4Text]]&amp;"-"))-1)),""))</f>
        <v/>
      </c>
      <c r="DI10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6" s="42">
        <f>IF(OR(Tasks[[#This Row],[Task Name]]="",Tasks[[#This Row],[_Resources]]=""),"",TRIM(MID(SUBSTITUTE(Tasks[[#This Row],[_Resources]],",",REPT(" ",99)),1,99)))</f>
        <v/>
      </c>
      <c r="DL106" s="42">
        <f>IF(Tasks[[#This Row],[_Res1Text]]="","",TRIM(MID(SUBSTITUTE(Tasks[[#This Row],[_Resources]],",",REPT(" ",99)),100,99)))</f>
        <v/>
      </c>
      <c r="DM106" s="42">
        <f>IF(Tasks[[#This Row],[_Res2Text]]="","",TRIM(MID(SUBSTITUTE(Tasks[[#This Row],[_Resources]],",",REPT(" ",99)),199,99)))</f>
        <v/>
      </c>
      <c r="DN106" s="42">
        <f>IF(Tasks[[#This Row],[_Res3Text]]="","",TRIM(MID(SUBSTITUTE(Tasks[[#This Row],[_Resources]],",",REPT(" ",99)),298,99)))</f>
        <v/>
      </c>
      <c r="DO106" s="42">
        <f>IF(Tasks[[#This Row],[_Res1Text]]="",0,IFERROR(MATCH(TRIM(LEFT(Tasks[[#This Row],[_Res1Text]],FIND("[",Tasks[[#This Row],[_Res1Text]]&amp;"[")-1)),res_Name,0),IFERROR(MATCH(TRIM(LEFT(Tasks[[#This Row],[_Res1Text]],FIND("[",Tasks[[#This Row],[_Res1Text]]&amp;"[")-1)),res_Initials,0),0)))</f>
        <v/>
      </c>
      <c r="DP106" s="42">
        <f>IF(Tasks[[#This Row],[_Res2Text]]="",0,IFERROR(MATCH(TRIM(LEFT(Tasks[[#This Row],[_Res2Text]],FIND("[",Tasks[[#This Row],[_Res2Text]]&amp;"[")-1)),res_Name,0),IFERROR(MATCH(TRIM(LEFT(Tasks[[#This Row],[_Res2Text]],FIND("[",Tasks[[#This Row],[_Res2Text]]&amp;"[")-1)),res_Initials,0),0)))</f>
        <v/>
      </c>
      <c r="DQ106" s="42">
        <f>IF(Tasks[[#This Row],[_Res3Text]]="",0,IFERROR(MATCH(TRIM(LEFT(Tasks[[#This Row],[_Res3Text]],FIND("[",Tasks[[#This Row],[_Res3Text]]&amp;"[")-1)),res_Name,0),IFERROR(MATCH(TRIM(LEFT(Tasks[[#This Row],[_Res3Text]],FIND("[",Tasks[[#This Row],[_Res3Text]]&amp;"[")-1)),res_Initials,0),0)))</f>
        <v/>
      </c>
      <c r="DR106" s="42">
        <f>IF(Tasks[[#This Row],[_Res4Text]]="",0,IFERROR(MATCH(TRIM(LEFT(Tasks[[#This Row],[_Res4Text]],FIND("[",Tasks[[#This Row],[_Res4Text]]&amp;"[")-1)),res_Name,0),IFERROR(MATCH(TRIM(LEFT(Tasks[[#This Row],[_Res4Text]],FIND("[",Tasks[[#This Row],[_Res4Text]]&amp;"[")-1)),res_Initials,0),0)))</f>
        <v/>
      </c>
      <c r="DS106" s="42">
        <f>IF(Tasks[[#This Row],[_Res1Text]]="","",IF(Tasks[[#This Row],[_Res1Row]]&gt;0,INDEX(res_Name,Tasks[[#This Row],[_Res1Row]]),TRIM(LEFT(Tasks[[#This Row],[_Res1Text]],FIND("[",Tasks[[#This Row],[_Res1Text]]&amp;"[")-1))))</f>
        <v/>
      </c>
      <c r="DT10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6" s="42">
        <f>IF(NOT(Tasks[[#This Row],[_IsLeaf]]=1),0,(Tasks[[#This Row],[_Resource1]]&lt;&gt;"")+(Tasks[[#This Row],[_Res2]]&lt;&gt;"")+(Tasks[[#This Row],[_Res3]]&lt;&gt;"")+(Tasks[[#This Row],[_Res4]]&lt;&gt;""))</f>
        <v/>
      </c>
      <c r="DV106" s="42">
        <f>IF(Tasks[[#This Row],[_Res2Text]]="","",IF(Tasks[[#This Row],[_Res2Row]]&gt;0,INDEX(res_Name,Tasks[[#This Row],[_Res2Row]]),TRIM(LEFT(Tasks[[#This Row],[_Res2Text]],FIND("[",Tasks[[#This Row],[_Res2Text]]&amp;"[")-1))))</f>
        <v/>
      </c>
      <c r="DW10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6" s="42">
        <f>IF(OR(NOT(Tasks[[#This Row],[_IsLeaf]]=1),Tasks[[#This Row],[_Res2Row]]=0),0,N(Tasks[[#This Row],[_Days]])*HoursPerDay*IF(Tasks[[#This Row],[_Res2Units]]="",DefaultUnits,Tasks[[#This Row],[_Res2Units]]))</f>
        <v/>
      </c>
      <c r="DY106" s="42">
        <f>IF(AND(AND(Tasks[[#This Row],[_IsLeaf]]=1,Tasks[[#This Row],[_LeafTotalWork]]&gt;0),Tasks[[#This Row],[_Res2Work]]&gt;0),Tasks[[#This Row],[_Res2Work]]/(Tasks[[#This Row],[_FinishWorkday]]-Tasks[[#This Row],[_StartWorkday]]+1),0)</f>
        <v/>
      </c>
      <c r="DZ106" s="42">
        <f>Tasks[[#This Row],[_Res2WorkPerWD]]*MAX(0,Tasks[[#This Row],[_StartWorkday]]-1)</f>
        <v/>
      </c>
      <c r="EA106" s="42">
        <f>Tasks[[#This Row],[_Res2Work]]*Tasks[[#This Row],[_LeafProgress]]</f>
        <v/>
      </c>
      <c r="EB106" s="42">
        <f>IF(Tasks[[#This Row],[_Res3Text]]="","",IF(Tasks[[#This Row],[_Res3Row]]&gt;0,INDEX(res_Name,Tasks[[#This Row],[_Res3Row]]),TRIM(LEFT(Tasks[[#This Row],[_Res3Text]],FIND("[",Tasks[[#This Row],[_Res3Text]]&amp;"[")-1))))</f>
        <v/>
      </c>
      <c r="EC10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6" s="42">
        <f>IF(OR(NOT(Tasks[[#This Row],[_IsLeaf]]=1),Tasks[[#This Row],[_Res3Row]]=0),0,N(Tasks[[#This Row],[_Days]])*HoursPerDay*IF(Tasks[[#This Row],[_Res3Units]]="",DefaultUnits,Tasks[[#This Row],[_Res3Units]]))</f>
        <v/>
      </c>
      <c r="EE106" s="42">
        <f>IF(AND(AND(Tasks[[#This Row],[_IsLeaf]]=1,Tasks[[#This Row],[_LeafTotalWork]]&gt;0),Tasks[[#This Row],[_Res3Work]]&gt;0),Tasks[[#This Row],[_Res3Work]]/(Tasks[[#This Row],[_FinishWorkday]]-Tasks[[#This Row],[_StartWorkday]]+1),0)</f>
        <v/>
      </c>
      <c r="EF106" s="42">
        <f>Tasks[[#This Row],[_Res3WorkPerWD]]*MAX(0,Tasks[[#This Row],[_StartWorkday]]-1)</f>
        <v/>
      </c>
      <c r="EG106" s="42">
        <f>Tasks[[#This Row],[_Res3Work]]*Tasks[[#This Row],[_LeafProgress]]</f>
        <v/>
      </c>
      <c r="EH106" s="42">
        <f>IF(Tasks[[#This Row],[_Res4Text]]="","",IF(Tasks[[#This Row],[_Res4Row]]&gt;0,INDEX(res_Name,Tasks[[#This Row],[_Res4Row]]),TRIM(LEFT(Tasks[[#This Row],[_Res4Text]],FIND("[",Tasks[[#This Row],[_Res4Text]]&amp;"[")-1))))</f>
        <v/>
      </c>
      <c r="EI10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6" s="42">
        <f>IF(OR(NOT(Tasks[[#This Row],[_IsLeaf]]=1),Tasks[[#This Row],[_Res4Row]]=0),0,N(Tasks[[#This Row],[_Days]])*HoursPerDay*IF(Tasks[[#This Row],[_Res4Units]]="",DefaultUnits,Tasks[[#This Row],[_Res4Units]]))</f>
        <v/>
      </c>
      <c r="EK106" s="42">
        <f>IF(AND(AND(Tasks[[#This Row],[_IsLeaf]]=1,Tasks[[#This Row],[_LeafTotalWork]]&gt;0),Tasks[[#This Row],[_Res4Work]]&gt;0),Tasks[[#This Row],[_Res4Work]]/(Tasks[[#This Row],[_FinishWorkday]]-Tasks[[#This Row],[_StartWorkday]]+1),0)</f>
        <v/>
      </c>
      <c r="EL106" s="42">
        <f>Tasks[[#This Row],[_Res4WorkPerWD]]*MAX(0,Tasks[[#This Row],[_StartWorkday]]-1)</f>
        <v/>
      </c>
      <c r="EM106" s="42">
        <f>Tasks[[#This Row],[_Res4Work]]*Tasks[[#This Row],[_LeafProgress]]</f>
        <v/>
      </c>
      <c r="EN106" s="42">
        <f>IF(ISNUMBER(Tasks[[#This Row],[% Complete]]),Tasks[[#This Row],[% Complete]],IF(Tasks[[#This Row],[Stage]]="",0,IFERROR(INDEX(stg_Pct,MATCH(Tasks[[#This Row],[Stage]],stg_Name,0)),0)))</f>
        <v/>
      </c>
      <c r="EO106" s="42">
        <f>IF(NOT(Tasks[[#This Row],[_IsLeaf]]=1),0,IF(N(Tasks[[#This Row],[Actual Finish]])&gt;0,1,MIN(1,Tasks[[#This Row],[_Pct]])))</f>
        <v/>
      </c>
      <c r="EP106" s="42">
        <f>IF(OR(NOT(Tasks[[#This Row],[_IsLeaf]]=1),Tasks[[#This Row],[_Res1Row]]=0),0,N(Tasks[[#This Row],[_Days]])*HoursPerDay*IF(Tasks[[#This Row],[_Units1]]="",DefaultUnits,Tasks[[#This Row],[_Units1]]))</f>
        <v/>
      </c>
      <c r="EQ106" s="42">
        <f>Tasks[[#This Row],[_LeafWork]]+Tasks[[#This Row],[_Res2Work]]+Tasks[[#This Row],[_Res3Work]]+Tasks[[#This Row],[_Res4Work]]</f>
        <v/>
      </c>
      <c r="ER10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6" s="42">
        <f>IF(NOT(Tasks[[#This Row],[_IsLeaf]]=1),0,MAX(_xlfn.MAXIFS(Tasks[_Row],Tasks[_Pred1UID],Tasks[[#This Row],[UID]]),_xlfn.MAXIFS(Tasks[_Row],Tasks[_Pred2UID],Tasks[[#This Row],[UID]]),_xlfn.MAXIFS(Tasks[_Row],Tasks[_Pred3UID],Tasks[[#This Row],[UID]]),_xlfn.MAXIFS(Tasks[_Row],Tasks[_Pred4UID],Tasks[[#This Row],[UID]])))</f>
        <v/>
      </c>
      <c r="FA10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6" s="88">
        <f>IF(NOT(Tasks[[#This Row],[_IsLeaf]]=1),"",IF(N(Tasks[[#This Row],[_Days]])&lt;=0,Tasks[[#This Row],[_LeafLateFinish]],WORKDAY.INTL(Tasks[[#This Row],[_LeafLateFinish]],-(Tasks[[#This Row],[_Days]]-1),WorkWeek,Holidays)))</f>
        <v/>
      </c>
      <c r="FD10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6" s="42">
        <f>AND(Tasks[[#This Row],[_IsLeaf]]=1,Tasks[[#This Row],[_LeafProgress]]&lt;1,N(Tasks[[#This Row],[_LeafTotalSlack]])&lt;=CriticalSlackDays)</f>
        <v/>
      </c>
      <c r="FF106" s="42">
        <f>IF(AND(Tasks[[#This Row],[_IsLeaf]]=1,Tasks[[#This Row],[_ConstraintCode]]=1,Tasks[[#This Row],[Mode]]&lt;&gt;"Manual",N(Tasks[[#This Row],[Actual Start]])=0),MAX(0,N(Tasks[[#This Row],[Free Slack]])),0)</f>
        <v/>
      </c>
      <c r="FG106" s="88">
        <f>IF(NOT(Tasks[[#This Row],[_IsLeaf]]=1),"",IF(Tasks[[#This Row],[_AlapShift]]=0,Tasks[[#This Row],[_LeafCalcStart]],WORKDAY.INTL(Tasks[[#This Row],[_LeafCalcStart]],Tasks[[#This Row],[_AlapShift]],WorkWeek,Holidays)))</f>
        <v/>
      </c>
      <c r="FH106" s="88">
        <f>IF(NOT(Tasks[[#This Row],[_IsLeaf]]=1),"",IF(Tasks[[#This Row],[_AlapShift]]=0,Tasks[[#This Row],[_LeafCalcFinish]],WORKDAY.INTL(Tasks[[#This Row],[_LeafCalcFinish]],Tasks[[#This Row],[_AlapShift]],WorkWeek,Holidays)))</f>
        <v/>
      </c>
      <c r="FI106" s="88">
        <f>IF(NOT(Tasks[[#This Row],[_IsLeaf]]=1),"",IF(Tasks[[#This Row],[_AlapShift]]=0,Tasks[[#This Row],[_LeafFcstStart]],WORKDAY.INTL(Tasks[[#This Row],[_LeafFcstStart]],Tasks[[#This Row],[_AlapShift]],WorkWeek,Holidays)))</f>
        <v/>
      </c>
      <c r="FJ106" s="88">
        <f>IF(NOT(Tasks[[#This Row],[_IsLeaf]]=1),"",IF(Tasks[[#This Row],[_AlapShift]]=0,Tasks[[#This Row],[_LeafFcstFinish]],WORKDAY.INTL(Tasks[[#This Row],[_LeafFcstFinish]],Tasks[[#This Row],[_AlapShift]],WorkWeek,Holidays)))</f>
        <v/>
      </c>
      <c r="FK106" s="88">
        <f>IF(Tasks[[#This Row],[Task Name]]="","",IF(Tasks[[#This Row],[_IsSummary]],MIN(INDEX(Tasks[_ShownCalcStart],Tasks[[#This Row],[_Row]]+1):INDEX(Tasks[_ShownCalcStart],Tasks[[#This Row],[_Row]]+Tasks[[#This Row],[_Descendants]])),Tasks[[#This Row],[_ShownCalcStart]]))</f>
        <v/>
      </c>
      <c r="FL106" s="88">
        <f>IF(Tasks[[#This Row],[Task Name]]="","",IF(Tasks[[#This Row],[_IsSummary]],MAX(INDEX(Tasks[_ShownCalcFinish],Tasks[[#This Row],[_Row]]+1):INDEX(Tasks[_ShownCalcFinish],Tasks[[#This Row],[_Row]]+Tasks[[#This Row],[_Descendants]])),Tasks[[#This Row],[_ShownCalcFinish]]))</f>
        <v/>
      </c>
      <c r="FM10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6" s="42">
        <f>IF(AND(Tasks[[#This Row],[_IsLeaf]]=1,Tasks[[#This Row],[_LeafTotalWork]]&gt;0),NETWORKDAYS.INTL(ProjectStart,Tasks[[#This Row],[_ShownFcstStart]],WorkWeek,Holidays),0)</f>
        <v/>
      </c>
      <c r="FZ106" s="42">
        <f>IF(AND(Tasks[[#This Row],[_IsLeaf]]=1,Tasks[[#This Row],[_LeafTotalWork]]&gt;0),MAX(Tasks[[#This Row],[_StartWorkday]],NETWORKDAYS.INTL(ProjectStart,Tasks[[#This Row],[_ShownFcstFinish]],WorkWeek,Holidays)),0)</f>
        <v/>
      </c>
      <c r="GA106" s="42">
        <f>IF(AND(Tasks[[#This Row],[_IsLeaf]]=1,Tasks[[#This Row],[_LeafTotalWork]]&gt;0),Tasks[[#This Row],[_LeafWork]]/(Tasks[[#This Row],[_FinishWorkday]]-Tasks[[#This Row],[_StartWorkday]]+1),0)</f>
        <v/>
      </c>
      <c r="GB106" s="42">
        <f>Tasks[[#This Row],[_WorkPerWorkday]]*(Tasks[[#This Row],[_StartWorkday]]-1)</f>
        <v/>
      </c>
      <c r="GC106" s="42">
        <f>IF(Tasks[[#This Row],[_IsLeaf]]=1,MAX(N(Tasks[[#This Row],[_Days]]),0.1),0)</f>
        <v/>
      </c>
      <c r="GD106" s="42">
        <f>Tasks[[#This Row],[_WeightDur]]*Tasks[[#This Row],[_LeafProgress]]</f>
        <v/>
      </c>
      <c r="GE106" s="42">
        <f>Tasks[[#This Row],[_WeightDur]]*Tasks[[#This Row],[_PlannedPct]]</f>
        <v/>
      </c>
      <c r="GF10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6" s="42">
        <f>IF(AND(Tasks[[#This Row],[_IsLeaf]]=1,N(Tasks[[#This Row],[_Days]])=0,Tasks[[#This Row],[_LeafProgress]]&lt;1),Tasks[[#This Row],[_ShownFcstFinish]]+Tasks[[#This Row],[_Row]]/100000,"")</f>
        <v/>
      </c>
      <c r="GH10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6" s="42">
        <f>IF(Tasks[[#This Row],[Task Name]]="","",LEFT(Tasks[[#This Row],[WBS]],FIND(".",Tasks[[#This Row],[WBS]]&amp;".")-1))</f>
        <v/>
      </c>
      <c r="GJ106" s="42">
        <f>IF(AND(Tasks[[#This Row],[Task Name]]&lt;&gt;"",Tasks[[#This Row],[_Level]]=1),Tasks[[#This Row],[_Row]],"")</f>
        <v/>
      </c>
      <c r="GK106" s="42">
        <f>IF(AND(Tasks[[#This Row],[_IsLeaf]]=1,N(Tasks[[#This Row],[_Days]])=0),Tasks[[#This Row],[Planned Finish]]+Tasks[[#This Row],[_Row]]/100000,"")</f>
        <v/>
      </c>
      <c r="GL106" s="42">
        <f>IF(AND(Tasks[[#This Row],[_IsLeaf]]=1,Tasks[[#This Row],[_LeafProgress]]&lt;1,OR(N(Tasks[[#This Row],[Finish Var]])&gt;0,Tasks[[#This Row],[Status]]="Late Start")),MAX(0,Tasks[[#This Row],[Finish Var]])+1-Tasks[[#This Row],[_Row]]/1000000,"")</f>
        <v/>
      </c>
      <c r="GM106" s="42">
        <f>IF(AND(Tasks[[#This Row],[_IsLeaf]]=1,N(Tasks[[#This Row],[Actual Start]])=0,Tasks[[#This Row],[_ShownFcstStart]]&gt;=StatusDate,Tasks[[#This Row],[_ShownFcstStart]]&lt;=LookaheadEnd),Tasks[[#This Row],[_ShownFcstStart]]+Tasks[[#This Row],[_Row]]/100000,"")</f>
        <v/>
      </c>
      <c r="GN106" s="42">
        <f>IF(AND(Tasks[[#This Row],[_IsLeaf]]=1,Tasks[[#This Row],[_LeafProgress]]&lt;1,Tasks[[#This Row],[_ShownFcstFinish]]&gt;=StatusDate,Tasks[[#This Row],[_ShownFcstFinish]]&lt;=LookaheadEnd),Tasks[[#This Row],[_ShownFcstFinish]]+Tasks[[#This Row],[_Row]]/100000,"")</f>
        <v/>
      </c>
      <c r="GO106" s="42">
        <f>IF(Tasks[[#This Row],[_LeafCritical]],Tasks[[#This Row],[_ShownFcstStart]]+Tasks[[#This Row],[_Row]]/100000,"")</f>
        <v/>
      </c>
      <c r="GP106" s="42">
        <f>Tasks[[#This Row],[_LeafWork]]*Tasks[[#This Row],[_LeafProgress]]</f>
        <v/>
      </c>
      <c r="GQ106" s="88">
        <f>IF(AND(Tasks[[#This Row],[_IsLeaf]]=1,Tasks[[#This Row],[_LeafProgress]]&gt;=1),IF(N(Tasks[[#This Row],[Actual Finish]])&gt;0,Tasks[[#This Row],[Actual Finish]],Tasks[[#This Row],[_ShownFcstFinish]]),"")</f>
        <v/>
      </c>
      <c r="GR106" s="42">
        <f>IF(Tasks[[#This Row],[_IsLeaf]]=1,N(Tasks[[#This Row],[Story Points]]),0)</f>
        <v/>
      </c>
      <c r="GS106" s="42">
        <f>""</f>
        <v/>
      </c>
      <c r="GT106" s="42">
        <f>IF(Tasks[[#This Row],[Task Name]]="",FALSE(),AND(Tasks[[#This Row],[_IsLeaf]]=1,N(Tasks[[#This Row],[_Days]])=0))</f>
        <v/>
      </c>
      <c r="GU106" s="88">
        <f>IF(Tasks[[#This Row],[Task Name]]="",0,IF(AND(Tasks[[#This Row],[_IsLeaf]]=1,NOT(Tasks[[#This Row],[_IsMilestone]]),N(Tasks[[#This Row],[Progress]])&gt;0),Tasks[[#This Row],[Start]],0))</f>
        <v/>
      </c>
      <c r="GV106" s="88">
        <f>IF(Tasks[[#This Row],[_DoneFrom]]=0,0,IF(Tasks[[#This Row],[Progress]]&gt;=1,Tasks[[#This Row],[Finish]],MAX(Tasks[[#This Row],[_DoneFrom]],Tasks[[#This Row],[Start]]+ROUND((Tasks[[#This Row],[Finish]]-Tasks[[#This Row],[Start]]+1)*Tasks[[#This Row],[Progress]],0)-1)))</f>
        <v/>
      </c>
      <c r="GW106" s="88">
        <f>IF(Tasks[[#This Row],[Task Name]]="",0,IF(OR(NOT(Tasks[[#This Row],[_IsLeaf]]=1),Tasks[[#This Row],[_IsMilestone]],N(Tasks[[#This Row],[Progress]])&gt;=1),0,IF(Tasks[[#This Row],[_DoneTo]]&gt;0,Tasks[[#This Row],[_DoneTo]]+1,Tasks[[#This Row],[Start]])))</f>
        <v/>
      </c>
      <c r="GX106" s="88">
        <f>IF(Tasks[[#This Row],[_RemFrom]]=0,0,Tasks[[#This Row],[Finish]])</f>
        <v/>
      </c>
      <c r="GY106" s="42">
        <f>IF(Tasks[[#This Row],[Task Name]]="",FALSE(),OR(NOT(BaselineSet),N(Tasks[[#This Row],[Baseline Start]])&gt;0))</f>
        <v/>
      </c>
      <c r="GZ106" s="42">
        <f>IF(AND(Sandbox="Yes",L_PARSE_DURATION(Tasks[[#This Row],[Sandbox Duration]])&lt;&gt;""),L_PARSE_DURATION(Tasks[[#This Row],[Sandbox Duration]]),L_PARSE_DURATION(Tasks[[#This Row],[Duration]]))</f>
        <v/>
      </c>
      <c r="HA10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6" s="42">
        <f>IF(Tasks[[#This Row],[_IsLeaf]]=1,Tasks[[#This Row],[_Row]],"")</f>
        <v/>
      </c>
      <c r="HD106" s="42">
        <f>IFERROR(INDEX(Tasks[UID],SMALL(Tasks[_PickKey],Tasks[[#This Row],[_Row]]))&amp;" "&amp;INDEX(Tasks[Task Name],SMALL(Tasks[_PickKey],Tasks[[#This Row],[_Row]])),"")</f>
        <v/>
      </c>
      <c r="HE106" s="42">
        <f>IF(Tasks[[#This Row],[Task Name]]="","",IF(Tasks[[#This Row],[_IsSummary]],NETWORKDAYS.INTL(Tasks[[#This Row],[Start]],Tasks[[#This Row],[Finish]],WorkWeek,Holidays),N(Tasks[[#This Row],[_Days]])))</f>
        <v/>
      </c>
      <c r="HF106" s="42">
        <f>IF(Tasks[[#This Row],[Expected]]="",0,((Tasks[[#This Row],[Pessimistic]]-Tasks[[#This Row],[Optimistic]])/6)^2)</f>
        <v/>
      </c>
      <c r="HG106" s="42">
        <f>IF(Tasks[[#This Row],[Expected]]="",0,Tasks[[#This Row],[Expected]]-N(Tasks[[#This Row],[_Days]]))</f>
        <v/>
      </c>
    </row>
    <row r="107">
      <c r="A107" s="21">
        <f>IF(Tasks[[#This Row],[Task Name]]="","",COUNTA(Tasks[[#Headers],[Task Name]]:Tasks[[#This Row],[Task Name]])-1)</f>
        <v/>
      </c>
      <c r="B107" s="22" t="n">
        <v>115</v>
      </c>
      <c r="C107" s="22" t="n"/>
      <c r="D107" s="23" t="n"/>
      <c r="E107" s="22" t="n"/>
      <c r="F107" s="23" t="n"/>
      <c r="G107" s="22" t="n"/>
      <c r="H107" s="22" t="n"/>
      <c r="I107" s="23" t="n"/>
      <c r="J107" s="22" t="n"/>
      <c r="K107" s="22" t="n"/>
      <c r="L107" s="23" t="n"/>
      <c r="M107" s="22" t="n"/>
      <c r="N107" s="22" t="n"/>
      <c r="O107" s="23" t="n"/>
      <c r="P107" s="22" t="n"/>
      <c r="Q107" s="22" t="n"/>
      <c r="R107" s="23" t="n"/>
      <c r="S107" s="23" t="n"/>
      <c r="T107" s="82" t="n"/>
      <c r="U107" s="23" t="n"/>
      <c r="V107" s="82" t="n"/>
      <c r="W107" s="23" t="n"/>
      <c r="X107" s="82" t="n"/>
      <c r="Y107" s="23" t="n"/>
      <c r="Z107" s="82" t="n"/>
      <c r="AA107" s="23" t="n"/>
      <c r="AB107" s="23" t="n"/>
      <c r="AC107" s="7" t="n"/>
      <c r="AD107" s="7" t="n"/>
      <c r="AE107" s="61">
        <f>IF(Tasks[[#This Row],[Task Name]]="","",IF(Tasks[[#This Row],[_IsSummary]],MIN(INDEX(Tasks[_ShownFcstStart],Tasks[[#This Row],[_Row]]+1):INDEX(Tasks[_ShownFcstStart],Tasks[[#This Row],[_Row]]+Tasks[[#This Row],[_Descendants]])),Tasks[[#This Row],[_ShownFcstStart]]))</f>
        <v/>
      </c>
      <c r="AF107" s="61">
        <f>IF(Tasks[[#This Row],[Task Name]]="","",IF(Tasks[[#This Row],[_IsSummary]],MAX(INDEX(Tasks[_ShownFcstFinish],Tasks[[#This Row],[_Row]]+1):INDEX(Tasks[_ShownFcstFinish],Tasks[[#This Row],[_Row]]+Tasks[[#This Row],[_Descendants]])),Tasks[[#This Row],[_ShownFcstFinish]]))</f>
        <v/>
      </c>
      <c r="AG107" s="21">
        <f>""</f>
        <v/>
      </c>
      <c r="AH107" s="23" t="n"/>
      <c r="AI10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7" s="7" t="n"/>
      <c r="AK107" s="22" t="n"/>
      <c r="AL107" s="23" t="n"/>
      <c r="AM107" s="7" t="n"/>
      <c r="AN107" s="21">
        <f>IF(Tasks[[#This Row],[Task Name]]="","",IF(Tasks[[#This Row],[Finish]]&gt;=Tasks[[#This Row],[Planned Finish]],NETWORKDAYS.INTL(Tasks[[#This Row],[Planned Finish]],Tasks[[#This Row],[Finish]],WorkWeek,Holidays)-1,1-NETWORKDAYS.INTL(Tasks[[#This Row],[Finish]],Tasks[[#This Row],[Planned Finish]],WorkWeek,Holidays)))</f>
        <v/>
      </c>
      <c r="AO107" s="21">
        <f>IF(Tasks[[#This Row],[Task Name]]="","",IF(Tasks[[#This Row],[Progress]]&gt;=1,"Complete",IF(OR(N(Tasks[[#This Row],[Actual Start]])&gt;0,Tasks[[#This Row],[Progress]]&gt;0),IF(Tasks[[#This Row],[Finish Var]]&gt;0,"Behind","In Progress"),IF(Tasks[[#This Row],[Planned Start]]&lt;StatusDate,"Late Start","Not Started"))))</f>
        <v/>
      </c>
      <c r="AP107" s="21">
        <f>IF(Tasks[[#This Row],[Task Name]]="","",IF(IF(Tasks[[#This Row],[_IsSummary]],COUNTIF(INDEX(Tasks[_LeafCritical],Tasks[[#This Row],[_Row]]+1):INDEX(Tasks[_LeafCritical],Tasks[[#This Row],[_Row]]+Tasks[[#This Row],[_Descendants]]),TRUE())&gt;0,Tasks[[#This Row],[_LeafCritical]]),"Yes",""))</f>
        <v/>
      </c>
      <c r="AQ107" s="61">
        <f>IF(Tasks[[#This Row],[Task Name]]="","",IF(N(Tasks[[#This Row],[Baseline Start]])&gt;0,Tasks[[#This Row],[Baseline Start]],Tasks[[#This Row],[_CalcStart]]))</f>
        <v/>
      </c>
      <c r="AR107" s="61">
        <f>IF(Tasks[[#This Row],[Task Name]]="","",IF(N(Tasks[[#This Row],[Baseline Finish]])&gt;0,Tasks[[#This Row],[Baseline Finish]],Tasks[[#This Row],[_CalcFinish]]))</f>
        <v/>
      </c>
      <c r="AS107" s="21">
        <f>IF(Tasks[[#This Row],[Task Name]]="","",IF(Tasks[[#This Row],[Start]]&gt;=Tasks[[#This Row],[Planned Start]],NETWORKDAYS.INTL(Tasks[[#This Row],[Planned Start]],Tasks[[#This Row],[Start]],WorkWeek,Holidays)-1,1-NETWORKDAYS.INTL(Tasks[[#This Row],[Start]],Tasks[[#This Row],[Planned Start]],WorkWeek,Holidays)))</f>
        <v/>
      </c>
      <c r="AT107" s="61">
        <f>IF(Tasks[[#This Row],[Task Name]]="","",IF(Tasks[[#This Row],[_IsSummary]],MIN(INDEX(Tasks[_LeafLateStart],Tasks[[#This Row],[_Row]]+1):INDEX(Tasks[_LeafLateStart],Tasks[[#This Row],[_Row]]+Tasks[[#This Row],[_Descendants]])),Tasks[[#This Row],[_LeafLateStart]]))</f>
        <v/>
      </c>
      <c r="AU107" s="61">
        <f>IF(Tasks[[#This Row],[Task Name]]="","",IF(Tasks[[#This Row],[_IsSummary]],MAX(INDEX(Tasks[_LeafLateFinish],Tasks[[#This Row],[_Row]]+1):INDEX(Tasks[_LeafLateFinish],Tasks[[#This Row],[_Row]]+Tasks[[#This Row],[_Descendants]])),Tasks[[#This Row],[_LeafLateFinish]]))</f>
        <v/>
      </c>
      <c r="AV107" s="21">
        <f>IF(Tasks[[#This Row],[Task Name]]="","",IF(Tasks[[#This Row],[_IsSummary]],MIN(INDEX(Tasks[_LeafTotalSlack],Tasks[[#This Row],[_Row]]+1):INDEX(Tasks[_LeafTotalSlack],Tasks[[#This Row],[_Row]]+Tasks[[#This Row],[_Descendants]])),Tasks[[#This Row],[_LeafTotalSlack]]))</f>
        <v/>
      </c>
      <c r="AW10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3" t="n"/>
      <c r="BA10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f>IF(Tasks[[#This Row],[Task Name]]="","",IF(Tasks[[#This Row],[_Level]]&lt;=OutlineShowLevel,"Yes","No"))</f>
        <v/>
      </c>
      <c r="BE107" s="84">
        <f>IF(Tasks[[#This Row],[Task Name]]="","",IF(Tasks[[#This Row],[_IsSummary]],SUM(INDEX(Tasks[_LeafTotalWork],Tasks[[#This Row],[_Row]]+1):INDEX(Tasks[_LeafTotalWork],Tasks[[#This Row],[_Row]]+Tasks[[#This Row],[_Descendants]])),Tasks[[#This Row],[_LeafTotalWork]]))</f>
        <v/>
      </c>
      <c r="BF107" s="23" t="n"/>
      <c r="BG10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f>""</f>
        <v/>
      </c>
      <c r="BI107" s="85" t="n"/>
      <c r="BJ107" s="22" t="n"/>
      <c r="BK107" s="21">
        <f>IF(OR(Tasks[[#This Row],[Task Name]]="",Tasks[[#This Row],[Baseline Duration]]=""),"",Tasks[[#This Row],[_SpanDays]]-N(Tasks[[#This Row],[Baseline Duration]]))</f>
        <v/>
      </c>
      <c r="BL107" s="84">
        <f>IF(OR(Tasks[[#This Row],[Task Name]]="",Tasks[[#This Row],[Baseline Work]]=""),"",Tasks[[#This Row],[Work]]-N(Tasks[[#This Row],[Baseline Work]]))</f>
        <v/>
      </c>
      <c r="BM107" s="61">
        <f>IF(Tasks[[#This Row],[Task Name]]="","",IF(OR(TakeBaseline="Yes",N(Tasks[[#This Row],[Baseline Start]])=0),Tasks[[#This Row],[Start]],Tasks[[#This Row],[Baseline Start]]))</f>
        <v/>
      </c>
      <c r="BN107" s="61">
        <f>IF(Tasks[[#This Row],[Task Name]]="","",IF(OR(TakeBaseline="Yes",N(Tasks[[#This Row],[Baseline Finish]])=0),Tasks[[#This Row],[Finish]],Tasks[[#This Row],[Baseline Finish]]))</f>
        <v/>
      </c>
      <c r="BO107" s="21">
        <f>IF(Tasks[[#This Row],[Task Name]]="","",IF(OR(TakeBaseline="Yes",N(Tasks[[#This Row],[Baseline Duration]])=0),Tasks[[#This Row],[_SpanDays]],Tasks[[#This Row],[Baseline Duration]]))</f>
        <v/>
      </c>
      <c r="BP107" s="84">
        <f>IF(Tasks[[#This Row],[Task Name]]="","",IF(OR(TakeBaseline="Yes",N(Tasks[[#This Row],[Baseline Work]])=0),Tasks[[#This Row],[Work]],Tasks[[#This Row],[Baseline Work]]))</f>
        <v/>
      </c>
      <c r="BQ107" s="7" t="n"/>
      <c r="BR107" s="7" t="n"/>
      <c r="BS107" s="22" t="n"/>
      <c r="BT107" s="86" t="n"/>
      <c r="BU107" s="23" t="n"/>
      <c r="BV107" s="23" t="n"/>
      <c r="BW107" s="23" t="n"/>
      <c r="BX107" s="87">
        <f>IF(AND(Tasks[[#This Row],[_IsLeaf]]=1,ISNUMBER(Tasks[[#This Row],[Optimistic]]),ISNUMBER(Tasks[[#This Row],[Pessimistic]])),ROUND((Tasks[[#This Row],[Optimistic]]+4*N(Tasks[[#This Row],[_Days]])+Tasks[[#This Row],[Pessimistic]])/6,1),"")</f>
        <v/>
      </c>
      <c r="BY107" s="85" t="n"/>
      <c r="BZ107" s="85" t="n"/>
      <c r="CA107" s="22" t="n"/>
      <c r="CB107" s="42">
        <f>IF(Tasks[[#This Row],[Task Name]]="","",MAX(1,N(Tasks[[#This Row],[Level]])))</f>
        <v/>
      </c>
      <c r="CC107" s="42">
        <f>ROW()-ROW(Tasks[[#Headers],[ID]])</f>
        <v/>
      </c>
      <c r="CD107" s="42">
        <f>IF(OR(Tasks[[#This Row],[Task Name]]="",Tasks[[#This Row],[_Level]]&lt;=1),0,IFERROR(LOOKUP(2,1/(Tasks[[#Headers],[_Level]]:Tasks[[#This Row],[_Level]]=Tasks[[#This Row],[_Level]]-1),ROW(Tasks[[#Headers],[_Level]]:Tasks[[#This Row],[_Level]])),0))</f>
        <v/>
      </c>
      <c r="CE107" s="42">
        <f>IFERROR(N(INDEX(Tasks[_Level],Tasks[[#This Row],[_Row]]+1)),0)</f>
        <v/>
      </c>
      <c r="CF107" s="42">
        <f>AND(Tasks[[#This Row],[Task Name]]&lt;&gt;"",Tasks[[#This Row],[_NextLevel]]&gt;Tasks[[#This Row],[_Level]])</f>
        <v/>
      </c>
      <c r="CG107" s="42">
        <f>IF(Tasks[[#This Row],[_IsSummary]],COUNTIF(Tasks[WBS],Tasks[[#This Row],[WBS]]&amp;".*"),0)</f>
        <v/>
      </c>
      <c r="CH107" s="42">
        <f>IF(AND(Tasks[[#This Row],[Task Name]]&lt;&gt;"",NOT(Tasks[[#This Row],[_IsSummary]])),1,0)</f>
        <v/>
      </c>
      <c r="CI107" s="42">
        <f>IF(N(Tasks[[#This Row],[_Pred1UID]])=0,0,IFERROR(MATCH(Tasks[[#This Row],[_Pred1UID]],Tasks[UID],0),-1))</f>
        <v/>
      </c>
      <c r="CJ107" s="42">
        <f>IF(N(Tasks[[#This Row],[_Pred2UID]])=0,0,IFERROR(MATCH(Tasks[[#This Row],[_Pred2UID]],Tasks[UID],0),-1))</f>
        <v/>
      </c>
      <c r="CK107" s="42">
        <f>IF(N(Tasks[[#This Row],[_Pred3UID]])=0,0,IFERROR(MATCH(Tasks[[#This Row],[_Pred3UID]],Tasks[UID],0),-1))</f>
        <v/>
      </c>
      <c r="CL107" s="42">
        <f>IF(N(Tasks[[#This Row],[_Pred4UID]])=0,0,IFERROR(MATCH(Tasks[[#This Row],[_Pred4UID]],Tasks[UID],0),-1))</f>
        <v/>
      </c>
      <c r="CM10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7" s="88">
        <f>IF(N(Tasks[[#This Row],[Constraint Date]])=0,0,IF(AND(OR(Tasks[[#This Row],[_ConstraintCode]]=3,Tasks[[#This Row],[_ConstraintCode]]=6,Tasks[[#This Row],[_ConstraintCode]]=7),N(Tasks[[#This Row],[_Days]])&gt;1),WORKDAY.INTL(N(Tasks[[#This Row],[Constraint Date]]),-(N(Tasks[[#This Row],[_Days]])-1),WorkWeek,Holidays),N(Tasks[[#This Row],[Constraint Date]])))</f>
        <v/>
      </c>
      <c r="CO107" s="88">
        <f>IF(OR(Tasks[[#This Row],[_ConstraintCode]]=2,Tasks[[#This Row],[_ConstraintCode]]=3,Tasks[[#This Row],[_ConstraintCode]]=4,Tasks[[#This Row],[_ConstraintCode]]=6),Tasks[[#This Row],[_ConstraintStart]],0)</f>
        <v/>
      </c>
      <c r="CP107" s="88">
        <f>IF(OR(Tasks[[#This Row],[_ConstraintCode]]=2,Tasks[[#This Row],[_ConstraintCode]]=3,Tasks[[#This Row],[_ConstraintCode]]=5,Tasks[[#This Row],[_ConstraintCode]]=7),Tasks[[#This Row],[_ConstraintStart]],2958465)</f>
        <v/>
      </c>
      <c r="CQ10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7" s="88">
        <f>IF(NOT(Tasks[[#This Row],[_IsLeaf]]=1),"",IF(N(Tasks[[#This Row],[_Days]])&lt;=0,Tasks[[#This Row],[_LeafCalcStart]],WORKDAY.INTL(Tasks[[#This Row],[_LeafCalcStart]],Tasks[[#This Row],[_Days]]-1,WorkWeek,Holidays)))</f>
        <v/>
      </c>
      <c r="CS10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7" s="42">
        <f>IF(Tasks[[#This Row],[_Predecessors]]="","",TRIM(MID(SUBSTITUTE(SUBSTITUTE(SUBSTITUTE(UPPER(Tasks[[#This Row],[_Predecessors]]),";",",")," ",""),",",REPT(" ",99)),1,99)))</f>
        <v/>
      </c>
      <c r="CV107" s="42">
        <f>IF(Tasks[[#This Row],[_Pred1Text]]="","",IFERROR(VALUE(LEFT(Tasks[[#This Row],[_Pred1Text]],MIN(FIND("F",Tasks[[#This Row],[_Pred1Text]]&amp;"F"),FIND("S",Tasks[[#This Row],[_Pred1Text]]&amp;"S"),FIND("+",Tasks[[#This Row],[_Pred1Text]]&amp;"+"),FIND("-",Tasks[[#This Row],[_Pred1Text]]&amp;"-"))-1)),""))</f>
        <v/>
      </c>
      <c r="CW10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7" s="42">
        <f>IF(Tasks[[#This Row],[_Pred1Text]]="","",TRIM(MID(SUBSTITUTE(SUBSTITUTE(SUBSTITUTE(UPPER(Tasks[[#This Row],[_Predecessors]]),";",",")," ",""),",",REPT(" ",99)),100,99)))</f>
        <v/>
      </c>
      <c r="CZ107" s="42">
        <f>IF(Tasks[[#This Row],[_Pred2Text]]="","",IFERROR(VALUE(LEFT(Tasks[[#This Row],[_Pred2Text]],MIN(FIND("F",Tasks[[#This Row],[_Pred2Text]]&amp;"F"),FIND("S",Tasks[[#This Row],[_Pred2Text]]&amp;"S"),FIND("+",Tasks[[#This Row],[_Pred2Text]]&amp;"+"),FIND("-",Tasks[[#This Row],[_Pred2Text]]&amp;"-"))-1)),""))</f>
        <v/>
      </c>
      <c r="DA10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7" s="42">
        <f>IF(Tasks[[#This Row],[_Pred2Text]]="","",TRIM(MID(SUBSTITUTE(SUBSTITUTE(SUBSTITUTE(UPPER(Tasks[[#This Row],[_Predecessors]]),";",",")," ",""),",",REPT(" ",99)),199,99)))</f>
        <v/>
      </c>
      <c r="DD107" s="42">
        <f>IF(Tasks[[#This Row],[_Pred3Text]]="","",IFERROR(VALUE(LEFT(Tasks[[#This Row],[_Pred3Text]],MIN(FIND("F",Tasks[[#This Row],[_Pred3Text]]&amp;"F"),FIND("S",Tasks[[#This Row],[_Pred3Text]]&amp;"S"),FIND("+",Tasks[[#This Row],[_Pred3Text]]&amp;"+"),FIND("-",Tasks[[#This Row],[_Pred3Text]]&amp;"-"))-1)),""))</f>
        <v/>
      </c>
      <c r="DE10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7" s="42">
        <f>IF(Tasks[[#This Row],[_Pred3Text]]="","",TRIM(MID(SUBSTITUTE(SUBSTITUTE(SUBSTITUTE(UPPER(Tasks[[#This Row],[_Predecessors]]),";",",")," ",""),",",REPT(" ",99)),298,99)))</f>
        <v/>
      </c>
      <c r="DH107" s="42">
        <f>IF(Tasks[[#This Row],[_Pred4Text]]="","",IFERROR(VALUE(LEFT(Tasks[[#This Row],[_Pred4Text]],MIN(FIND("F",Tasks[[#This Row],[_Pred4Text]]&amp;"F"),FIND("S",Tasks[[#This Row],[_Pred4Text]]&amp;"S"),FIND("+",Tasks[[#This Row],[_Pred4Text]]&amp;"+"),FIND("-",Tasks[[#This Row],[_Pred4Text]]&amp;"-"))-1)),""))</f>
        <v/>
      </c>
      <c r="DI10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7" s="42">
        <f>IF(OR(Tasks[[#This Row],[Task Name]]="",Tasks[[#This Row],[_Resources]]=""),"",TRIM(MID(SUBSTITUTE(Tasks[[#This Row],[_Resources]],",",REPT(" ",99)),1,99)))</f>
        <v/>
      </c>
      <c r="DL107" s="42">
        <f>IF(Tasks[[#This Row],[_Res1Text]]="","",TRIM(MID(SUBSTITUTE(Tasks[[#This Row],[_Resources]],",",REPT(" ",99)),100,99)))</f>
        <v/>
      </c>
      <c r="DM107" s="42">
        <f>IF(Tasks[[#This Row],[_Res2Text]]="","",TRIM(MID(SUBSTITUTE(Tasks[[#This Row],[_Resources]],",",REPT(" ",99)),199,99)))</f>
        <v/>
      </c>
      <c r="DN107" s="42">
        <f>IF(Tasks[[#This Row],[_Res3Text]]="","",TRIM(MID(SUBSTITUTE(Tasks[[#This Row],[_Resources]],",",REPT(" ",99)),298,99)))</f>
        <v/>
      </c>
      <c r="DO107" s="42">
        <f>IF(Tasks[[#This Row],[_Res1Text]]="",0,IFERROR(MATCH(TRIM(LEFT(Tasks[[#This Row],[_Res1Text]],FIND("[",Tasks[[#This Row],[_Res1Text]]&amp;"[")-1)),res_Name,0),IFERROR(MATCH(TRIM(LEFT(Tasks[[#This Row],[_Res1Text]],FIND("[",Tasks[[#This Row],[_Res1Text]]&amp;"[")-1)),res_Initials,0),0)))</f>
        <v/>
      </c>
      <c r="DP107" s="42">
        <f>IF(Tasks[[#This Row],[_Res2Text]]="",0,IFERROR(MATCH(TRIM(LEFT(Tasks[[#This Row],[_Res2Text]],FIND("[",Tasks[[#This Row],[_Res2Text]]&amp;"[")-1)),res_Name,0),IFERROR(MATCH(TRIM(LEFT(Tasks[[#This Row],[_Res2Text]],FIND("[",Tasks[[#This Row],[_Res2Text]]&amp;"[")-1)),res_Initials,0),0)))</f>
        <v/>
      </c>
      <c r="DQ107" s="42">
        <f>IF(Tasks[[#This Row],[_Res3Text]]="",0,IFERROR(MATCH(TRIM(LEFT(Tasks[[#This Row],[_Res3Text]],FIND("[",Tasks[[#This Row],[_Res3Text]]&amp;"[")-1)),res_Name,0),IFERROR(MATCH(TRIM(LEFT(Tasks[[#This Row],[_Res3Text]],FIND("[",Tasks[[#This Row],[_Res3Text]]&amp;"[")-1)),res_Initials,0),0)))</f>
        <v/>
      </c>
      <c r="DR107" s="42">
        <f>IF(Tasks[[#This Row],[_Res4Text]]="",0,IFERROR(MATCH(TRIM(LEFT(Tasks[[#This Row],[_Res4Text]],FIND("[",Tasks[[#This Row],[_Res4Text]]&amp;"[")-1)),res_Name,0),IFERROR(MATCH(TRIM(LEFT(Tasks[[#This Row],[_Res4Text]],FIND("[",Tasks[[#This Row],[_Res4Text]]&amp;"[")-1)),res_Initials,0),0)))</f>
        <v/>
      </c>
      <c r="DS107" s="42">
        <f>IF(Tasks[[#This Row],[_Res1Text]]="","",IF(Tasks[[#This Row],[_Res1Row]]&gt;0,INDEX(res_Name,Tasks[[#This Row],[_Res1Row]]),TRIM(LEFT(Tasks[[#This Row],[_Res1Text]],FIND("[",Tasks[[#This Row],[_Res1Text]]&amp;"[")-1))))</f>
        <v/>
      </c>
      <c r="DT10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7" s="42">
        <f>IF(NOT(Tasks[[#This Row],[_IsLeaf]]=1),0,(Tasks[[#This Row],[_Resource1]]&lt;&gt;"")+(Tasks[[#This Row],[_Res2]]&lt;&gt;"")+(Tasks[[#This Row],[_Res3]]&lt;&gt;"")+(Tasks[[#This Row],[_Res4]]&lt;&gt;""))</f>
        <v/>
      </c>
      <c r="DV107" s="42">
        <f>IF(Tasks[[#This Row],[_Res2Text]]="","",IF(Tasks[[#This Row],[_Res2Row]]&gt;0,INDEX(res_Name,Tasks[[#This Row],[_Res2Row]]),TRIM(LEFT(Tasks[[#This Row],[_Res2Text]],FIND("[",Tasks[[#This Row],[_Res2Text]]&amp;"[")-1))))</f>
        <v/>
      </c>
      <c r="DW10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7" s="42">
        <f>IF(OR(NOT(Tasks[[#This Row],[_IsLeaf]]=1),Tasks[[#This Row],[_Res2Row]]=0),0,N(Tasks[[#This Row],[_Days]])*HoursPerDay*IF(Tasks[[#This Row],[_Res2Units]]="",DefaultUnits,Tasks[[#This Row],[_Res2Units]]))</f>
        <v/>
      </c>
      <c r="DY107" s="42">
        <f>IF(AND(AND(Tasks[[#This Row],[_IsLeaf]]=1,Tasks[[#This Row],[_LeafTotalWork]]&gt;0),Tasks[[#This Row],[_Res2Work]]&gt;0),Tasks[[#This Row],[_Res2Work]]/(Tasks[[#This Row],[_FinishWorkday]]-Tasks[[#This Row],[_StartWorkday]]+1),0)</f>
        <v/>
      </c>
      <c r="DZ107" s="42">
        <f>Tasks[[#This Row],[_Res2WorkPerWD]]*MAX(0,Tasks[[#This Row],[_StartWorkday]]-1)</f>
        <v/>
      </c>
      <c r="EA107" s="42">
        <f>Tasks[[#This Row],[_Res2Work]]*Tasks[[#This Row],[_LeafProgress]]</f>
        <v/>
      </c>
      <c r="EB107" s="42">
        <f>IF(Tasks[[#This Row],[_Res3Text]]="","",IF(Tasks[[#This Row],[_Res3Row]]&gt;0,INDEX(res_Name,Tasks[[#This Row],[_Res3Row]]),TRIM(LEFT(Tasks[[#This Row],[_Res3Text]],FIND("[",Tasks[[#This Row],[_Res3Text]]&amp;"[")-1))))</f>
        <v/>
      </c>
      <c r="EC10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7" s="42">
        <f>IF(OR(NOT(Tasks[[#This Row],[_IsLeaf]]=1),Tasks[[#This Row],[_Res3Row]]=0),0,N(Tasks[[#This Row],[_Days]])*HoursPerDay*IF(Tasks[[#This Row],[_Res3Units]]="",DefaultUnits,Tasks[[#This Row],[_Res3Units]]))</f>
        <v/>
      </c>
      <c r="EE107" s="42">
        <f>IF(AND(AND(Tasks[[#This Row],[_IsLeaf]]=1,Tasks[[#This Row],[_LeafTotalWork]]&gt;0),Tasks[[#This Row],[_Res3Work]]&gt;0),Tasks[[#This Row],[_Res3Work]]/(Tasks[[#This Row],[_FinishWorkday]]-Tasks[[#This Row],[_StartWorkday]]+1),0)</f>
        <v/>
      </c>
      <c r="EF107" s="42">
        <f>Tasks[[#This Row],[_Res3WorkPerWD]]*MAX(0,Tasks[[#This Row],[_StartWorkday]]-1)</f>
        <v/>
      </c>
      <c r="EG107" s="42">
        <f>Tasks[[#This Row],[_Res3Work]]*Tasks[[#This Row],[_LeafProgress]]</f>
        <v/>
      </c>
      <c r="EH107" s="42">
        <f>IF(Tasks[[#This Row],[_Res4Text]]="","",IF(Tasks[[#This Row],[_Res4Row]]&gt;0,INDEX(res_Name,Tasks[[#This Row],[_Res4Row]]),TRIM(LEFT(Tasks[[#This Row],[_Res4Text]],FIND("[",Tasks[[#This Row],[_Res4Text]]&amp;"[")-1))))</f>
        <v/>
      </c>
      <c r="EI10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7" s="42">
        <f>IF(OR(NOT(Tasks[[#This Row],[_IsLeaf]]=1),Tasks[[#This Row],[_Res4Row]]=0),0,N(Tasks[[#This Row],[_Days]])*HoursPerDay*IF(Tasks[[#This Row],[_Res4Units]]="",DefaultUnits,Tasks[[#This Row],[_Res4Units]]))</f>
        <v/>
      </c>
      <c r="EK107" s="42">
        <f>IF(AND(AND(Tasks[[#This Row],[_IsLeaf]]=1,Tasks[[#This Row],[_LeafTotalWork]]&gt;0),Tasks[[#This Row],[_Res4Work]]&gt;0),Tasks[[#This Row],[_Res4Work]]/(Tasks[[#This Row],[_FinishWorkday]]-Tasks[[#This Row],[_StartWorkday]]+1),0)</f>
        <v/>
      </c>
      <c r="EL107" s="42">
        <f>Tasks[[#This Row],[_Res4WorkPerWD]]*MAX(0,Tasks[[#This Row],[_StartWorkday]]-1)</f>
        <v/>
      </c>
      <c r="EM107" s="42">
        <f>Tasks[[#This Row],[_Res4Work]]*Tasks[[#This Row],[_LeafProgress]]</f>
        <v/>
      </c>
      <c r="EN107" s="42">
        <f>IF(ISNUMBER(Tasks[[#This Row],[% Complete]]),Tasks[[#This Row],[% Complete]],IF(Tasks[[#This Row],[Stage]]="",0,IFERROR(INDEX(stg_Pct,MATCH(Tasks[[#This Row],[Stage]],stg_Name,0)),0)))</f>
        <v/>
      </c>
      <c r="EO107" s="42">
        <f>IF(NOT(Tasks[[#This Row],[_IsLeaf]]=1),0,IF(N(Tasks[[#This Row],[Actual Finish]])&gt;0,1,MIN(1,Tasks[[#This Row],[_Pct]])))</f>
        <v/>
      </c>
      <c r="EP107" s="42">
        <f>IF(OR(NOT(Tasks[[#This Row],[_IsLeaf]]=1),Tasks[[#This Row],[_Res1Row]]=0),0,N(Tasks[[#This Row],[_Days]])*HoursPerDay*IF(Tasks[[#This Row],[_Units1]]="",DefaultUnits,Tasks[[#This Row],[_Units1]]))</f>
        <v/>
      </c>
      <c r="EQ107" s="42">
        <f>Tasks[[#This Row],[_LeafWork]]+Tasks[[#This Row],[_Res2Work]]+Tasks[[#This Row],[_Res3Work]]+Tasks[[#This Row],[_Res4Work]]</f>
        <v/>
      </c>
      <c r="ER10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7" s="42">
        <f>IF(NOT(Tasks[[#This Row],[_IsLeaf]]=1),0,MAX(_xlfn.MAXIFS(Tasks[_Row],Tasks[_Pred1UID],Tasks[[#This Row],[UID]]),_xlfn.MAXIFS(Tasks[_Row],Tasks[_Pred2UID],Tasks[[#This Row],[UID]]),_xlfn.MAXIFS(Tasks[_Row],Tasks[_Pred3UID],Tasks[[#This Row],[UID]]),_xlfn.MAXIFS(Tasks[_Row],Tasks[_Pred4UID],Tasks[[#This Row],[UID]])))</f>
        <v/>
      </c>
      <c r="FA10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7" s="88">
        <f>IF(NOT(Tasks[[#This Row],[_IsLeaf]]=1),"",IF(N(Tasks[[#This Row],[_Days]])&lt;=0,Tasks[[#This Row],[_LeafLateFinish]],WORKDAY.INTL(Tasks[[#This Row],[_LeafLateFinish]],-(Tasks[[#This Row],[_Days]]-1),WorkWeek,Holidays)))</f>
        <v/>
      </c>
      <c r="FD10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7" s="42">
        <f>AND(Tasks[[#This Row],[_IsLeaf]]=1,Tasks[[#This Row],[_LeafProgress]]&lt;1,N(Tasks[[#This Row],[_LeafTotalSlack]])&lt;=CriticalSlackDays)</f>
        <v/>
      </c>
      <c r="FF107" s="42">
        <f>IF(AND(Tasks[[#This Row],[_IsLeaf]]=1,Tasks[[#This Row],[_ConstraintCode]]=1,Tasks[[#This Row],[Mode]]&lt;&gt;"Manual",N(Tasks[[#This Row],[Actual Start]])=0),MAX(0,N(Tasks[[#This Row],[Free Slack]])),0)</f>
        <v/>
      </c>
      <c r="FG107" s="88">
        <f>IF(NOT(Tasks[[#This Row],[_IsLeaf]]=1),"",IF(Tasks[[#This Row],[_AlapShift]]=0,Tasks[[#This Row],[_LeafCalcStart]],WORKDAY.INTL(Tasks[[#This Row],[_LeafCalcStart]],Tasks[[#This Row],[_AlapShift]],WorkWeek,Holidays)))</f>
        <v/>
      </c>
      <c r="FH107" s="88">
        <f>IF(NOT(Tasks[[#This Row],[_IsLeaf]]=1),"",IF(Tasks[[#This Row],[_AlapShift]]=0,Tasks[[#This Row],[_LeafCalcFinish]],WORKDAY.INTL(Tasks[[#This Row],[_LeafCalcFinish]],Tasks[[#This Row],[_AlapShift]],WorkWeek,Holidays)))</f>
        <v/>
      </c>
      <c r="FI107" s="88">
        <f>IF(NOT(Tasks[[#This Row],[_IsLeaf]]=1),"",IF(Tasks[[#This Row],[_AlapShift]]=0,Tasks[[#This Row],[_LeafFcstStart]],WORKDAY.INTL(Tasks[[#This Row],[_LeafFcstStart]],Tasks[[#This Row],[_AlapShift]],WorkWeek,Holidays)))</f>
        <v/>
      </c>
      <c r="FJ107" s="88">
        <f>IF(NOT(Tasks[[#This Row],[_IsLeaf]]=1),"",IF(Tasks[[#This Row],[_AlapShift]]=0,Tasks[[#This Row],[_LeafFcstFinish]],WORKDAY.INTL(Tasks[[#This Row],[_LeafFcstFinish]],Tasks[[#This Row],[_AlapShift]],WorkWeek,Holidays)))</f>
        <v/>
      </c>
      <c r="FK107" s="88">
        <f>IF(Tasks[[#This Row],[Task Name]]="","",IF(Tasks[[#This Row],[_IsSummary]],MIN(INDEX(Tasks[_ShownCalcStart],Tasks[[#This Row],[_Row]]+1):INDEX(Tasks[_ShownCalcStart],Tasks[[#This Row],[_Row]]+Tasks[[#This Row],[_Descendants]])),Tasks[[#This Row],[_ShownCalcStart]]))</f>
        <v/>
      </c>
      <c r="FL107" s="88">
        <f>IF(Tasks[[#This Row],[Task Name]]="","",IF(Tasks[[#This Row],[_IsSummary]],MAX(INDEX(Tasks[_ShownCalcFinish],Tasks[[#This Row],[_Row]]+1):INDEX(Tasks[_ShownCalcFinish],Tasks[[#This Row],[_Row]]+Tasks[[#This Row],[_Descendants]])),Tasks[[#This Row],[_ShownCalcFinish]]))</f>
        <v/>
      </c>
      <c r="FM10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7" s="42">
        <f>IF(AND(Tasks[[#This Row],[_IsLeaf]]=1,Tasks[[#This Row],[_LeafTotalWork]]&gt;0),NETWORKDAYS.INTL(ProjectStart,Tasks[[#This Row],[_ShownFcstStart]],WorkWeek,Holidays),0)</f>
        <v/>
      </c>
      <c r="FZ107" s="42">
        <f>IF(AND(Tasks[[#This Row],[_IsLeaf]]=1,Tasks[[#This Row],[_LeafTotalWork]]&gt;0),MAX(Tasks[[#This Row],[_StartWorkday]],NETWORKDAYS.INTL(ProjectStart,Tasks[[#This Row],[_ShownFcstFinish]],WorkWeek,Holidays)),0)</f>
        <v/>
      </c>
      <c r="GA107" s="42">
        <f>IF(AND(Tasks[[#This Row],[_IsLeaf]]=1,Tasks[[#This Row],[_LeafTotalWork]]&gt;0),Tasks[[#This Row],[_LeafWork]]/(Tasks[[#This Row],[_FinishWorkday]]-Tasks[[#This Row],[_StartWorkday]]+1),0)</f>
        <v/>
      </c>
      <c r="GB107" s="42">
        <f>Tasks[[#This Row],[_WorkPerWorkday]]*(Tasks[[#This Row],[_StartWorkday]]-1)</f>
        <v/>
      </c>
      <c r="GC107" s="42">
        <f>IF(Tasks[[#This Row],[_IsLeaf]]=1,MAX(N(Tasks[[#This Row],[_Days]]),0.1),0)</f>
        <v/>
      </c>
      <c r="GD107" s="42">
        <f>Tasks[[#This Row],[_WeightDur]]*Tasks[[#This Row],[_LeafProgress]]</f>
        <v/>
      </c>
      <c r="GE107" s="42">
        <f>Tasks[[#This Row],[_WeightDur]]*Tasks[[#This Row],[_PlannedPct]]</f>
        <v/>
      </c>
      <c r="GF10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7" s="42">
        <f>IF(AND(Tasks[[#This Row],[_IsLeaf]]=1,N(Tasks[[#This Row],[_Days]])=0,Tasks[[#This Row],[_LeafProgress]]&lt;1),Tasks[[#This Row],[_ShownFcstFinish]]+Tasks[[#This Row],[_Row]]/100000,"")</f>
        <v/>
      </c>
      <c r="GH10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7" s="42">
        <f>IF(Tasks[[#This Row],[Task Name]]="","",LEFT(Tasks[[#This Row],[WBS]],FIND(".",Tasks[[#This Row],[WBS]]&amp;".")-1))</f>
        <v/>
      </c>
      <c r="GJ107" s="42">
        <f>IF(AND(Tasks[[#This Row],[Task Name]]&lt;&gt;"",Tasks[[#This Row],[_Level]]=1),Tasks[[#This Row],[_Row]],"")</f>
        <v/>
      </c>
      <c r="GK107" s="42">
        <f>IF(AND(Tasks[[#This Row],[_IsLeaf]]=1,N(Tasks[[#This Row],[_Days]])=0),Tasks[[#This Row],[Planned Finish]]+Tasks[[#This Row],[_Row]]/100000,"")</f>
        <v/>
      </c>
      <c r="GL107" s="42">
        <f>IF(AND(Tasks[[#This Row],[_IsLeaf]]=1,Tasks[[#This Row],[_LeafProgress]]&lt;1,OR(N(Tasks[[#This Row],[Finish Var]])&gt;0,Tasks[[#This Row],[Status]]="Late Start")),MAX(0,Tasks[[#This Row],[Finish Var]])+1-Tasks[[#This Row],[_Row]]/1000000,"")</f>
        <v/>
      </c>
      <c r="GM107" s="42">
        <f>IF(AND(Tasks[[#This Row],[_IsLeaf]]=1,N(Tasks[[#This Row],[Actual Start]])=0,Tasks[[#This Row],[_ShownFcstStart]]&gt;=StatusDate,Tasks[[#This Row],[_ShownFcstStart]]&lt;=LookaheadEnd),Tasks[[#This Row],[_ShownFcstStart]]+Tasks[[#This Row],[_Row]]/100000,"")</f>
        <v/>
      </c>
      <c r="GN107" s="42">
        <f>IF(AND(Tasks[[#This Row],[_IsLeaf]]=1,Tasks[[#This Row],[_LeafProgress]]&lt;1,Tasks[[#This Row],[_ShownFcstFinish]]&gt;=StatusDate,Tasks[[#This Row],[_ShownFcstFinish]]&lt;=LookaheadEnd),Tasks[[#This Row],[_ShownFcstFinish]]+Tasks[[#This Row],[_Row]]/100000,"")</f>
        <v/>
      </c>
      <c r="GO107" s="42">
        <f>IF(Tasks[[#This Row],[_LeafCritical]],Tasks[[#This Row],[_ShownFcstStart]]+Tasks[[#This Row],[_Row]]/100000,"")</f>
        <v/>
      </c>
      <c r="GP107" s="42">
        <f>Tasks[[#This Row],[_LeafWork]]*Tasks[[#This Row],[_LeafProgress]]</f>
        <v/>
      </c>
      <c r="GQ107" s="88">
        <f>IF(AND(Tasks[[#This Row],[_IsLeaf]]=1,Tasks[[#This Row],[_LeafProgress]]&gt;=1),IF(N(Tasks[[#This Row],[Actual Finish]])&gt;0,Tasks[[#This Row],[Actual Finish]],Tasks[[#This Row],[_ShownFcstFinish]]),"")</f>
        <v/>
      </c>
      <c r="GR107" s="42">
        <f>IF(Tasks[[#This Row],[_IsLeaf]]=1,N(Tasks[[#This Row],[Story Points]]),0)</f>
        <v/>
      </c>
      <c r="GS107" s="42">
        <f>""</f>
        <v/>
      </c>
      <c r="GT107" s="42">
        <f>IF(Tasks[[#This Row],[Task Name]]="",FALSE(),AND(Tasks[[#This Row],[_IsLeaf]]=1,N(Tasks[[#This Row],[_Days]])=0))</f>
        <v/>
      </c>
      <c r="GU107" s="88">
        <f>IF(Tasks[[#This Row],[Task Name]]="",0,IF(AND(Tasks[[#This Row],[_IsLeaf]]=1,NOT(Tasks[[#This Row],[_IsMilestone]]),N(Tasks[[#This Row],[Progress]])&gt;0),Tasks[[#This Row],[Start]],0))</f>
        <v/>
      </c>
      <c r="GV107" s="88">
        <f>IF(Tasks[[#This Row],[_DoneFrom]]=0,0,IF(Tasks[[#This Row],[Progress]]&gt;=1,Tasks[[#This Row],[Finish]],MAX(Tasks[[#This Row],[_DoneFrom]],Tasks[[#This Row],[Start]]+ROUND((Tasks[[#This Row],[Finish]]-Tasks[[#This Row],[Start]]+1)*Tasks[[#This Row],[Progress]],0)-1)))</f>
        <v/>
      </c>
      <c r="GW107" s="88">
        <f>IF(Tasks[[#This Row],[Task Name]]="",0,IF(OR(NOT(Tasks[[#This Row],[_IsLeaf]]=1),Tasks[[#This Row],[_IsMilestone]],N(Tasks[[#This Row],[Progress]])&gt;=1),0,IF(Tasks[[#This Row],[_DoneTo]]&gt;0,Tasks[[#This Row],[_DoneTo]]+1,Tasks[[#This Row],[Start]])))</f>
        <v/>
      </c>
      <c r="GX107" s="88">
        <f>IF(Tasks[[#This Row],[_RemFrom]]=0,0,Tasks[[#This Row],[Finish]])</f>
        <v/>
      </c>
      <c r="GY107" s="42">
        <f>IF(Tasks[[#This Row],[Task Name]]="",FALSE(),OR(NOT(BaselineSet),N(Tasks[[#This Row],[Baseline Start]])&gt;0))</f>
        <v/>
      </c>
      <c r="GZ107" s="42">
        <f>IF(AND(Sandbox="Yes",L_PARSE_DURATION(Tasks[[#This Row],[Sandbox Duration]])&lt;&gt;""),L_PARSE_DURATION(Tasks[[#This Row],[Sandbox Duration]]),L_PARSE_DURATION(Tasks[[#This Row],[Duration]]))</f>
        <v/>
      </c>
      <c r="HA10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7" s="42">
        <f>IF(Tasks[[#This Row],[_IsLeaf]]=1,Tasks[[#This Row],[_Row]],"")</f>
        <v/>
      </c>
      <c r="HD107" s="42">
        <f>IFERROR(INDEX(Tasks[UID],SMALL(Tasks[_PickKey],Tasks[[#This Row],[_Row]]))&amp;" "&amp;INDEX(Tasks[Task Name],SMALL(Tasks[_PickKey],Tasks[[#This Row],[_Row]])),"")</f>
        <v/>
      </c>
      <c r="HE107" s="42">
        <f>IF(Tasks[[#This Row],[Task Name]]="","",IF(Tasks[[#This Row],[_IsSummary]],NETWORKDAYS.INTL(Tasks[[#This Row],[Start]],Tasks[[#This Row],[Finish]],WorkWeek,Holidays),N(Tasks[[#This Row],[_Days]])))</f>
        <v/>
      </c>
      <c r="HF107" s="42">
        <f>IF(Tasks[[#This Row],[Expected]]="",0,((Tasks[[#This Row],[Pessimistic]]-Tasks[[#This Row],[Optimistic]])/6)^2)</f>
        <v/>
      </c>
      <c r="HG107" s="42">
        <f>IF(Tasks[[#This Row],[Expected]]="",0,Tasks[[#This Row],[Expected]]-N(Tasks[[#This Row],[_Days]]))</f>
        <v/>
      </c>
    </row>
    <row r="108">
      <c r="A108" s="21">
        <f>IF(Tasks[[#This Row],[Task Name]]="","",COUNTA(Tasks[[#Headers],[Task Name]]:Tasks[[#This Row],[Task Name]])-1)</f>
        <v/>
      </c>
      <c r="B108" s="22" t="n">
        <v>116</v>
      </c>
      <c r="C108" s="22" t="n"/>
      <c r="D108" s="23" t="n"/>
      <c r="E108" s="22" t="n"/>
      <c r="F108" s="23" t="n"/>
      <c r="G108" s="22" t="n"/>
      <c r="H108" s="22" t="n"/>
      <c r="I108" s="23" t="n"/>
      <c r="J108" s="22" t="n"/>
      <c r="K108" s="22" t="n"/>
      <c r="L108" s="23" t="n"/>
      <c r="M108" s="22" t="n"/>
      <c r="N108" s="22" t="n"/>
      <c r="O108" s="23" t="n"/>
      <c r="P108" s="22" t="n"/>
      <c r="Q108" s="22" t="n"/>
      <c r="R108" s="23" t="n"/>
      <c r="S108" s="23" t="n"/>
      <c r="T108" s="82" t="n"/>
      <c r="U108" s="23" t="n"/>
      <c r="V108" s="82" t="n"/>
      <c r="W108" s="23" t="n"/>
      <c r="X108" s="82" t="n"/>
      <c r="Y108" s="23" t="n"/>
      <c r="Z108" s="82" t="n"/>
      <c r="AA108" s="23" t="n"/>
      <c r="AB108" s="23" t="n"/>
      <c r="AC108" s="7" t="n"/>
      <c r="AD108" s="7" t="n"/>
      <c r="AE108" s="61">
        <f>IF(Tasks[[#This Row],[Task Name]]="","",IF(Tasks[[#This Row],[_IsSummary]],MIN(INDEX(Tasks[_ShownFcstStart],Tasks[[#This Row],[_Row]]+1):INDEX(Tasks[_ShownFcstStart],Tasks[[#This Row],[_Row]]+Tasks[[#This Row],[_Descendants]])),Tasks[[#This Row],[_ShownFcstStart]]))</f>
        <v/>
      </c>
      <c r="AF108" s="61">
        <f>IF(Tasks[[#This Row],[Task Name]]="","",IF(Tasks[[#This Row],[_IsSummary]],MAX(INDEX(Tasks[_ShownFcstFinish],Tasks[[#This Row],[_Row]]+1):INDEX(Tasks[_ShownFcstFinish],Tasks[[#This Row],[_Row]]+Tasks[[#This Row],[_Descendants]])),Tasks[[#This Row],[_ShownFcstFinish]]))</f>
        <v/>
      </c>
      <c r="AG108" s="21">
        <f>""</f>
        <v/>
      </c>
      <c r="AH108" s="23" t="n"/>
      <c r="AI10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8" s="7" t="n"/>
      <c r="AK108" s="22" t="n"/>
      <c r="AL108" s="23" t="n"/>
      <c r="AM108" s="7" t="n"/>
      <c r="AN108" s="21">
        <f>IF(Tasks[[#This Row],[Task Name]]="","",IF(Tasks[[#This Row],[Finish]]&gt;=Tasks[[#This Row],[Planned Finish]],NETWORKDAYS.INTL(Tasks[[#This Row],[Planned Finish]],Tasks[[#This Row],[Finish]],WorkWeek,Holidays)-1,1-NETWORKDAYS.INTL(Tasks[[#This Row],[Finish]],Tasks[[#This Row],[Planned Finish]],WorkWeek,Holidays)))</f>
        <v/>
      </c>
      <c r="AO108" s="21">
        <f>IF(Tasks[[#This Row],[Task Name]]="","",IF(Tasks[[#This Row],[Progress]]&gt;=1,"Complete",IF(OR(N(Tasks[[#This Row],[Actual Start]])&gt;0,Tasks[[#This Row],[Progress]]&gt;0),IF(Tasks[[#This Row],[Finish Var]]&gt;0,"Behind","In Progress"),IF(Tasks[[#This Row],[Planned Start]]&lt;StatusDate,"Late Start","Not Started"))))</f>
        <v/>
      </c>
      <c r="AP108" s="21">
        <f>IF(Tasks[[#This Row],[Task Name]]="","",IF(IF(Tasks[[#This Row],[_IsSummary]],COUNTIF(INDEX(Tasks[_LeafCritical],Tasks[[#This Row],[_Row]]+1):INDEX(Tasks[_LeafCritical],Tasks[[#This Row],[_Row]]+Tasks[[#This Row],[_Descendants]]),TRUE())&gt;0,Tasks[[#This Row],[_LeafCritical]]),"Yes",""))</f>
        <v/>
      </c>
      <c r="AQ108" s="61">
        <f>IF(Tasks[[#This Row],[Task Name]]="","",IF(N(Tasks[[#This Row],[Baseline Start]])&gt;0,Tasks[[#This Row],[Baseline Start]],Tasks[[#This Row],[_CalcStart]]))</f>
        <v/>
      </c>
      <c r="AR108" s="61">
        <f>IF(Tasks[[#This Row],[Task Name]]="","",IF(N(Tasks[[#This Row],[Baseline Finish]])&gt;0,Tasks[[#This Row],[Baseline Finish]],Tasks[[#This Row],[_CalcFinish]]))</f>
        <v/>
      </c>
      <c r="AS108" s="21">
        <f>IF(Tasks[[#This Row],[Task Name]]="","",IF(Tasks[[#This Row],[Start]]&gt;=Tasks[[#This Row],[Planned Start]],NETWORKDAYS.INTL(Tasks[[#This Row],[Planned Start]],Tasks[[#This Row],[Start]],WorkWeek,Holidays)-1,1-NETWORKDAYS.INTL(Tasks[[#This Row],[Start]],Tasks[[#This Row],[Planned Start]],WorkWeek,Holidays)))</f>
        <v/>
      </c>
      <c r="AT108" s="61">
        <f>IF(Tasks[[#This Row],[Task Name]]="","",IF(Tasks[[#This Row],[_IsSummary]],MIN(INDEX(Tasks[_LeafLateStart],Tasks[[#This Row],[_Row]]+1):INDEX(Tasks[_LeafLateStart],Tasks[[#This Row],[_Row]]+Tasks[[#This Row],[_Descendants]])),Tasks[[#This Row],[_LeafLateStart]]))</f>
        <v/>
      </c>
      <c r="AU108" s="61">
        <f>IF(Tasks[[#This Row],[Task Name]]="","",IF(Tasks[[#This Row],[_IsSummary]],MAX(INDEX(Tasks[_LeafLateFinish],Tasks[[#This Row],[_Row]]+1):INDEX(Tasks[_LeafLateFinish],Tasks[[#This Row],[_Row]]+Tasks[[#This Row],[_Descendants]])),Tasks[[#This Row],[_LeafLateFinish]]))</f>
        <v/>
      </c>
      <c r="AV108" s="21">
        <f>IF(Tasks[[#This Row],[Task Name]]="","",IF(Tasks[[#This Row],[_IsSummary]],MIN(INDEX(Tasks[_LeafTotalSlack],Tasks[[#This Row],[_Row]]+1):INDEX(Tasks[_LeafTotalSlack],Tasks[[#This Row],[_Row]]+Tasks[[#This Row],[_Descendants]])),Tasks[[#This Row],[_LeafTotalSlack]]))</f>
        <v/>
      </c>
      <c r="AW10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3" t="n"/>
      <c r="BA10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f>IF(Tasks[[#This Row],[Task Name]]="","",IF(Tasks[[#This Row],[_Level]]&lt;=OutlineShowLevel,"Yes","No"))</f>
        <v/>
      </c>
      <c r="BE108" s="84">
        <f>IF(Tasks[[#This Row],[Task Name]]="","",IF(Tasks[[#This Row],[_IsSummary]],SUM(INDEX(Tasks[_LeafTotalWork],Tasks[[#This Row],[_Row]]+1):INDEX(Tasks[_LeafTotalWork],Tasks[[#This Row],[_Row]]+Tasks[[#This Row],[_Descendants]])),Tasks[[#This Row],[_LeafTotalWork]]))</f>
        <v/>
      </c>
      <c r="BF108" s="23" t="n"/>
      <c r="BG10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f>""</f>
        <v/>
      </c>
      <c r="BI108" s="85" t="n"/>
      <c r="BJ108" s="22" t="n"/>
      <c r="BK108" s="21">
        <f>IF(OR(Tasks[[#This Row],[Task Name]]="",Tasks[[#This Row],[Baseline Duration]]=""),"",Tasks[[#This Row],[_SpanDays]]-N(Tasks[[#This Row],[Baseline Duration]]))</f>
        <v/>
      </c>
      <c r="BL108" s="84">
        <f>IF(OR(Tasks[[#This Row],[Task Name]]="",Tasks[[#This Row],[Baseline Work]]=""),"",Tasks[[#This Row],[Work]]-N(Tasks[[#This Row],[Baseline Work]]))</f>
        <v/>
      </c>
      <c r="BM108" s="61">
        <f>IF(Tasks[[#This Row],[Task Name]]="","",IF(OR(TakeBaseline="Yes",N(Tasks[[#This Row],[Baseline Start]])=0),Tasks[[#This Row],[Start]],Tasks[[#This Row],[Baseline Start]]))</f>
        <v/>
      </c>
      <c r="BN108" s="61">
        <f>IF(Tasks[[#This Row],[Task Name]]="","",IF(OR(TakeBaseline="Yes",N(Tasks[[#This Row],[Baseline Finish]])=0),Tasks[[#This Row],[Finish]],Tasks[[#This Row],[Baseline Finish]]))</f>
        <v/>
      </c>
      <c r="BO108" s="21">
        <f>IF(Tasks[[#This Row],[Task Name]]="","",IF(OR(TakeBaseline="Yes",N(Tasks[[#This Row],[Baseline Duration]])=0),Tasks[[#This Row],[_SpanDays]],Tasks[[#This Row],[Baseline Duration]]))</f>
        <v/>
      </c>
      <c r="BP108" s="84">
        <f>IF(Tasks[[#This Row],[Task Name]]="","",IF(OR(TakeBaseline="Yes",N(Tasks[[#This Row],[Baseline Work]])=0),Tasks[[#This Row],[Work]],Tasks[[#This Row],[Baseline Work]]))</f>
        <v/>
      </c>
      <c r="BQ108" s="7" t="n"/>
      <c r="BR108" s="7" t="n"/>
      <c r="BS108" s="22" t="n"/>
      <c r="BT108" s="86" t="n"/>
      <c r="BU108" s="23" t="n"/>
      <c r="BV108" s="23" t="n"/>
      <c r="BW108" s="23" t="n"/>
      <c r="BX108" s="87">
        <f>IF(AND(Tasks[[#This Row],[_IsLeaf]]=1,ISNUMBER(Tasks[[#This Row],[Optimistic]]),ISNUMBER(Tasks[[#This Row],[Pessimistic]])),ROUND((Tasks[[#This Row],[Optimistic]]+4*N(Tasks[[#This Row],[_Days]])+Tasks[[#This Row],[Pessimistic]])/6,1),"")</f>
        <v/>
      </c>
      <c r="BY108" s="85" t="n"/>
      <c r="BZ108" s="85" t="n"/>
      <c r="CA108" s="22" t="n"/>
      <c r="CB108" s="42">
        <f>IF(Tasks[[#This Row],[Task Name]]="","",MAX(1,N(Tasks[[#This Row],[Level]])))</f>
        <v/>
      </c>
      <c r="CC108" s="42">
        <f>ROW()-ROW(Tasks[[#Headers],[ID]])</f>
        <v/>
      </c>
      <c r="CD108" s="42">
        <f>IF(OR(Tasks[[#This Row],[Task Name]]="",Tasks[[#This Row],[_Level]]&lt;=1),0,IFERROR(LOOKUP(2,1/(Tasks[[#Headers],[_Level]]:Tasks[[#This Row],[_Level]]=Tasks[[#This Row],[_Level]]-1),ROW(Tasks[[#Headers],[_Level]]:Tasks[[#This Row],[_Level]])),0))</f>
        <v/>
      </c>
      <c r="CE108" s="42">
        <f>IFERROR(N(INDEX(Tasks[_Level],Tasks[[#This Row],[_Row]]+1)),0)</f>
        <v/>
      </c>
      <c r="CF108" s="42">
        <f>AND(Tasks[[#This Row],[Task Name]]&lt;&gt;"",Tasks[[#This Row],[_NextLevel]]&gt;Tasks[[#This Row],[_Level]])</f>
        <v/>
      </c>
      <c r="CG108" s="42">
        <f>IF(Tasks[[#This Row],[_IsSummary]],COUNTIF(Tasks[WBS],Tasks[[#This Row],[WBS]]&amp;".*"),0)</f>
        <v/>
      </c>
      <c r="CH108" s="42">
        <f>IF(AND(Tasks[[#This Row],[Task Name]]&lt;&gt;"",NOT(Tasks[[#This Row],[_IsSummary]])),1,0)</f>
        <v/>
      </c>
      <c r="CI108" s="42">
        <f>IF(N(Tasks[[#This Row],[_Pred1UID]])=0,0,IFERROR(MATCH(Tasks[[#This Row],[_Pred1UID]],Tasks[UID],0),-1))</f>
        <v/>
      </c>
      <c r="CJ108" s="42">
        <f>IF(N(Tasks[[#This Row],[_Pred2UID]])=0,0,IFERROR(MATCH(Tasks[[#This Row],[_Pred2UID]],Tasks[UID],0),-1))</f>
        <v/>
      </c>
      <c r="CK108" s="42">
        <f>IF(N(Tasks[[#This Row],[_Pred3UID]])=0,0,IFERROR(MATCH(Tasks[[#This Row],[_Pred3UID]],Tasks[UID],0),-1))</f>
        <v/>
      </c>
      <c r="CL108" s="42">
        <f>IF(N(Tasks[[#This Row],[_Pred4UID]])=0,0,IFERROR(MATCH(Tasks[[#This Row],[_Pred4UID]],Tasks[UID],0),-1))</f>
        <v/>
      </c>
      <c r="CM10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8" s="88">
        <f>IF(N(Tasks[[#This Row],[Constraint Date]])=0,0,IF(AND(OR(Tasks[[#This Row],[_ConstraintCode]]=3,Tasks[[#This Row],[_ConstraintCode]]=6,Tasks[[#This Row],[_ConstraintCode]]=7),N(Tasks[[#This Row],[_Days]])&gt;1),WORKDAY.INTL(N(Tasks[[#This Row],[Constraint Date]]),-(N(Tasks[[#This Row],[_Days]])-1),WorkWeek,Holidays),N(Tasks[[#This Row],[Constraint Date]])))</f>
        <v/>
      </c>
      <c r="CO108" s="88">
        <f>IF(OR(Tasks[[#This Row],[_ConstraintCode]]=2,Tasks[[#This Row],[_ConstraintCode]]=3,Tasks[[#This Row],[_ConstraintCode]]=4,Tasks[[#This Row],[_ConstraintCode]]=6),Tasks[[#This Row],[_ConstraintStart]],0)</f>
        <v/>
      </c>
      <c r="CP108" s="88">
        <f>IF(OR(Tasks[[#This Row],[_ConstraintCode]]=2,Tasks[[#This Row],[_ConstraintCode]]=3,Tasks[[#This Row],[_ConstraintCode]]=5,Tasks[[#This Row],[_ConstraintCode]]=7),Tasks[[#This Row],[_ConstraintStart]],2958465)</f>
        <v/>
      </c>
      <c r="CQ10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8" s="88">
        <f>IF(NOT(Tasks[[#This Row],[_IsLeaf]]=1),"",IF(N(Tasks[[#This Row],[_Days]])&lt;=0,Tasks[[#This Row],[_LeafCalcStart]],WORKDAY.INTL(Tasks[[#This Row],[_LeafCalcStart]],Tasks[[#This Row],[_Days]]-1,WorkWeek,Holidays)))</f>
        <v/>
      </c>
      <c r="CS10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8" s="42">
        <f>IF(Tasks[[#This Row],[_Predecessors]]="","",TRIM(MID(SUBSTITUTE(SUBSTITUTE(SUBSTITUTE(UPPER(Tasks[[#This Row],[_Predecessors]]),";",",")," ",""),",",REPT(" ",99)),1,99)))</f>
        <v/>
      </c>
      <c r="CV108" s="42">
        <f>IF(Tasks[[#This Row],[_Pred1Text]]="","",IFERROR(VALUE(LEFT(Tasks[[#This Row],[_Pred1Text]],MIN(FIND("F",Tasks[[#This Row],[_Pred1Text]]&amp;"F"),FIND("S",Tasks[[#This Row],[_Pred1Text]]&amp;"S"),FIND("+",Tasks[[#This Row],[_Pred1Text]]&amp;"+"),FIND("-",Tasks[[#This Row],[_Pred1Text]]&amp;"-"))-1)),""))</f>
        <v/>
      </c>
      <c r="CW10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8" s="42">
        <f>IF(Tasks[[#This Row],[_Pred1Text]]="","",TRIM(MID(SUBSTITUTE(SUBSTITUTE(SUBSTITUTE(UPPER(Tasks[[#This Row],[_Predecessors]]),";",",")," ",""),",",REPT(" ",99)),100,99)))</f>
        <v/>
      </c>
      <c r="CZ108" s="42">
        <f>IF(Tasks[[#This Row],[_Pred2Text]]="","",IFERROR(VALUE(LEFT(Tasks[[#This Row],[_Pred2Text]],MIN(FIND("F",Tasks[[#This Row],[_Pred2Text]]&amp;"F"),FIND("S",Tasks[[#This Row],[_Pred2Text]]&amp;"S"),FIND("+",Tasks[[#This Row],[_Pred2Text]]&amp;"+"),FIND("-",Tasks[[#This Row],[_Pred2Text]]&amp;"-"))-1)),""))</f>
        <v/>
      </c>
      <c r="DA10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8" s="42">
        <f>IF(Tasks[[#This Row],[_Pred2Text]]="","",TRIM(MID(SUBSTITUTE(SUBSTITUTE(SUBSTITUTE(UPPER(Tasks[[#This Row],[_Predecessors]]),";",",")," ",""),",",REPT(" ",99)),199,99)))</f>
        <v/>
      </c>
      <c r="DD108" s="42">
        <f>IF(Tasks[[#This Row],[_Pred3Text]]="","",IFERROR(VALUE(LEFT(Tasks[[#This Row],[_Pred3Text]],MIN(FIND("F",Tasks[[#This Row],[_Pred3Text]]&amp;"F"),FIND("S",Tasks[[#This Row],[_Pred3Text]]&amp;"S"),FIND("+",Tasks[[#This Row],[_Pred3Text]]&amp;"+"),FIND("-",Tasks[[#This Row],[_Pred3Text]]&amp;"-"))-1)),""))</f>
        <v/>
      </c>
      <c r="DE10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8" s="42">
        <f>IF(Tasks[[#This Row],[_Pred3Text]]="","",TRIM(MID(SUBSTITUTE(SUBSTITUTE(SUBSTITUTE(UPPER(Tasks[[#This Row],[_Predecessors]]),";",",")," ",""),",",REPT(" ",99)),298,99)))</f>
        <v/>
      </c>
      <c r="DH108" s="42">
        <f>IF(Tasks[[#This Row],[_Pred4Text]]="","",IFERROR(VALUE(LEFT(Tasks[[#This Row],[_Pred4Text]],MIN(FIND("F",Tasks[[#This Row],[_Pred4Text]]&amp;"F"),FIND("S",Tasks[[#This Row],[_Pred4Text]]&amp;"S"),FIND("+",Tasks[[#This Row],[_Pred4Text]]&amp;"+"),FIND("-",Tasks[[#This Row],[_Pred4Text]]&amp;"-"))-1)),""))</f>
        <v/>
      </c>
      <c r="DI10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8" s="42">
        <f>IF(OR(Tasks[[#This Row],[Task Name]]="",Tasks[[#This Row],[_Resources]]=""),"",TRIM(MID(SUBSTITUTE(Tasks[[#This Row],[_Resources]],",",REPT(" ",99)),1,99)))</f>
        <v/>
      </c>
      <c r="DL108" s="42">
        <f>IF(Tasks[[#This Row],[_Res1Text]]="","",TRIM(MID(SUBSTITUTE(Tasks[[#This Row],[_Resources]],",",REPT(" ",99)),100,99)))</f>
        <v/>
      </c>
      <c r="DM108" s="42">
        <f>IF(Tasks[[#This Row],[_Res2Text]]="","",TRIM(MID(SUBSTITUTE(Tasks[[#This Row],[_Resources]],",",REPT(" ",99)),199,99)))</f>
        <v/>
      </c>
      <c r="DN108" s="42">
        <f>IF(Tasks[[#This Row],[_Res3Text]]="","",TRIM(MID(SUBSTITUTE(Tasks[[#This Row],[_Resources]],",",REPT(" ",99)),298,99)))</f>
        <v/>
      </c>
      <c r="DO108" s="42">
        <f>IF(Tasks[[#This Row],[_Res1Text]]="",0,IFERROR(MATCH(TRIM(LEFT(Tasks[[#This Row],[_Res1Text]],FIND("[",Tasks[[#This Row],[_Res1Text]]&amp;"[")-1)),res_Name,0),IFERROR(MATCH(TRIM(LEFT(Tasks[[#This Row],[_Res1Text]],FIND("[",Tasks[[#This Row],[_Res1Text]]&amp;"[")-1)),res_Initials,0),0)))</f>
        <v/>
      </c>
      <c r="DP108" s="42">
        <f>IF(Tasks[[#This Row],[_Res2Text]]="",0,IFERROR(MATCH(TRIM(LEFT(Tasks[[#This Row],[_Res2Text]],FIND("[",Tasks[[#This Row],[_Res2Text]]&amp;"[")-1)),res_Name,0),IFERROR(MATCH(TRIM(LEFT(Tasks[[#This Row],[_Res2Text]],FIND("[",Tasks[[#This Row],[_Res2Text]]&amp;"[")-1)),res_Initials,0),0)))</f>
        <v/>
      </c>
      <c r="DQ108" s="42">
        <f>IF(Tasks[[#This Row],[_Res3Text]]="",0,IFERROR(MATCH(TRIM(LEFT(Tasks[[#This Row],[_Res3Text]],FIND("[",Tasks[[#This Row],[_Res3Text]]&amp;"[")-1)),res_Name,0),IFERROR(MATCH(TRIM(LEFT(Tasks[[#This Row],[_Res3Text]],FIND("[",Tasks[[#This Row],[_Res3Text]]&amp;"[")-1)),res_Initials,0),0)))</f>
        <v/>
      </c>
      <c r="DR108" s="42">
        <f>IF(Tasks[[#This Row],[_Res4Text]]="",0,IFERROR(MATCH(TRIM(LEFT(Tasks[[#This Row],[_Res4Text]],FIND("[",Tasks[[#This Row],[_Res4Text]]&amp;"[")-1)),res_Name,0),IFERROR(MATCH(TRIM(LEFT(Tasks[[#This Row],[_Res4Text]],FIND("[",Tasks[[#This Row],[_Res4Text]]&amp;"[")-1)),res_Initials,0),0)))</f>
        <v/>
      </c>
      <c r="DS108" s="42">
        <f>IF(Tasks[[#This Row],[_Res1Text]]="","",IF(Tasks[[#This Row],[_Res1Row]]&gt;0,INDEX(res_Name,Tasks[[#This Row],[_Res1Row]]),TRIM(LEFT(Tasks[[#This Row],[_Res1Text]],FIND("[",Tasks[[#This Row],[_Res1Text]]&amp;"[")-1))))</f>
        <v/>
      </c>
      <c r="DT10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8" s="42">
        <f>IF(NOT(Tasks[[#This Row],[_IsLeaf]]=1),0,(Tasks[[#This Row],[_Resource1]]&lt;&gt;"")+(Tasks[[#This Row],[_Res2]]&lt;&gt;"")+(Tasks[[#This Row],[_Res3]]&lt;&gt;"")+(Tasks[[#This Row],[_Res4]]&lt;&gt;""))</f>
        <v/>
      </c>
      <c r="DV108" s="42">
        <f>IF(Tasks[[#This Row],[_Res2Text]]="","",IF(Tasks[[#This Row],[_Res2Row]]&gt;0,INDEX(res_Name,Tasks[[#This Row],[_Res2Row]]),TRIM(LEFT(Tasks[[#This Row],[_Res2Text]],FIND("[",Tasks[[#This Row],[_Res2Text]]&amp;"[")-1))))</f>
        <v/>
      </c>
      <c r="DW10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8" s="42">
        <f>IF(OR(NOT(Tasks[[#This Row],[_IsLeaf]]=1),Tasks[[#This Row],[_Res2Row]]=0),0,N(Tasks[[#This Row],[_Days]])*HoursPerDay*IF(Tasks[[#This Row],[_Res2Units]]="",DefaultUnits,Tasks[[#This Row],[_Res2Units]]))</f>
        <v/>
      </c>
      <c r="DY108" s="42">
        <f>IF(AND(AND(Tasks[[#This Row],[_IsLeaf]]=1,Tasks[[#This Row],[_LeafTotalWork]]&gt;0),Tasks[[#This Row],[_Res2Work]]&gt;0),Tasks[[#This Row],[_Res2Work]]/(Tasks[[#This Row],[_FinishWorkday]]-Tasks[[#This Row],[_StartWorkday]]+1),0)</f>
        <v/>
      </c>
      <c r="DZ108" s="42">
        <f>Tasks[[#This Row],[_Res2WorkPerWD]]*MAX(0,Tasks[[#This Row],[_StartWorkday]]-1)</f>
        <v/>
      </c>
      <c r="EA108" s="42">
        <f>Tasks[[#This Row],[_Res2Work]]*Tasks[[#This Row],[_LeafProgress]]</f>
        <v/>
      </c>
      <c r="EB108" s="42">
        <f>IF(Tasks[[#This Row],[_Res3Text]]="","",IF(Tasks[[#This Row],[_Res3Row]]&gt;0,INDEX(res_Name,Tasks[[#This Row],[_Res3Row]]),TRIM(LEFT(Tasks[[#This Row],[_Res3Text]],FIND("[",Tasks[[#This Row],[_Res3Text]]&amp;"[")-1))))</f>
        <v/>
      </c>
      <c r="EC10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8" s="42">
        <f>IF(OR(NOT(Tasks[[#This Row],[_IsLeaf]]=1),Tasks[[#This Row],[_Res3Row]]=0),0,N(Tasks[[#This Row],[_Days]])*HoursPerDay*IF(Tasks[[#This Row],[_Res3Units]]="",DefaultUnits,Tasks[[#This Row],[_Res3Units]]))</f>
        <v/>
      </c>
      <c r="EE108" s="42">
        <f>IF(AND(AND(Tasks[[#This Row],[_IsLeaf]]=1,Tasks[[#This Row],[_LeafTotalWork]]&gt;0),Tasks[[#This Row],[_Res3Work]]&gt;0),Tasks[[#This Row],[_Res3Work]]/(Tasks[[#This Row],[_FinishWorkday]]-Tasks[[#This Row],[_StartWorkday]]+1),0)</f>
        <v/>
      </c>
      <c r="EF108" s="42">
        <f>Tasks[[#This Row],[_Res3WorkPerWD]]*MAX(0,Tasks[[#This Row],[_StartWorkday]]-1)</f>
        <v/>
      </c>
      <c r="EG108" s="42">
        <f>Tasks[[#This Row],[_Res3Work]]*Tasks[[#This Row],[_LeafProgress]]</f>
        <v/>
      </c>
      <c r="EH108" s="42">
        <f>IF(Tasks[[#This Row],[_Res4Text]]="","",IF(Tasks[[#This Row],[_Res4Row]]&gt;0,INDEX(res_Name,Tasks[[#This Row],[_Res4Row]]),TRIM(LEFT(Tasks[[#This Row],[_Res4Text]],FIND("[",Tasks[[#This Row],[_Res4Text]]&amp;"[")-1))))</f>
        <v/>
      </c>
      <c r="EI10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8" s="42">
        <f>IF(OR(NOT(Tasks[[#This Row],[_IsLeaf]]=1),Tasks[[#This Row],[_Res4Row]]=0),0,N(Tasks[[#This Row],[_Days]])*HoursPerDay*IF(Tasks[[#This Row],[_Res4Units]]="",DefaultUnits,Tasks[[#This Row],[_Res4Units]]))</f>
        <v/>
      </c>
      <c r="EK108" s="42">
        <f>IF(AND(AND(Tasks[[#This Row],[_IsLeaf]]=1,Tasks[[#This Row],[_LeafTotalWork]]&gt;0),Tasks[[#This Row],[_Res4Work]]&gt;0),Tasks[[#This Row],[_Res4Work]]/(Tasks[[#This Row],[_FinishWorkday]]-Tasks[[#This Row],[_StartWorkday]]+1),0)</f>
        <v/>
      </c>
      <c r="EL108" s="42">
        <f>Tasks[[#This Row],[_Res4WorkPerWD]]*MAX(0,Tasks[[#This Row],[_StartWorkday]]-1)</f>
        <v/>
      </c>
      <c r="EM108" s="42">
        <f>Tasks[[#This Row],[_Res4Work]]*Tasks[[#This Row],[_LeafProgress]]</f>
        <v/>
      </c>
      <c r="EN108" s="42">
        <f>IF(ISNUMBER(Tasks[[#This Row],[% Complete]]),Tasks[[#This Row],[% Complete]],IF(Tasks[[#This Row],[Stage]]="",0,IFERROR(INDEX(stg_Pct,MATCH(Tasks[[#This Row],[Stage]],stg_Name,0)),0)))</f>
        <v/>
      </c>
      <c r="EO108" s="42">
        <f>IF(NOT(Tasks[[#This Row],[_IsLeaf]]=1),0,IF(N(Tasks[[#This Row],[Actual Finish]])&gt;0,1,MIN(1,Tasks[[#This Row],[_Pct]])))</f>
        <v/>
      </c>
      <c r="EP108" s="42">
        <f>IF(OR(NOT(Tasks[[#This Row],[_IsLeaf]]=1),Tasks[[#This Row],[_Res1Row]]=0),0,N(Tasks[[#This Row],[_Days]])*HoursPerDay*IF(Tasks[[#This Row],[_Units1]]="",DefaultUnits,Tasks[[#This Row],[_Units1]]))</f>
        <v/>
      </c>
      <c r="EQ108" s="42">
        <f>Tasks[[#This Row],[_LeafWork]]+Tasks[[#This Row],[_Res2Work]]+Tasks[[#This Row],[_Res3Work]]+Tasks[[#This Row],[_Res4Work]]</f>
        <v/>
      </c>
      <c r="ER10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8" s="42">
        <f>IF(NOT(Tasks[[#This Row],[_IsLeaf]]=1),0,MAX(_xlfn.MAXIFS(Tasks[_Row],Tasks[_Pred1UID],Tasks[[#This Row],[UID]]),_xlfn.MAXIFS(Tasks[_Row],Tasks[_Pred2UID],Tasks[[#This Row],[UID]]),_xlfn.MAXIFS(Tasks[_Row],Tasks[_Pred3UID],Tasks[[#This Row],[UID]]),_xlfn.MAXIFS(Tasks[_Row],Tasks[_Pred4UID],Tasks[[#This Row],[UID]])))</f>
        <v/>
      </c>
      <c r="FA10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8" s="88">
        <f>IF(NOT(Tasks[[#This Row],[_IsLeaf]]=1),"",IF(N(Tasks[[#This Row],[_Days]])&lt;=0,Tasks[[#This Row],[_LeafLateFinish]],WORKDAY.INTL(Tasks[[#This Row],[_LeafLateFinish]],-(Tasks[[#This Row],[_Days]]-1),WorkWeek,Holidays)))</f>
        <v/>
      </c>
      <c r="FD10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8" s="42">
        <f>AND(Tasks[[#This Row],[_IsLeaf]]=1,Tasks[[#This Row],[_LeafProgress]]&lt;1,N(Tasks[[#This Row],[_LeafTotalSlack]])&lt;=CriticalSlackDays)</f>
        <v/>
      </c>
      <c r="FF108" s="42">
        <f>IF(AND(Tasks[[#This Row],[_IsLeaf]]=1,Tasks[[#This Row],[_ConstraintCode]]=1,Tasks[[#This Row],[Mode]]&lt;&gt;"Manual",N(Tasks[[#This Row],[Actual Start]])=0),MAX(0,N(Tasks[[#This Row],[Free Slack]])),0)</f>
        <v/>
      </c>
      <c r="FG108" s="88">
        <f>IF(NOT(Tasks[[#This Row],[_IsLeaf]]=1),"",IF(Tasks[[#This Row],[_AlapShift]]=0,Tasks[[#This Row],[_LeafCalcStart]],WORKDAY.INTL(Tasks[[#This Row],[_LeafCalcStart]],Tasks[[#This Row],[_AlapShift]],WorkWeek,Holidays)))</f>
        <v/>
      </c>
      <c r="FH108" s="88">
        <f>IF(NOT(Tasks[[#This Row],[_IsLeaf]]=1),"",IF(Tasks[[#This Row],[_AlapShift]]=0,Tasks[[#This Row],[_LeafCalcFinish]],WORKDAY.INTL(Tasks[[#This Row],[_LeafCalcFinish]],Tasks[[#This Row],[_AlapShift]],WorkWeek,Holidays)))</f>
        <v/>
      </c>
      <c r="FI108" s="88">
        <f>IF(NOT(Tasks[[#This Row],[_IsLeaf]]=1),"",IF(Tasks[[#This Row],[_AlapShift]]=0,Tasks[[#This Row],[_LeafFcstStart]],WORKDAY.INTL(Tasks[[#This Row],[_LeafFcstStart]],Tasks[[#This Row],[_AlapShift]],WorkWeek,Holidays)))</f>
        <v/>
      </c>
      <c r="FJ108" s="88">
        <f>IF(NOT(Tasks[[#This Row],[_IsLeaf]]=1),"",IF(Tasks[[#This Row],[_AlapShift]]=0,Tasks[[#This Row],[_LeafFcstFinish]],WORKDAY.INTL(Tasks[[#This Row],[_LeafFcstFinish]],Tasks[[#This Row],[_AlapShift]],WorkWeek,Holidays)))</f>
        <v/>
      </c>
      <c r="FK108" s="88">
        <f>IF(Tasks[[#This Row],[Task Name]]="","",IF(Tasks[[#This Row],[_IsSummary]],MIN(INDEX(Tasks[_ShownCalcStart],Tasks[[#This Row],[_Row]]+1):INDEX(Tasks[_ShownCalcStart],Tasks[[#This Row],[_Row]]+Tasks[[#This Row],[_Descendants]])),Tasks[[#This Row],[_ShownCalcStart]]))</f>
        <v/>
      </c>
      <c r="FL108" s="88">
        <f>IF(Tasks[[#This Row],[Task Name]]="","",IF(Tasks[[#This Row],[_IsSummary]],MAX(INDEX(Tasks[_ShownCalcFinish],Tasks[[#This Row],[_Row]]+1):INDEX(Tasks[_ShownCalcFinish],Tasks[[#This Row],[_Row]]+Tasks[[#This Row],[_Descendants]])),Tasks[[#This Row],[_ShownCalcFinish]]))</f>
        <v/>
      </c>
      <c r="FM10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8" s="42">
        <f>IF(AND(Tasks[[#This Row],[_IsLeaf]]=1,Tasks[[#This Row],[_LeafTotalWork]]&gt;0),NETWORKDAYS.INTL(ProjectStart,Tasks[[#This Row],[_ShownFcstStart]],WorkWeek,Holidays),0)</f>
        <v/>
      </c>
      <c r="FZ108" s="42">
        <f>IF(AND(Tasks[[#This Row],[_IsLeaf]]=1,Tasks[[#This Row],[_LeafTotalWork]]&gt;0),MAX(Tasks[[#This Row],[_StartWorkday]],NETWORKDAYS.INTL(ProjectStart,Tasks[[#This Row],[_ShownFcstFinish]],WorkWeek,Holidays)),0)</f>
        <v/>
      </c>
      <c r="GA108" s="42">
        <f>IF(AND(Tasks[[#This Row],[_IsLeaf]]=1,Tasks[[#This Row],[_LeafTotalWork]]&gt;0),Tasks[[#This Row],[_LeafWork]]/(Tasks[[#This Row],[_FinishWorkday]]-Tasks[[#This Row],[_StartWorkday]]+1),0)</f>
        <v/>
      </c>
      <c r="GB108" s="42">
        <f>Tasks[[#This Row],[_WorkPerWorkday]]*(Tasks[[#This Row],[_StartWorkday]]-1)</f>
        <v/>
      </c>
      <c r="GC108" s="42">
        <f>IF(Tasks[[#This Row],[_IsLeaf]]=1,MAX(N(Tasks[[#This Row],[_Days]]),0.1),0)</f>
        <v/>
      </c>
      <c r="GD108" s="42">
        <f>Tasks[[#This Row],[_WeightDur]]*Tasks[[#This Row],[_LeafProgress]]</f>
        <v/>
      </c>
      <c r="GE108" s="42">
        <f>Tasks[[#This Row],[_WeightDur]]*Tasks[[#This Row],[_PlannedPct]]</f>
        <v/>
      </c>
      <c r="GF10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8" s="42">
        <f>IF(AND(Tasks[[#This Row],[_IsLeaf]]=1,N(Tasks[[#This Row],[_Days]])=0,Tasks[[#This Row],[_LeafProgress]]&lt;1),Tasks[[#This Row],[_ShownFcstFinish]]+Tasks[[#This Row],[_Row]]/100000,"")</f>
        <v/>
      </c>
      <c r="GH10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8" s="42">
        <f>IF(Tasks[[#This Row],[Task Name]]="","",LEFT(Tasks[[#This Row],[WBS]],FIND(".",Tasks[[#This Row],[WBS]]&amp;".")-1))</f>
        <v/>
      </c>
      <c r="GJ108" s="42">
        <f>IF(AND(Tasks[[#This Row],[Task Name]]&lt;&gt;"",Tasks[[#This Row],[_Level]]=1),Tasks[[#This Row],[_Row]],"")</f>
        <v/>
      </c>
      <c r="GK108" s="42">
        <f>IF(AND(Tasks[[#This Row],[_IsLeaf]]=1,N(Tasks[[#This Row],[_Days]])=0),Tasks[[#This Row],[Planned Finish]]+Tasks[[#This Row],[_Row]]/100000,"")</f>
        <v/>
      </c>
      <c r="GL108" s="42">
        <f>IF(AND(Tasks[[#This Row],[_IsLeaf]]=1,Tasks[[#This Row],[_LeafProgress]]&lt;1,OR(N(Tasks[[#This Row],[Finish Var]])&gt;0,Tasks[[#This Row],[Status]]="Late Start")),MAX(0,Tasks[[#This Row],[Finish Var]])+1-Tasks[[#This Row],[_Row]]/1000000,"")</f>
        <v/>
      </c>
      <c r="GM108" s="42">
        <f>IF(AND(Tasks[[#This Row],[_IsLeaf]]=1,N(Tasks[[#This Row],[Actual Start]])=0,Tasks[[#This Row],[_ShownFcstStart]]&gt;=StatusDate,Tasks[[#This Row],[_ShownFcstStart]]&lt;=LookaheadEnd),Tasks[[#This Row],[_ShownFcstStart]]+Tasks[[#This Row],[_Row]]/100000,"")</f>
        <v/>
      </c>
      <c r="GN108" s="42">
        <f>IF(AND(Tasks[[#This Row],[_IsLeaf]]=1,Tasks[[#This Row],[_LeafProgress]]&lt;1,Tasks[[#This Row],[_ShownFcstFinish]]&gt;=StatusDate,Tasks[[#This Row],[_ShownFcstFinish]]&lt;=LookaheadEnd),Tasks[[#This Row],[_ShownFcstFinish]]+Tasks[[#This Row],[_Row]]/100000,"")</f>
        <v/>
      </c>
      <c r="GO108" s="42">
        <f>IF(Tasks[[#This Row],[_LeafCritical]],Tasks[[#This Row],[_ShownFcstStart]]+Tasks[[#This Row],[_Row]]/100000,"")</f>
        <v/>
      </c>
      <c r="GP108" s="42">
        <f>Tasks[[#This Row],[_LeafWork]]*Tasks[[#This Row],[_LeafProgress]]</f>
        <v/>
      </c>
      <c r="GQ108" s="88">
        <f>IF(AND(Tasks[[#This Row],[_IsLeaf]]=1,Tasks[[#This Row],[_LeafProgress]]&gt;=1),IF(N(Tasks[[#This Row],[Actual Finish]])&gt;0,Tasks[[#This Row],[Actual Finish]],Tasks[[#This Row],[_ShownFcstFinish]]),"")</f>
        <v/>
      </c>
      <c r="GR108" s="42">
        <f>IF(Tasks[[#This Row],[_IsLeaf]]=1,N(Tasks[[#This Row],[Story Points]]),0)</f>
        <v/>
      </c>
      <c r="GS108" s="42">
        <f>""</f>
        <v/>
      </c>
      <c r="GT108" s="42">
        <f>IF(Tasks[[#This Row],[Task Name]]="",FALSE(),AND(Tasks[[#This Row],[_IsLeaf]]=1,N(Tasks[[#This Row],[_Days]])=0))</f>
        <v/>
      </c>
      <c r="GU108" s="88">
        <f>IF(Tasks[[#This Row],[Task Name]]="",0,IF(AND(Tasks[[#This Row],[_IsLeaf]]=1,NOT(Tasks[[#This Row],[_IsMilestone]]),N(Tasks[[#This Row],[Progress]])&gt;0),Tasks[[#This Row],[Start]],0))</f>
        <v/>
      </c>
      <c r="GV108" s="88">
        <f>IF(Tasks[[#This Row],[_DoneFrom]]=0,0,IF(Tasks[[#This Row],[Progress]]&gt;=1,Tasks[[#This Row],[Finish]],MAX(Tasks[[#This Row],[_DoneFrom]],Tasks[[#This Row],[Start]]+ROUND((Tasks[[#This Row],[Finish]]-Tasks[[#This Row],[Start]]+1)*Tasks[[#This Row],[Progress]],0)-1)))</f>
        <v/>
      </c>
      <c r="GW108" s="88">
        <f>IF(Tasks[[#This Row],[Task Name]]="",0,IF(OR(NOT(Tasks[[#This Row],[_IsLeaf]]=1),Tasks[[#This Row],[_IsMilestone]],N(Tasks[[#This Row],[Progress]])&gt;=1),0,IF(Tasks[[#This Row],[_DoneTo]]&gt;0,Tasks[[#This Row],[_DoneTo]]+1,Tasks[[#This Row],[Start]])))</f>
        <v/>
      </c>
      <c r="GX108" s="88">
        <f>IF(Tasks[[#This Row],[_RemFrom]]=0,0,Tasks[[#This Row],[Finish]])</f>
        <v/>
      </c>
      <c r="GY108" s="42">
        <f>IF(Tasks[[#This Row],[Task Name]]="",FALSE(),OR(NOT(BaselineSet),N(Tasks[[#This Row],[Baseline Start]])&gt;0))</f>
        <v/>
      </c>
      <c r="GZ108" s="42">
        <f>IF(AND(Sandbox="Yes",L_PARSE_DURATION(Tasks[[#This Row],[Sandbox Duration]])&lt;&gt;""),L_PARSE_DURATION(Tasks[[#This Row],[Sandbox Duration]]),L_PARSE_DURATION(Tasks[[#This Row],[Duration]]))</f>
        <v/>
      </c>
      <c r="HA10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8" s="42">
        <f>IF(Tasks[[#This Row],[_IsLeaf]]=1,Tasks[[#This Row],[_Row]],"")</f>
        <v/>
      </c>
      <c r="HD108" s="42">
        <f>IFERROR(INDEX(Tasks[UID],SMALL(Tasks[_PickKey],Tasks[[#This Row],[_Row]]))&amp;" "&amp;INDEX(Tasks[Task Name],SMALL(Tasks[_PickKey],Tasks[[#This Row],[_Row]])),"")</f>
        <v/>
      </c>
      <c r="HE108" s="42">
        <f>IF(Tasks[[#This Row],[Task Name]]="","",IF(Tasks[[#This Row],[_IsSummary]],NETWORKDAYS.INTL(Tasks[[#This Row],[Start]],Tasks[[#This Row],[Finish]],WorkWeek,Holidays),N(Tasks[[#This Row],[_Days]])))</f>
        <v/>
      </c>
      <c r="HF108" s="42">
        <f>IF(Tasks[[#This Row],[Expected]]="",0,((Tasks[[#This Row],[Pessimistic]]-Tasks[[#This Row],[Optimistic]])/6)^2)</f>
        <v/>
      </c>
      <c r="HG108" s="42">
        <f>IF(Tasks[[#This Row],[Expected]]="",0,Tasks[[#This Row],[Expected]]-N(Tasks[[#This Row],[_Days]]))</f>
        <v/>
      </c>
    </row>
    <row r="109">
      <c r="A109" s="21">
        <f>IF(Tasks[[#This Row],[Task Name]]="","",COUNTA(Tasks[[#Headers],[Task Name]]:Tasks[[#This Row],[Task Name]])-1)</f>
        <v/>
      </c>
      <c r="B109" s="22" t="n">
        <v>117</v>
      </c>
      <c r="C109" s="22" t="n"/>
      <c r="D109" s="23" t="n"/>
      <c r="E109" s="22" t="n"/>
      <c r="F109" s="23" t="n"/>
      <c r="G109" s="22" t="n"/>
      <c r="H109" s="22" t="n"/>
      <c r="I109" s="23" t="n"/>
      <c r="J109" s="22" t="n"/>
      <c r="K109" s="22" t="n"/>
      <c r="L109" s="23" t="n"/>
      <c r="M109" s="22" t="n"/>
      <c r="N109" s="22" t="n"/>
      <c r="O109" s="23" t="n"/>
      <c r="P109" s="22" t="n"/>
      <c r="Q109" s="22" t="n"/>
      <c r="R109" s="23" t="n"/>
      <c r="S109" s="23" t="n"/>
      <c r="T109" s="82" t="n"/>
      <c r="U109" s="23" t="n"/>
      <c r="V109" s="82" t="n"/>
      <c r="W109" s="23" t="n"/>
      <c r="X109" s="82" t="n"/>
      <c r="Y109" s="23" t="n"/>
      <c r="Z109" s="82" t="n"/>
      <c r="AA109" s="23" t="n"/>
      <c r="AB109" s="23" t="n"/>
      <c r="AC109" s="7" t="n"/>
      <c r="AD109" s="7" t="n"/>
      <c r="AE109" s="61">
        <f>IF(Tasks[[#This Row],[Task Name]]="","",IF(Tasks[[#This Row],[_IsSummary]],MIN(INDEX(Tasks[_ShownFcstStart],Tasks[[#This Row],[_Row]]+1):INDEX(Tasks[_ShownFcstStart],Tasks[[#This Row],[_Row]]+Tasks[[#This Row],[_Descendants]])),Tasks[[#This Row],[_ShownFcstStart]]))</f>
        <v/>
      </c>
      <c r="AF109" s="61">
        <f>IF(Tasks[[#This Row],[Task Name]]="","",IF(Tasks[[#This Row],[_IsSummary]],MAX(INDEX(Tasks[_ShownFcstFinish],Tasks[[#This Row],[_Row]]+1):INDEX(Tasks[_ShownFcstFinish],Tasks[[#This Row],[_Row]]+Tasks[[#This Row],[_Descendants]])),Tasks[[#This Row],[_ShownFcstFinish]]))</f>
        <v/>
      </c>
      <c r="AG109" s="21">
        <f>""</f>
        <v/>
      </c>
      <c r="AH109" s="23" t="n"/>
      <c r="AI10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09" s="7" t="n"/>
      <c r="AK109" s="22" t="n"/>
      <c r="AL109" s="23" t="n"/>
      <c r="AM109" s="7" t="n"/>
      <c r="AN109" s="21">
        <f>IF(Tasks[[#This Row],[Task Name]]="","",IF(Tasks[[#This Row],[Finish]]&gt;=Tasks[[#This Row],[Planned Finish]],NETWORKDAYS.INTL(Tasks[[#This Row],[Planned Finish]],Tasks[[#This Row],[Finish]],WorkWeek,Holidays)-1,1-NETWORKDAYS.INTL(Tasks[[#This Row],[Finish]],Tasks[[#This Row],[Planned Finish]],WorkWeek,Holidays)))</f>
        <v/>
      </c>
      <c r="AO109" s="21">
        <f>IF(Tasks[[#This Row],[Task Name]]="","",IF(Tasks[[#This Row],[Progress]]&gt;=1,"Complete",IF(OR(N(Tasks[[#This Row],[Actual Start]])&gt;0,Tasks[[#This Row],[Progress]]&gt;0),IF(Tasks[[#This Row],[Finish Var]]&gt;0,"Behind","In Progress"),IF(Tasks[[#This Row],[Planned Start]]&lt;StatusDate,"Late Start","Not Started"))))</f>
        <v/>
      </c>
      <c r="AP109" s="21">
        <f>IF(Tasks[[#This Row],[Task Name]]="","",IF(IF(Tasks[[#This Row],[_IsSummary]],COUNTIF(INDEX(Tasks[_LeafCritical],Tasks[[#This Row],[_Row]]+1):INDEX(Tasks[_LeafCritical],Tasks[[#This Row],[_Row]]+Tasks[[#This Row],[_Descendants]]),TRUE())&gt;0,Tasks[[#This Row],[_LeafCritical]]),"Yes",""))</f>
        <v/>
      </c>
      <c r="AQ109" s="61">
        <f>IF(Tasks[[#This Row],[Task Name]]="","",IF(N(Tasks[[#This Row],[Baseline Start]])&gt;0,Tasks[[#This Row],[Baseline Start]],Tasks[[#This Row],[_CalcStart]]))</f>
        <v/>
      </c>
      <c r="AR109" s="61">
        <f>IF(Tasks[[#This Row],[Task Name]]="","",IF(N(Tasks[[#This Row],[Baseline Finish]])&gt;0,Tasks[[#This Row],[Baseline Finish]],Tasks[[#This Row],[_CalcFinish]]))</f>
        <v/>
      </c>
      <c r="AS109" s="21">
        <f>IF(Tasks[[#This Row],[Task Name]]="","",IF(Tasks[[#This Row],[Start]]&gt;=Tasks[[#This Row],[Planned Start]],NETWORKDAYS.INTL(Tasks[[#This Row],[Planned Start]],Tasks[[#This Row],[Start]],WorkWeek,Holidays)-1,1-NETWORKDAYS.INTL(Tasks[[#This Row],[Start]],Tasks[[#This Row],[Planned Start]],WorkWeek,Holidays)))</f>
        <v/>
      </c>
      <c r="AT109" s="61">
        <f>IF(Tasks[[#This Row],[Task Name]]="","",IF(Tasks[[#This Row],[_IsSummary]],MIN(INDEX(Tasks[_LeafLateStart],Tasks[[#This Row],[_Row]]+1):INDEX(Tasks[_LeafLateStart],Tasks[[#This Row],[_Row]]+Tasks[[#This Row],[_Descendants]])),Tasks[[#This Row],[_LeafLateStart]]))</f>
        <v/>
      </c>
      <c r="AU109" s="61">
        <f>IF(Tasks[[#This Row],[Task Name]]="","",IF(Tasks[[#This Row],[_IsSummary]],MAX(INDEX(Tasks[_LeafLateFinish],Tasks[[#This Row],[_Row]]+1):INDEX(Tasks[_LeafLateFinish],Tasks[[#This Row],[_Row]]+Tasks[[#This Row],[_Descendants]])),Tasks[[#This Row],[_LeafLateFinish]]))</f>
        <v/>
      </c>
      <c r="AV109" s="21">
        <f>IF(Tasks[[#This Row],[Task Name]]="","",IF(Tasks[[#This Row],[_IsSummary]],MIN(INDEX(Tasks[_LeafTotalSlack],Tasks[[#This Row],[_Row]]+1):INDEX(Tasks[_LeafTotalSlack],Tasks[[#This Row],[_Row]]+Tasks[[#This Row],[_Descendants]])),Tasks[[#This Row],[_LeafTotalSlack]]))</f>
        <v/>
      </c>
      <c r="AW10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3" t="n"/>
      <c r="BA10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f>IF(Tasks[[#This Row],[Task Name]]="","",IF(Tasks[[#This Row],[_Level]]&lt;=OutlineShowLevel,"Yes","No"))</f>
        <v/>
      </c>
      <c r="BE109" s="84">
        <f>IF(Tasks[[#This Row],[Task Name]]="","",IF(Tasks[[#This Row],[_IsSummary]],SUM(INDEX(Tasks[_LeafTotalWork],Tasks[[#This Row],[_Row]]+1):INDEX(Tasks[_LeafTotalWork],Tasks[[#This Row],[_Row]]+Tasks[[#This Row],[_Descendants]])),Tasks[[#This Row],[_LeafTotalWork]]))</f>
        <v/>
      </c>
      <c r="BF109" s="23" t="n"/>
      <c r="BG10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f>""</f>
        <v/>
      </c>
      <c r="BI109" s="85" t="n"/>
      <c r="BJ109" s="22" t="n"/>
      <c r="BK109" s="21">
        <f>IF(OR(Tasks[[#This Row],[Task Name]]="",Tasks[[#This Row],[Baseline Duration]]=""),"",Tasks[[#This Row],[_SpanDays]]-N(Tasks[[#This Row],[Baseline Duration]]))</f>
        <v/>
      </c>
      <c r="BL109" s="84">
        <f>IF(OR(Tasks[[#This Row],[Task Name]]="",Tasks[[#This Row],[Baseline Work]]=""),"",Tasks[[#This Row],[Work]]-N(Tasks[[#This Row],[Baseline Work]]))</f>
        <v/>
      </c>
      <c r="BM109" s="61">
        <f>IF(Tasks[[#This Row],[Task Name]]="","",IF(OR(TakeBaseline="Yes",N(Tasks[[#This Row],[Baseline Start]])=0),Tasks[[#This Row],[Start]],Tasks[[#This Row],[Baseline Start]]))</f>
        <v/>
      </c>
      <c r="BN109" s="61">
        <f>IF(Tasks[[#This Row],[Task Name]]="","",IF(OR(TakeBaseline="Yes",N(Tasks[[#This Row],[Baseline Finish]])=0),Tasks[[#This Row],[Finish]],Tasks[[#This Row],[Baseline Finish]]))</f>
        <v/>
      </c>
      <c r="BO109" s="21">
        <f>IF(Tasks[[#This Row],[Task Name]]="","",IF(OR(TakeBaseline="Yes",N(Tasks[[#This Row],[Baseline Duration]])=0),Tasks[[#This Row],[_SpanDays]],Tasks[[#This Row],[Baseline Duration]]))</f>
        <v/>
      </c>
      <c r="BP109" s="84">
        <f>IF(Tasks[[#This Row],[Task Name]]="","",IF(OR(TakeBaseline="Yes",N(Tasks[[#This Row],[Baseline Work]])=0),Tasks[[#This Row],[Work]],Tasks[[#This Row],[Baseline Work]]))</f>
        <v/>
      </c>
      <c r="BQ109" s="7" t="n"/>
      <c r="BR109" s="7" t="n"/>
      <c r="BS109" s="22" t="n"/>
      <c r="BT109" s="86" t="n"/>
      <c r="BU109" s="23" t="n"/>
      <c r="BV109" s="23" t="n"/>
      <c r="BW109" s="23" t="n"/>
      <c r="BX109" s="87">
        <f>IF(AND(Tasks[[#This Row],[_IsLeaf]]=1,ISNUMBER(Tasks[[#This Row],[Optimistic]]),ISNUMBER(Tasks[[#This Row],[Pessimistic]])),ROUND((Tasks[[#This Row],[Optimistic]]+4*N(Tasks[[#This Row],[_Days]])+Tasks[[#This Row],[Pessimistic]])/6,1),"")</f>
        <v/>
      </c>
      <c r="BY109" s="85" t="n"/>
      <c r="BZ109" s="85" t="n"/>
      <c r="CA109" s="22" t="n"/>
      <c r="CB109" s="42">
        <f>IF(Tasks[[#This Row],[Task Name]]="","",MAX(1,N(Tasks[[#This Row],[Level]])))</f>
        <v/>
      </c>
      <c r="CC109" s="42">
        <f>ROW()-ROW(Tasks[[#Headers],[ID]])</f>
        <v/>
      </c>
      <c r="CD109" s="42">
        <f>IF(OR(Tasks[[#This Row],[Task Name]]="",Tasks[[#This Row],[_Level]]&lt;=1),0,IFERROR(LOOKUP(2,1/(Tasks[[#Headers],[_Level]]:Tasks[[#This Row],[_Level]]=Tasks[[#This Row],[_Level]]-1),ROW(Tasks[[#Headers],[_Level]]:Tasks[[#This Row],[_Level]])),0))</f>
        <v/>
      </c>
      <c r="CE109" s="42">
        <f>IFERROR(N(INDEX(Tasks[_Level],Tasks[[#This Row],[_Row]]+1)),0)</f>
        <v/>
      </c>
      <c r="CF109" s="42">
        <f>AND(Tasks[[#This Row],[Task Name]]&lt;&gt;"",Tasks[[#This Row],[_NextLevel]]&gt;Tasks[[#This Row],[_Level]])</f>
        <v/>
      </c>
      <c r="CG109" s="42">
        <f>IF(Tasks[[#This Row],[_IsSummary]],COUNTIF(Tasks[WBS],Tasks[[#This Row],[WBS]]&amp;".*"),0)</f>
        <v/>
      </c>
      <c r="CH109" s="42">
        <f>IF(AND(Tasks[[#This Row],[Task Name]]&lt;&gt;"",NOT(Tasks[[#This Row],[_IsSummary]])),1,0)</f>
        <v/>
      </c>
      <c r="CI109" s="42">
        <f>IF(N(Tasks[[#This Row],[_Pred1UID]])=0,0,IFERROR(MATCH(Tasks[[#This Row],[_Pred1UID]],Tasks[UID],0),-1))</f>
        <v/>
      </c>
      <c r="CJ109" s="42">
        <f>IF(N(Tasks[[#This Row],[_Pred2UID]])=0,0,IFERROR(MATCH(Tasks[[#This Row],[_Pred2UID]],Tasks[UID],0),-1))</f>
        <v/>
      </c>
      <c r="CK109" s="42">
        <f>IF(N(Tasks[[#This Row],[_Pred3UID]])=0,0,IFERROR(MATCH(Tasks[[#This Row],[_Pred3UID]],Tasks[UID],0),-1))</f>
        <v/>
      </c>
      <c r="CL109" s="42">
        <f>IF(N(Tasks[[#This Row],[_Pred4UID]])=0,0,IFERROR(MATCH(Tasks[[#This Row],[_Pred4UID]],Tasks[UID],0),-1))</f>
        <v/>
      </c>
      <c r="CM10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9" s="88">
        <f>IF(N(Tasks[[#This Row],[Constraint Date]])=0,0,IF(AND(OR(Tasks[[#This Row],[_ConstraintCode]]=3,Tasks[[#This Row],[_ConstraintCode]]=6,Tasks[[#This Row],[_ConstraintCode]]=7),N(Tasks[[#This Row],[_Days]])&gt;1),WORKDAY.INTL(N(Tasks[[#This Row],[Constraint Date]]),-(N(Tasks[[#This Row],[_Days]])-1),WorkWeek,Holidays),N(Tasks[[#This Row],[Constraint Date]])))</f>
        <v/>
      </c>
      <c r="CO109" s="88">
        <f>IF(OR(Tasks[[#This Row],[_ConstraintCode]]=2,Tasks[[#This Row],[_ConstraintCode]]=3,Tasks[[#This Row],[_ConstraintCode]]=4,Tasks[[#This Row],[_ConstraintCode]]=6),Tasks[[#This Row],[_ConstraintStart]],0)</f>
        <v/>
      </c>
      <c r="CP109" s="88">
        <f>IF(OR(Tasks[[#This Row],[_ConstraintCode]]=2,Tasks[[#This Row],[_ConstraintCode]]=3,Tasks[[#This Row],[_ConstraintCode]]=5,Tasks[[#This Row],[_ConstraintCode]]=7),Tasks[[#This Row],[_ConstraintStart]],2958465)</f>
        <v/>
      </c>
      <c r="CQ10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9" s="88">
        <f>IF(NOT(Tasks[[#This Row],[_IsLeaf]]=1),"",IF(N(Tasks[[#This Row],[_Days]])&lt;=0,Tasks[[#This Row],[_LeafCalcStart]],WORKDAY.INTL(Tasks[[#This Row],[_LeafCalcStart]],Tasks[[#This Row],[_Days]]-1,WorkWeek,Holidays)))</f>
        <v/>
      </c>
      <c r="CS10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9" s="42">
        <f>IF(Tasks[[#This Row],[_Predecessors]]="","",TRIM(MID(SUBSTITUTE(SUBSTITUTE(SUBSTITUTE(UPPER(Tasks[[#This Row],[_Predecessors]]),";",",")," ",""),",",REPT(" ",99)),1,99)))</f>
        <v/>
      </c>
      <c r="CV109" s="42">
        <f>IF(Tasks[[#This Row],[_Pred1Text]]="","",IFERROR(VALUE(LEFT(Tasks[[#This Row],[_Pred1Text]],MIN(FIND("F",Tasks[[#This Row],[_Pred1Text]]&amp;"F"),FIND("S",Tasks[[#This Row],[_Pred1Text]]&amp;"S"),FIND("+",Tasks[[#This Row],[_Pred1Text]]&amp;"+"),FIND("-",Tasks[[#This Row],[_Pred1Text]]&amp;"-"))-1)),""))</f>
        <v/>
      </c>
      <c r="CW10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9" s="42">
        <f>IF(Tasks[[#This Row],[_Pred1Text]]="","",TRIM(MID(SUBSTITUTE(SUBSTITUTE(SUBSTITUTE(UPPER(Tasks[[#This Row],[_Predecessors]]),";",",")," ",""),",",REPT(" ",99)),100,99)))</f>
        <v/>
      </c>
      <c r="CZ109" s="42">
        <f>IF(Tasks[[#This Row],[_Pred2Text]]="","",IFERROR(VALUE(LEFT(Tasks[[#This Row],[_Pred2Text]],MIN(FIND("F",Tasks[[#This Row],[_Pred2Text]]&amp;"F"),FIND("S",Tasks[[#This Row],[_Pred2Text]]&amp;"S"),FIND("+",Tasks[[#This Row],[_Pred2Text]]&amp;"+"),FIND("-",Tasks[[#This Row],[_Pred2Text]]&amp;"-"))-1)),""))</f>
        <v/>
      </c>
      <c r="DA10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9" s="42">
        <f>IF(Tasks[[#This Row],[_Pred2Text]]="","",TRIM(MID(SUBSTITUTE(SUBSTITUTE(SUBSTITUTE(UPPER(Tasks[[#This Row],[_Predecessors]]),";",",")," ",""),",",REPT(" ",99)),199,99)))</f>
        <v/>
      </c>
      <c r="DD109" s="42">
        <f>IF(Tasks[[#This Row],[_Pred3Text]]="","",IFERROR(VALUE(LEFT(Tasks[[#This Row],[_Pred3Text]],MIN(FIND("F",Tasks[[#This Row],[_Pred3Text]]&amp;"F"),FIND("S",Tasks[[#This Row],[_Pred3Text]]&amp;"S"),FIND("+",Tasks[[#This Row],[_Pred3Text]]&amp;"+"),FIND("-",Tasks[[#This Row],[_Pred3Text]]&amp;"-"))-1)),""))</f>
        <v/>
      </c>
      <c r="DE10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9" s="42">
        <f>IF(Tasks[[#This Row],[_Pred3Text]]="","",TRIM(MID(SUBSTITUTE(SUBSTITUTE(SUBSTITUTE(UPPER(Tasks[[#This Row],[_Predecessors]]),";",",")," ",""),",",REPT(" ",99)),298,99)))</f>
        <v/>
      </c>
      <c r="DH109" s="42">
        <f>IF(Tasks[[#This Row],[_Pred4Text]]="","",IFERROR(VALUE(LEFT(Tasks[[#This Row],[_Pred4Text]],MIN(FIND("F",Tasks[[#This Row],[_Pred4Text]]&amp;"F"),FIND("S",Tasks[[#This Row],[_Pred4Text]]&amp;"S"),FIND("+",Tasks[[#This Row],[_Pred4Text]]&amp;"+"),FIND("-",Tasks[[#This Row],[_Pred4Text]]&amp;"-"))-1)),""))</f>
        <v/>
      </c>
      <c r="DI10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9" s="42">
        <f>IF(OR(Tasks[[#This Row],[Task Name]]="",Tasks[[#This Row],[_Resources]]=""),"",TRIM(MID(SUBSTITUTE(Tasks[[#This Row],[_Resources]],",",REPT(" ",99)),1,99)))</f>
        <v/>
      </c>
      <c r="DL109" s="42">
        <f>IF(Tasks[[#This Row],[_Res1Text]]="","",TRIM(MID(SUBSTITUTE(Tasks[[#This Row],[_Resources]],",",REPT(" ",99)),100,99)))</f>
        <v/>
      </c>
      <c r="DM109" s="42">
        <f>IF(Tasks[[#This Row],[_Res2Text]]="","",TRIM(MID(SUBSTITUTE(Tasks[[#This Row],[_Resources]],",",REPT(" ",99)),199,99)))</f>
        <v/>
      </c>
      <c r="DN109" s="42">
        <f>IF(Tasks[[#This Row],[_Res3Text]]="","",TRIM(MID(SUBSTITUTE(Tasks[[#This Row],[_Resources]],",",REPT(" ",99)),298,99)))</f>
        <v/>
      </c>
      <c r="DO109" s="42">
        <f>IF(Tasks[[#This Row],[_Res1Text]]="",0,IFERROR(MATCH(TRIM(LEFT(Tasks[[#This Row],[_Res1Text]],FIND("[",Tasks[[#This Row],[_Res1Text]]&amp;"[")-1)),res_Name,0),IFERROR(MATCH(TRIM(LEFT(Tasks[[#This Row],[_Res1Text]],FIND("[",Tasks[[#This Row],[_Res1Text]]&amp;"[")-1)),res_Initials,0),0)))</f>
        <v/>
      </c>
      <c r="DP109" s="42">
        <f>IF(Tasks[[#This Row],[_Res2Text]]="",0,IFERROR(MATCH(TRIM(LEFT(Tasks[[#This Row],[_Res2Text]],FIND("[",Tasks[[#This Row],[_Res2Text]]&amp;"[")-1)),res_Name,0),IFERROR(MATCH(TRIM(LEFT(Tasks[[#This Row],[_Res2Text]],FIND("[",Tasks[[#This Row],[_Res2Text]]&amp;"[")-1)),res_Initials,0),0)))</f>
        <v/>
      </c>
      <c r="DQ109" s="42">
        <f>IF(Tasks[[#This Row],[_Res3Text]]="",0,IFERROR(MATCH(TRIM(LEFT(Tasks[[#This Row],[_Res3Text]],FIND("[",Tasks[[#This Row],[_Res3Text]]&amp;"[")-1)),res_Name,0),IFERROR(MATCH(TRIM(LEFT(Tasks[[#This Row],[_Res3Text]],FIND("[",Tasks[[#This Row],[_Res3Text]]&amp;"[")-1)),res_Initials,0),0)))</f>
        <v/>
      </c>
      <c r="DR109" s="42">
        <f>IF(Tasks[[#This Row],[_Res4Text]]="",0,IFERROR(MATCH(TRIM(LEFT(Tasks[[#This Row],[_Res4Text]],FIND("[",Tasks[[#This Row],[_Res4Text]]&amp;"[")-1)),res_Name,0),IFERROR(MATCH(TRIM(LEFT(Tasks[[#This Row],[_Res4Text]],FIND("[",Tasks[[#This Row],[_Res4Text]]&amp;"[")-1)),res_Initials,0),0)))</f>
        <v/>
      </c>
      <c r="DS109" s="42">
        <f>IF(Tasks[[#This Row],[_Res1Text]]="","",IF(Tasks[[#This Row],[_Res1Row]]&gt;0,INDEX(res_Name,Tasks[[#This Row],[_Res1Row]]),TRIM(LEFT(Tasks[[#This Row],[_Res1Text]],FIND("[",Tasks[[#This Row],[_Res1Text]]&amp;"[")-1))))</f>
        <v/>
      </c>
      <c r="DT10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9" s="42">
        <f>IF(NOT(Tasks[[#This Row],[_IsLeaf]]=1),0,(Tasks[[#This Row],[_Resource1]]&lt;&gt;"")+(Tasks[[#This Row],[_Res2]]&lt;&gt;"")+(Tasks[[#This Row],[_Res3]]&lt;&gt;"")+(Tasks[[#This Row],[_Res4]]&lt;&gt;""))</f>
        <v/>
      </c>
      <c r="DV109" s="42">
        <f>IF(Tasks[[#This Row],[_Res2Text]]="","",IF(Tasks[[#This Row],[_Res2Row]]&gt;0,INDEX(res_Name,Tasks[[#This Row],[_Res2Row]]),TRIM(LEFT(Tasks[[#This Row],[_Res2Text]],FIND("[",Tasks[[#This Row],[_Res2Text]]&amp;"[")-1))))</f>
        <v/>
      </c>
      <c r="DW10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9" s="42">
        <f>IF(OR(NOT(Tasks[[#This Row],[_IsLeaf]]=1),Tasks[[#This Row],[_Res2Row]]=0),0,N(Tasks[[#This Row],[_Days]])*HoursPerDay*IF(Tasks[[#This Row],[_Res2Units]]="",DefaultUnits,Tasks[[#This Row],[_Res2Units]]))</f>
        <v/>
      </c>
      <c r="DY109" s="42">
        <f>IF(AND(AND(Tasks[[#This Row],[_IsLeaf]]=1,Tasks[[#This Row],[_LeafTotalWork]]&gt;0),Tasks[[#This Row],[_Res2Work]]&gt;0),Tasks[[#This Row],[_Res2Work]]/(Tasks[[#This Row],[_FinishWorkday]]-Tasks[[#This Row],[_StartWorkday]]+1),0)</f>
        <v/>
      </c>
      <c r="DZ109" s="42">
        <f>Tasks[[#This Row],[_Res2WorkPerWD]]*MAX(0,Tasks[[#This Row],[_StartWorkday]]-1)</f>
        <v/>
      </c>
      <c r="EA109" s="42">
        <f>Tasks[[#This Row],[_Res2Work]]*Tasks[[#This Row],[_LeafProgress]]</f>
        <v/>
      </c>
      <c r="EB109" s="42">
        <f>IF(Tasks[[#This Row],[_Res3Text]]="","",IF(Tasks[[#This Row],[_Res3Row]]&gt;0,INDEX(res_Name,Tasks[[#This Row],[_Res3Row]]),TRIM(LEFT(Tasks[[#This Row],[_Res3Text]],FIND("[",Tasks[[#This Row],[_Res3Text]]&amp;"[")-1))))</f>
        <v/>
      </c>
      <c r="EC10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9" s="42">
        <f>IF(OR(NOT(Tasks[[#This Row],[_IsLeaf]]=1),Tasks[[#This Row],[_Res3Row]]=0),0,N(Tasks[[#This Row],[_Days]])*HoursPerDay*IF(Tasks[[#This Row],[_Res3Units]]="",DefaultUnits,Tasks[[#This Row],[_Res3Units]]))</f>
        <v/>
      </c>
      <c r="EE109" s="42">
        <f>IF(AND(AND(Tasks[[#This Row],[_IsLeaf]]=1,Tasks[[#This Row],[_LeafTotalWork]]&gt;0),Tasks[[#This Row],[_Res3Work]]&gt;0),Tasks[[#This Row],[_Res3Work]]/(Tasks[[#This Row],[_FinishWorkday]]-Tasks[[#This Row],[_StartWorkday]]+1),0)</f>
        <v/>
      </c>
      <c r="EF109" s="42">
        <f>Tasks[[#This Row],[_Res3WorkPerWD]]*MAX(0,Tasks[[#This Row],[_StartWorkday]]-1)</f>
        <v/>
      </c>
      <c r="EG109" s="42">
        <f>Tasks[[#This Row],[_Res3Work]]*Tasks[[#This Row],[_LeafProgress]]</f>
        <v/>
      </c>
      <c r="EH109" s="42">
        <f>IF(Tasks[[#This Row],[_Res4Text]]="","",IF(Tasks[[#This Row],[_Res4Row]]&gt;0,INDEX(res_Name,Tasks[[#This Row],[_Res4Row]]),TRIM(LEFT(Tasks[[#This Row],[_Res4Text]],FIND("[",Tasks[[#This Row],[_Res4Text]]&amp;"[")-1))))</f>
        <v/>
      </c>
      <c r="EI10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9" s="42">
        <f>IF(OR(NOT(Tasks[[#This Row],[_IsLeaf]]=1),Tasks[[#This Row],[_Res4Row]]=0),0,N(Tasks[[#This Row],[_Days]])*HoursPerDay*IF(Tasks[[#This Row],[_Res4Units]]="",DefaultUnits,Tasks[[#This Row],[_Res4Units]]))</f>
        <v/>
      </c>
      <c r="EK109" s="42">
        <f>IF(AND(AND(Tasks[[#This Row],[_IsLeaf]]=1,Tasks[[#This Row],[_LeafTotalWork]]&gt;0),Tasks[[#This Row],[_Res4Work]]&gt;0),Tasks[[#This Row],[_Res4Work]]/(Tasks[[#This Row],[_FinishWorkday]]-Tasks[[#This Row],[_StartWorkday]]+1),0)</f>
        <v/>
      </c>
      <c r="EL109" s="42">
        <f>Tasks[[#This Row],[_Res4WorkPerWD]]*MAX(0,Tasks[[#This Row],[_StartWorkday]]-1)</f>
        <v/>
      </c>
      <c r="EM109" s="42">
        <f>Tasks[[#This Row],[_Res4Work]]*Tasks[[#This Row],[_LeafProgress]]</f>
        <v/>
      </c>
      <c r="EN109" s="42">
        <f>IF(ISNUMBER(Tasks[[#This Row],[% Complete]]),Tasks[[#This Row],[% Complete]],IF(Tasks[[#This Row],[Stage]]="",0,IFERROR(INDEX(stg_Pct,MATCH(Tasks[[#This Row],[Stage]],stg_Name,0)),0)))</f>
        <v/>
      </c>
      <c r="EO109" s="42">
        <f>IF(NOT(Tasks[[#This Row],[_IsLeaf]]=1),0,IF(N(Tasks[[#This Row],[Actual Finish]])&gt;0,1,MIN(1,Tasks[[#This Row],[_Pct]])))</f>
        <v/>
      </c>
      <c r="EP109" s="42">
        <f>IF(OR(NOT(Tasks[[#This Row],[_IsLeaf]]=1),Tasks[[#This Row],[_Res1Row]]=0),0,N(Tasks[[#This Row],[_Days]])*HoursPerDay*IF(Tasks[[#This Row],[_Units1]]="",DefaultUnits,Tasks[[#This Row],[_Units1]]))</f>
        <v/>
      </c>
      <c r="EQ109" s="42">
        <f>Tasks[[#This Row],[_LeafWork]]+Tasks[[#This Row],[_Res2Work]]+Tasks[[#This Row],[_Res3Work]]+Tasks[[#This Row],[_Res4Work]]</f>
        <v/>
      </c>
      <c r="ER10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9" s="42">
        <f>IF(NOT(Tasks[[#This Row],[_IsLeaf]]=1),0,MAX(_xlfn.MAXIFS(Tasks[_Row],Tasks[_Pred1UID],Tasks[[#This Row],[UID]]),_xlfn.MAXIFS(Tasks[_Row],Tasks[_Pred2UID],Tasks[[#This Row],[UID]]),_xlfn.MAXIFS(Tasks[_Row],Tasks[_Pred3UID],Tasks[[#This Row],[UID]]),_xlfn.MAXIFS(Tasks[_Row],Tasks[_Pred4UID],Tasks[[#This Row],[UID]])))</f>
        <v/>
      </c>
      <c r="FA10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9" s="88">
        <f>IF(NOT(Tasks[[#This Row],[_IsLeaf]]=1),"",IF(N(Tasks[[#This Row],[_Days]])&lt;=0,Tasks[[#This Row],[_LeafLateFinish]],WORKDAY.INTL(Tasks[[#This Row],[_LeafLateFinish]],-(Tasks[[#This Row],[_Days]]-1),WorkWeek,Holidays)))</f>
        <v/>
      </c>
      <c r="FD10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9" s="42">
        <f>AND(Tasks[[#This Row],[_IsLeaf]]=1,Tasks[[#This Row],[_LeafProgress]]&lt;1,N(Tasks[[#This Row],[_LeafTotalSlack]])&lt;=CriticalSlackDays)</f>
        <v/>
      </c>
      <c r="FF109" s="42">
        <f>IF(AND(Tasks[[#This Row],[_IsLeaf]]=1,Tasks[[#This Row],[_ConstraintCode]]=1,Tasks[[#This Row],[Mode]]&lt;&gt;"Manual",N(Tasks[[#This Row],[Actual Start]])=0),MAX(0,N(Tasks[[#This Row],[Free Slack]])),0)</f>
        <v/>
      </c>
      <c r="FG109" s="88">
        <f>IF(NOT(Tasks[[#This Row],[_IsLeaf]]=1),"",IF(Tasks[[#This Row],[_AlapShift]]=0,Tasks[[#This Row],[_LeafCalcStart]],WORKDAY.INTL(Tasks[[#This Row],[_LeafCalcStart]],Tasks[[#This Row],[_AlapShift]],WorkWeek,Holidays)))</f>
        <v/>
      </c>
      <c r="FH109" s="88">
        <f>IF(NOT(Tasks[[#This Row],[_IsLeaf]]=1),"",IF(Tasks[[#This Row],[_AlapShift]]=0,Tasks[[#This Row],[_LeafCalcFinish]],WORKDAY.INTL(Tasks[[#This Row],[_LeafCalcFinish]],Tasks[[#This Row],[_AlapShift]],WorkWeek,Holidays)))</f>
        <v/>
      </c>
      <c r="FI109" s="88">
        <f>IF(NOT(Tasks[[#This Row],[_IsLeaf]]=1),"",IF(Tasks[[#This Row],[_AlapShift]]=0,Tasks[[#This Row],[_LeafFcstStart]],WORKDAY.INTL(Tasks[[#This Row],[_LeafFcstStart]],Tasks[[#This Row],[_AlapShift]],WorkWeek,Holidays)))</f>
        <v/>
      </c>
      <c r="FJ109" s="88">
        <f>IF(NOT(Tasks[[#This Row],[_IsLeaf]]=1),"",IF(Tasks[[#This Row],[_AlapShift]]=0,Tasks[[#This Row],[_LeafFcstFinish]],WORKDAY.INTL(Tasks[[#This Row],[_LeafFcstFinish]],Tasks[[#This Row],[_AlapShift]],WorkWeek,Holidays)))</f>
        <v/>
      </c>
      <c r="FK109" s="88">
        <f>IF(Tasks[[#This Row],[Task Name]]="","",IF(Tasks[[#This Row],[_IsSummary]],MIN(INDEX(Tasks[_ShownCalcStart],Tasks[[#This Row],[_Row]]+1):INDEX(Tasks[_ShownCalcStart],Tasks[[#This Row],[_Row]]+Tasks[[#This Row],[_Descendants]])),Tasks[[#This Row],[_ShownCalcStart]]))</f>
        <v/>
      </c>
      <c r="FL109" s="88">
        <f>IF(Tasks[[#This Row],[Task Name]]="","",IF(Tasks[[#This Row],[_IsSummary]],MAX(INDEX(Tasks[_ShownCalcFinish],Tasks[[#This Row],[_Row]]+1):INDEX(Tasks[_ShownCalcFinish],Tasks[[#This Row],[_Row]]+Tasks[[#This Row],[_Descendants]])),Tasks[[#This Row],[_ShownCalcFinish]]))</f>
        <v/>
      </c>
      <c r="FM10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9" s="42">
        <f>IF(AND(Tasks[[#This Row],[_IsLeaf]]=1,Tasks[[#This Row],[_LeafTotalWork]]&gt;0),NETWORKDAYS.INTL(ProjectStart,Tasks[[#This Row],[_ShownFcstStart]],WorkWeek,Holidays),0)</f>
        <v/>
      </c>
      <c r="FZ109" s="42">
        <f>IF(AND(Tasks[[#This Row],[_IsLeaf]]=1,Tasks[[#This Row],[_LeafTotalWork]]&gt;0),MAX(Tasks[[#This Row],[_StartWorkday]],NETWORKDAYS.INTL(ProjectStart,Tasks[[#This Row],[_ShownFcstFinish]],WorkWeek,Holidays)),0)</f>
        <v/>
      </c>
      <c r="GA109" s="42">
        <f>IF(AND(Tasks[[#This Row],[_IsLeaf]]=1,Tasks[[#This Row],[_LeafTotalWork]]&gt;0),Tasks[[#This Row],[_LeafWork]]/(Tasks[[#This Row],[_FinishWorkday]]-Tasks[[#This Row],[_StartWorkday]]+1),0)</f>
        <v/>
      </c>
      <c r="GB109" s="42">
        <f>Tasks[[#This Row],[_WorkPerWorkday]]*(Tasks[[#This Row],[_StartWorkday]]-1)</f>
        <v/>
      </c>
      <c r="GC109" s="42">
        <f>IF(Tasks[[#This Row],[_IsLeaf]]=1,MAX(N(Tasks[[#This Row],[_Days]]),0.1),0)</f>
        <v/>
      </c>
      <c r="GD109" s="42">
        <f>Tasks[[#This Row],[_WeightDur]]*Tasks[[#This Row],[_LeafProgress]]</f>
        <v/>
      </c>
      <c r="GE109" s="42">
        <f>Tasks[[#This Row],[_WeightDur]]*Tasks[[#This Row],[_PlannedPct]]</f>
        <v/>
      </c>
      <c r="GF10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9" s="42">
        <f>IF(AND(Tasks[[#This Row],[_IsLeaf]]=1,N(Tasks[[#This Row],[_Days]])=0,Tasks[[#This Row],[_LeafProgress]]&lt;1),Tasks[[#This Row],[_ShownFcstFinish]]+Tasks[[#This Row],[_Row]]/100000,"")</f>
        <v/>
      </c>
      <c r="GH10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9" s="42">
        <f>IF(Tasks[[#This Row],[Task Name]]="","",LEFT(Tasks[[#This Row],[WBS]],FIND(".",Tasks[[#This Row],[WBS]]&amp;".")-1))</f>
        <v/>
      </c>
      <c r="GJ109" s="42">
        <f>IF(AND(Tasks[[#This Row],[Task Name]]&lt;&gt;"",Tasks[[#This Row],[_Level]]=1),Tasks[[#This Row],[_Row]],"")</f>
        <v/>
      </c>
      <c r="GK109" s="42">
        <f>IF(AND(Tasks[[#This Row],[_IsLeaf]]=1,N(Tasks[[#This Row],[_Days]])=0),Tasks[[#This Row],[Planned Finish]]+Tasks[[#This Row],[_Row]]/100000,"")</f>
        <v/>
      </c>
      <c r="GL109" s="42">
        <f>IF(AND(Tasks[[#This Row],[_IsLeaf]]=1,Tasks[[#This Row],[_LeafProgress]]&lt;1,OR(N(Tasks[[#This Row],[Finish Var]])&gt;0,Tasks[[#This Row],[Status]]="Late Start")),MAX(0,Tasks[[#This Row],[Finish Var]])+1-Tasks[[#This Row],[_Row]]/1000000,"")</f>
        <v/>
      </c>
      <c r="GM109" s="42">
        <f>IF(AND(Tasks[[#This Row],[_IsLeaf]]=1,N(Tasks[[#This Row],[Actual Start]])=0,Tasks[[#This Row],[_ShownFcstStart]]&gt;=StatusDate,Tasks[[#This Row],[_ShownFcstStart]]&lt;=LookaheadEnd),Tasks[[#This Row],[_ShownFcstStart]]+Tasks[[#This Row],[_Row]]/100000,"")</f>
        <v/>
      </c>
      <c r="GN109" s="42">
        <f>IF(AND(Tasks[[#This Row],[_IsLeaf]]=1,Tasks[[#This Row],[_LeafProgress]]&lt;1,Tasks[[#This Row],[_ShownFcstFinish]]&gt;=StatusDate,Tasks[[#This Row],[_ShownFcstFinish]]&lt;=LookaheadEnd),Tasks[[#This Row],[_ShownFcstFinish]]+Tasks[[#This Row],[_Row]]/100000,"")</f>
        <v/>
      </c>
      <c r="GO109" s="42">
        <f>IF(Tasks[[#This Row],[_LeafCritical]],Tasks[[#This Row],[_ShownFcstStart]]+Tasks[[#This Row],[_Row]]/100000,"")</f>
        <v/>
      </c>
      <c r="GP109" s="42">
        <f>Tasks[[#This Row],[_LeafWork]]*Tasks[[#This Row],[_LeafProgress]]</f>
        <v/>
      </c>
      <c r="GQ109" s="88">
        <f>IF(AND(Tasks[[#This Row],[_IsLeaf]]=1,Tasks[[#This Row],[_LeafProgress]]&gt;=1),IF(N(Tasks[[#This Row],[Actual Finish]])&gt;0,Tasks[[#This Row],[Actual Finish]],Tasks[[#This Row],[_ShownFcstFinish]]),"")</f>
        <v/>
      </c>
      <c r="GR109" s="42">
        <f>IF(Tasks[[#This Row],[_IsLeaf]]=1,N(Tasks[[#This Row],[Story Points]]),0)</f>
        <v/>
      </c>
      <c r="GS109" s="42">
        <f>""</f>
        <v/>
      </c>
      <c r="GT109" s="42">
        <f>IF(Tasks[[#This Row],[Task Name]]="",FALSE(),AND(Tasks[[#This Row],[_IsLeaf]]=1,N(Tasks[[#This Row],[_Days]])=0))</f>
        <v/>
      </c>
      <c r="GU109" s="88">
        <f>IF(Tasks[[#This Row],[Task Name]]="",0,IF(AND(Tasks[[#This Row],[_IsLeaf]]=1,NOT(Tasks[[#This Row],[_IsMilestone]]),N(Tasks[[#This Row],[Progress]])&gt;0),Tasks[[#This Row],[Start]],0))</f>
        <v/>
      </c>
      <c r="GV109" s="88">
        <f>IF(Tasks[[#This Row],[_DoneFrom]]=0,0,IF(Tasks[[#This Row],[Progress]]&gt;=1,Tasks[[#This Row],[Finish]],MAX(Tasks[[#This Row],[_DoneFrom]],Tasks[[#This Row],[Start]]+ROUND((Tasks[[#This Row],[Finish]]-Tasks[[#This Row],[Start]]+1)*Tasks[[#This Row],[Progress]],0)-1)))</f>
        <v/>
      </c>
      <c r="GW109" s="88">
        <f>IF(Tasks[[#This Row],[Task Name]]="",0,IF(OR(NOT(Tasks[[#This Row],[_IsLeaf]]=1),Tasks[[#This Row],[_IsMilestone]],N(Tasks[[#This Row],[Progress]])&gt;=1),0,IF(Tasks[[#This Row],[_DoneTo]]&gt;0,Tasks[[#This Row],[_DoneTo]]+1,Tasks[[#This Row],[Start]])))</f>
        <v/>
      </c>
      <c r="GX109" s="88">
        <f>IF(Tasks[[#This Row],[_RemFrom]]=0,0,Tasks[[#This Row],[Finish]])</f>
        <v/>
      </c>
      <c r="GY109" s="42">
        <f>IF(Tasks[[#This Row],[Task Name]]="",FALSE(),OR(NOT(BaselineSet),N(Tasks[[#This Row],[Baseline Start]])&gt;0))</f>
        <v/>
      </c>
      <c r="GZ109" s="42">
        <f>IF(AND(Sandbox="Yes",L_PARSE_DURATION(Tasks[[#This Row],[Sandbox Duration]])&lt;&gt;""),L_PARSE_DURATION(Tasks[[#This Row],[Sandbox Duration]]),L_PARSE_DURATION(Tasks[[#This Row],[Duration]]))</f>
        <v/>
      </c>
      <c r="HA10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0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9" s="42">
        <f>IF(Tasks[[#This Row],[_IsLeaf]]=1,Tasks[[#This Row],[_Row]],"")</f>
        <v/>
      </c>
      <c r="HD109" s="42">
        <f>IFERROR(INDEX(Tasks[UID],SMALL(Tasks[_PickKey],Tasks[[#This Row],[_Row]]))&amp;" "&amp;INDEX(Tasks[Task Name],SMALL(Tasks[_PickKey],Tasks[[#This Row],[_Row]])),"")</f>
        <v/>
      </c>
      <c r="HE109" s="42">
        <f>IF(Tasks[[#This Row],[Task Name]]="","",IF(Tasks[[#This Row],[_IsSummary]],NETWORKDAYS.INTL(Tasks[[#This Row],[Start]],Tasks[[#This Row],[Finish]],WorkWeek,Holidays),N(Tasks[[#This Row],[_Days]])))</f>
        <v/>
      </c>
      <c r="HF109" s="42">
        <f>IF(Tasks[[#This Row],[Expected]]="",0,((Tasks[[#This Row],[Pessimistic]]-Tasks[[#This Row],[Optimistic]])/6)^2)</f>
        <v/>
      </c>
      <c r="HG109" s="42">
        <f>IF(Tasks[[#This Row],[Expected]]="",0,Tasks[[#This Row],[Expected]]-N(Tasks[[#This Row],[_Days]]))</f>
        <v/>
      </c>
    </row>
    <row r="110">
      <c r="A110" s="21">
        <f>IF(Tasks[[#This Row],[Task Name]]="","",COUNTA(Tasks[[#Headers],[Task Name]]:Tasks[[#This Row],[Task Name]])-1)</f>
        <v/>
      </c>
      <c r="B110" s="22" t="n">
        <v>118</v>
      </c>
      <c r="C110" s="22" t="n"/>
      <c r="D110" s="23" t="n"/>
      <c r="E110" s="22" t="n"/>
      <c r="F110" s="23" t="n"/>
      <c r="G110" s="22" t="n"/>
      <c r="H110" s="22" t="n"/>
      <c r="I110" s="23" t="n"/>
      <c r="J110" s="22" t="n"/>
      <c r="K110" s="22" t="n"/>
      <c r="L110" s="23" t="n"/>
      <c r="M110" s="22" t="n"/>
      <c r="N110" s="22" t="n"/>
      <c r="O110" s="23" t="n"/>
      <c r="P110" s="22" t="n"/>
      <c r="Q110" s="22" t="n"/>
      <c r="R110" s="23" t="n"/>
      <c r="S110" s="23" t="n"/>
      <c r="T110" s="82" t="n"/>
      <c r="U110" s="23" t="n"/>
      <c r="V110" s="82" t="n"/>
      <c r="W110" s="23" t="n"/>
      <c r="X110" s="82" t="n"/>
      <c r="Y110" s="23" t="n"/>
      <c r="Z110" s="82" t="n"/>
      <c r="AA110" s="23" t="n"/>
      <c r="AB110" s="23" t="n"/>
      <c r="AC110" s="7" t="n"/>
      <c r="AD110" s="7" t="n"/>
      <c r="AE110" s="61">
        <f>IF(Tasks[[#This Row],[Task Name]]="","",IF(Tasks[[#This Row],[_IsSummary]],MIN(INDEX(Tasks[_ShownFcstStart],Tasks[[#This Row],[_Row]]+1):INDEX(Tasks[_ShownFcstStart],Tasks[[#This Row],[_Row]]+Tasks[[#This Row],[_Descendants]])),Tasks[[#This Row],[_ShownFcstStart]]))</f>
        <v/>
      </c>
      <c r="AF110" s="61">
        <f>IF(Tasks[[#This Row],[Task Name]]="","",IF(Tasks[[#This Row],[_IsSummary]],MAX(INDEX(Tasks[_ShownFcstFinish],Tasks[[#This Row],[_Row]]+1):INDEX(Tasks[_ShownFcstFinish],Tasks[[#This Row],[_Row]]+Tasks[[#This Row],[_Descendants]])),Tasks[[#This Row],[_ShownFcstFinish]]))</f>
        <v/>
      </c>
      <c r="AG110" s="21">
        <f>""</f>
        <v/>
      </c>
      <c r="AH110" s="23" t="n"/>
      <c r="AI11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0" s="7" t="n"/>
      <c r="AK110" s="22" t="n"/>
      <c r="AL110" s="23" t="n"/>
      <c r="AM110" s="7" t="n"/>
      <c r="AN110" s="21">
        <f>IF(Tasks[[#This Row],[Task Name]]="","",IF(Tasks[[#This Row],[Finish]]&gt;=Tasks[[#This Row],[Planned Finish]],NETWORKDAYS.INTL(Tasks[[#This Row],[Planned Finish]],Tasks[[#This Row],[Finish]],WorkWeek,Holidays)-1,1-NETWORKDAYS.INTL(Tasks[[#This Row],[Finish]],Tasks[[#This Row],[Planned Finish]],WorkWeek,Holidays)))</f>
        <v/>
      </c>
      <c r="AO110" s="21">
        <f>IF(Tasks[[#This Row],[Task Name]]="","",IF(Tasks[[#This Row],[Progress]]&gt;=1,"Complete",IF(OR(N(Tasks[[#This Row],[Actual Start]])&gt;0,Tasks[[#This Row],[Progress]]&gt;0),IF(Tasks[[#This Row],[Finish Var]]&gt;0,"Behind","In Progress"),IF(Tasks[[#This Row],[Planned Start]]&lt;StatusDate,"Late Start","Not Started"))))</f>
        <v/>
      </c>
      <c r="AP110" s="21">
        <f>IF(Tasks[[#This Row],[Task Name]]="","",IF(IF(Tasks[[#This Row],[_IsSummary]],COUNTIF(INDEX(Tasks[_LeafCritical],Tasks[[#This Row],[_Row]]+1):INDEX(Tasks[_LeafCritical],Tasks[[#This Row],[_Row]]+Tasks[[#This Row],[_Descendants]]),TRUE())&gt;0,Tasks[[#This Row],[_LeafCritical]]),"Yes",""))</f>
        <v/>
      </c>
      <c r="AQ110" s="61">
        <f>IF(Tasks[[#This Row],[Task Name]]="","",IF(N(Tasks[[#This Row],[Baseline Start]])&gt;0,Tasks[[#This Row],[Baseline Start]],Tasks[[#This Row],[_CalcStart]]))</f>
        <v/>
      </c>
      <c r="AR110" s="61">
        <f>IF(Tasks[[#This Row],[Task Name]]="","",IF(N(Tasks[[#This Row],[Baseline Finish]])&gt;0,Tasks[[#This Row],[Baseline Finish]],Tasks[[#This Row],[_CalcFinish]]))</f>
        <v/>
      </c>
      <c r="AS110" s="21">
        <f>IF(Tasks[[#This Row],[Task Name]]="","",IF(Tasks[[#This Row],[Start]]&gt;=Tasks[[#This Row],[Planned Start]],NETWORKDAYS.INTL(Tasks[[#This Row],[Planned Start]],Tasks[[#This Row],[Start]],WorkWeek,Holidays)-1,1-NETWORKDAYS.INTL(Tasks[[#This Row],[Start]],Tasks[[#This Row],[Planned Start]],WorkWeek,Holidays)))</f>
        <v/>
      </c>
      <c r="AT110" s="61">
        <f>IF(Tasks[[#This Row],[Task Name]]="","",IF(Tasks[[#This Row],[_IsSummary]],MIN(INDEX(Tasks[_LeafLateStart],Tasks[[#This Row],[_Row]]+1):INDEX(Tasks[_LeafLateStart],Tasks[[#This Row],[_Row]]+Tasks[[#This Row],[_Descendants]])),Tasks[[#This Row],[_LeafLateStart]]))</f>
        <v/>
      </c>
      <c r="AU110" s="61">
        <f>IF(Tasks[[#This Row],[Task Name]]="","",IF(Tasks[[#This Row],[_IsSummary]],MAX(INDEX(Tasks[_LeafLateFinish],Tasks[[#This Row],[_Row]]+1):INDEX(Tasks[_LeafLateFinish],Tasks[[#This Row],[_Row]]+Tasks[[#This Row],[_Descendants]])),Tasks[[#This Row],[_LeafLateFinish]]))</f>
        <v/>
      </c>
      <c r="AV110" s="21">
        <f>IF(Tasks[[#This Row],[Task Name]]="","",IF(Tasks[[#This Row],[_IsSummary]],MIN(INDEX(Tasks[_LeafTotalSlack],Tasks[[#This Row],[_Row]]+1):INDEX(Tasks[_LeafTotalSlack],Tasks[[#This Row],[_Row]]+Tasks[[#This Row],[_Descendants]])),Tasks[[#This Row],[_LeafTotalSlack]]))</f>
        <v/>
      </c>
      <c r="AW11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3" t="n"/>
      <c r="BA11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f>IF(Tasks[[#This Row],[Task Name]]="","",IF(Tasks[[#This Row],[_Level]]&lt;=OutlineShowLevel,"Yes","No"))</f>
        <v/>
      </c>
      <c r="BE110" s="84">
        <f>IF(Tasks[[#This Row],[Task Name]]="","",IF(Tasks[[#This Row],[_IsSummary]],SUM(INDEX(Tasks[_LeafTotalWork],Tasks[[#This Row],[_Row]]+1):INDEX(Tasks[_LeafTotalWork],Tasks[[#This Row],[_Row]]+Tasks[[#This Row],[_Descendants]])),Tasks[[#This Row],[_LeafTotalWork]]))</f>
        <v/>
      </c>
      <c r="BF110" s="23" t="n"/>
      <c r="BG11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f>""</f>
        <v/>
      </c>
      <c r="BI110" s="85" t="n"/>
      <c r="BJ110" s="22" t="n"/>
      <c r="BK110" s="21">
        <f>IF(OR(Tasks[[#This Row],[Task Name]]="",Tasks[[#This Row],[Baseline Duration]]=""),"",Tasks[[#This Row],[_SpanDays]]-N(Tasks[[#This Row],[Baseline Duration]]))</f>
        <v/>
      </c>
      <c r="BL110" s="84">
        <f>IF(OR(Tasks[[#This Row],[Task Name]]="",Tasks[[#This Row],[Baseline Work]]=""),"",Tasks[[#This Row],[Work]]-N(Tasks[[#This Row],[Baseline Work]]))</f>
        <v/>
      </c>
      <c r="BM110" s="61">
        <f>IF(Tasks[[#This Row],[Task Name]]="","",IF(OR(TakeBaseline="Yes",N(Tasks[[#This Row],[Baseline Start]])=0),Tasks[[#This Row],[Start]],Tasks[[#This Row],[Baseline Start]]))</f>
        <v/>
      </c>
      <c r="BN110" s="61">
        <f>IF(Tasks[[#This Row],[Task Name]]="","",IF(OR(TakeBaseline="Yes",N(Tasks[[#This Row],[Baseline Finish]])=0),Tasks[[#This Row],[Finish]],Tasks[[#This Row],[Baseline Finish]]))</f>
        <v/>
      </c>
      <c r="BO110" s="21">
        <f>IF(Tasks[[#This Row],[Task Name]]="","",IF(OR(TakeBaseline="Yes",N(Tasks[[#This Row],[Baseline Duration]])=0),Tasks[[#This Row],[_SpanDays]],Tasks[[#This Row],[Baseline Duration]]))</f>
        <v/>
      </c>
      <c r="BP110" s="84">
        <f>IF(Tasks[[#This Row],[Task Name]]="","",IF(OR(TakeBaseline="Yes",N(Tasks[[#This Row],[Baseline Work]])=0),Tasks[[#This Row],[Work]],Tasks[[#This Row],[Baseline Work]]))</f>
        <v/>
      </c>
      <c r="BQ110" s="7" t="n"/>
      <c r="BR110" s="7" t="n"/>
      <c r="BS110" s="22" t="n"/>
      <c r="BT110" s="86" t="n"/>
      <c r="BU110" s="23" t="n"/>
      <c r="BV110" s="23" t="n"/>
      <c r="BW110" s="23" t="n"/>
      <c r="BX110" s="87">
        <f>IF(AND(Tasks[[#This Row],[_IsLeaf]]=1,ISNUMBER(Tasks[[#This Row],[Optimistic]]),ISNUMBER(Tasks[[#This Row],[Pessimistic]])),ROUND((Tasks[[#This Row],[Optimistic]]+4*N(Tasks[[#This Row],[_Days]])+Tasks[[#This Row],[Pessimistic]])/6,1),"")</f>
        <v/>
      </c>
      <c r="BY110" s="85" t="n"/>
      <c r="BZ110" s="85" t="n"/>
      <c r="CA110" s="22" t="n"/>
      <c r="CB110" s="42">
        <f>IF(Tasks[[#This Row],[Task Name]]="","",MAX(1,N(Tasks[[#This Row],[Level]])))</f>
        <v/>
      </c>
      <c r="CC110" s="42">
        <f>ROW()-ROW(Tasks[[#Headers],[ID]])</f>
        <v/>
      </c>
      <c r="CD110" s="42">
        <f>IF(OR(Tasks[[#This Row],[Task Name]]="",Tasks[[#This Row],[_Level]]&lt;=1),0,IFERROR(LOOKUP(2,1/(Tasks[[#Headers],[_Level]]:Tasks[[#This Row],[_Level]]=Tasks[[#This Row],[_Level]]-1),ROW(Tasks[[#Headers],[_Level]]:Tasks[[#This Row],[_Level]])),0))</f>
        <v/>
      </c>
      <c r="CE110" s="42">
        <f>IFERROR(N(INDEX(Tasks[_Level],Tasks[[#This Row],[_Row]]+1)),0)</f>
        <v/>
      </c>
      <c r="CF110" s="42">
        <f>AND(Tasks[[#This Row],[Task Name]]&lt;&gt;"",Tasks[[#This Row],[_NextLevel]]&gt;Tasks[[#This Row],[_Level]])</f>
        <v/>
      </c>
      <c r="CG110" s="42">
        <f>IF(Tasks[[#This Row],[_IsSummary]],COUNTIF(Tasks[WBS],Tasks[[#This Row],[WBS]]&amp;".*"),0)</f>
        <v/>
      </c>
      <c r="CH110" s="42">
        <f>IF(AND(Tasks[[#This Row],[Task Name]]&lt;&gt;"",NOT(Tasks[[#This Row],[_IsSummary]])),1,0)</f>
        <v/>
      </c>
      <c r="CI110" s="42">
        <f>IF(N(Tasks[[#This Row],[_Pred1UID]])=0,0,IFERROR(MATCH(Tasks[[#This Row],[_Pred1UID]],Tasks[UID],0),-1))</f>
        <v/>
      </c>
      <c r="CJ110" s="42">
        <f>IF(N(Tasks[[#This Row],[_Pred2UID]])=0,0,IFERROR(MATCH(Tasks[[#This Row],[_Pred2UID]],Tasks[UID],0),-1))</f>
        <v/>
      </c>
      <c r="CK110" s="42">
        <f>IF(N(Tasks[[#This Row],[_Pred3UID]])=0,0,IFERROR(MATCH(Tasks[[#This Row],[_Pred3UID]],Tasks[UID],0),-1))</f>
        <v/>
      </c>
      <c r="CL110" s="42">
        <f>IF(N(Tasks[[#This Row],[_Pred4UID]])=0,0,IFERROR(MATCH(Tasks[[#This Row],[_Pred4UID]],Tasks[UID],0),-1))</f>
        <v/>
      </c>
      <c r="CM11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0" s="88">
        <f>IF(N(Tasks[[#This Row],[Constraint Date]])=0,0,IF(AND(OR(Tasks[[#This Row],[_ConstraintCode]]=3,Tasks[[#This Row],[_ConstraintCode]]=6,Tasks[[#This Row],[_ConstraintCode]]=7),N(Tasks[[#This Row],[_Days]])&gt;1),WORKDAY.INTL(N(Tasks[[#This Row],[Constraint Date]]),-(N(Tasks[[#This Row],[_Days]])-1),WorkWeek,Holidays),N(Tasks[[#This Row],[Constraint Date]])))</f>
        <v/>
      </c>
      <c r="CO110" s="88">
        <f>IF(OR(Tasks[[#This Row],[_ConstraintCode]]=2,Tasks[[#This Row],[_ConstraintCode]]=3,Tasks[[#This Row],[_ConstraintCode]]=4,Tasks[[#This Row],[_ConstraintCode]]=6),Tasks[[#This Row],[_ConstraintStart]],0)</f>
        <v/>
      </c>
      <c r="CP110" s="88">
        <f>IF(OR(Tasks[[#This Row],[_ConstraintCode]]=2,Tasks[[#This Row],[_ConstraintCode]]=3,Tasks[[#This Row],[_ConstraintCode]]=5,Tasks[[#This Row],[_ConstraintCode]]=7),Tasks[[#This Row],[_ConstraintStart]],2958465)</f>
        <v/>
      </c>
      <c r="CQ11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0" s="88">
        <f>IF(NOT(Tasks[[#This Row],[_IsLeaf]]=1),"",IF(N(Tasks[[#This Row],[_Days]])&lt;=0,Tasks[[#This Row],[_LeafCalcStart]],WORKDAY.INTL(Tasks[[#This Row],[_LeafCalcStart]],Tasks[[#This Row],[_Days]]-1,WorkWeek,Holidays)))</f>
        <v/>
      </c>
      <c r="CS11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0" s="42">
        <f>IF(Tasks[[#This Row],[_Predecessors]]="","",TRIM(MID(SUBSTITUTE(SUBSTITUTE(SUBSTITUTE(UPPER(Tasks[[#This Row],[_Predecessors]]),";",",")," ",""),",",REPT(" ",99)),1,99)))</f>
        <v/>
      </c>
      <c r="CV110" s="42">
        <f>IF(Tasks[[#This Row],[_Pred1Text]]="","",IFERROR(VALUE(LEFT(Tasks[[#This Row],[_Pred1Text]],MIN(FIND("F",Tasks[[#This Row],[_Pred1Text]]&amp;"F"),FIND("S",Tasks[[#This Row],[_Pred1Text]]&amp;"S"),FIND("+",Tasks[[#This Row],[_Pred1Text]]&amp;"+"),FIND("-",Tasks[[#This Row],[_Pred1Text]]&amp;"-"))-1)),""))</f>
        <v/>
      </c>
      <c r="CW11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0" s="42">
        <f>IF(Tasks[[#This Row],[_Pred1Text]]="","",TRIM(MID(SUBSTITUTE(SUBSTITUTE(SUBSTITUTE(UPPER(Tasks[[#This Row],[_Predecessors]]),";",",")," ",""),",",REPT(" ",99)),100,99)))</f>
        <v/>
      </c>
      <c r="CZ110" s="42">
        <f>IF(Tasks[[#This Row],[_Pred2Text]]="","",IFERROR(VALUE(LEFT(Tasks[[#This Row],[_Pred2Text]],MIN(FIND("F",Tasks[[#This Row],[_Pred2Text]]&amp;"F"),FIND("S",Tasks[[#This Row],[_Pred2Text]]&amp;"S"),FIND("+",Tasks[[#This Row],[_Pred2Text]]&amp;"+"),FIND("-",Tasks[[#This Row],[_Pred2Text]]&amp;"-"))-1)),""))</f>
        <v/>
      </c>
      <c r="DA11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0" s="42">
        <f>IF(Tasks[[#This Row],[_Pred2Text]]="","",TRIM(MID(SUBSTITUTE(SUBSTITUTE(SUBSTITUTE(UPPER(Tasks[[#This Row],[_Predecessors]]),";",",")," ",""),",",REPT(" ",99)),199,99)))</f>
        <v/>
      </c>
      <c r="DD110" s="42">
        <f>IF(Tasks[[#This Row],[_Pred3Text]]="","",IFERROR(VALUE(LEFT(Tasks[[#This Row],[_Pred3Text]],MIN(FIND("F",Tasks[[#This Row],[_Pred3Text]]&amp;"F"),FIND("S",Tasks[[#This Row],[_Pred3Text]]&amp;"S"),FIND("+",Tasks[[#This Row],[_Pred3Text]]&amp;"+"),FIND("-",Tasks[[#This Row],[_Pred3Text]]&amp;"-"))-1)),""))</f>
        <v/>
      </c>
      <c r="DE11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0" s="42">
        <f>IF(Tasks[[#This Row],[_Pred3Text]]="","",TRIM(MID(SUBSTITUTE(SUBSTITUTE(SUBSTITUTE(UPPER(Tasks[[#This Row],[_Predecessors]]),";",",")," ",""),",",REPT(" ",99)),298,99)))</f>
        <v/>
      </c>
      <c r="DH110" s="42">
        <f>IF(Tasks[[#This Row],[_Pred4Text]]="","",IFERROR(VALUE(LEFT(Tasks[[#This Row],[_Pred4Text]],MIN(FIND("F",Tasks[[#This Row],[_Pred4Text]]&amp;"F"),FIND("S",Tasks[[#This Row],[_Pred4Text]]&amp;"S"),FIND("+",Tasks[[#This Row],[_Pred4Text]]&amp;"+"),FIND("-",Tasks[[#This Row],[_Pred4Text]]&amp;"-"))-1)),""))</f>
        <v/>
      </c>
      <c r="DI11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0" s="42">
        <f>IF(OR(Tasks[[#This Row],[Task Name]]="",Tasks[[#This Row],[_Resources]]=""),"",TRIM(MID(SUBSTITUTE(Tasks[[#This Row],[_Resources]],",",REPT(" ",99)),1,99)))</f>
        <v/>
      </c>
      <c r="DL110" s="42">
        <f>IF(Tasks[[#This Row],[_Res1Text]]="","",TRIM(MID(SUBSTITUTE(Tasks[[#This Row],[_Resources]],",",REPT(" ",99)),100,99)))</f>
        <v/>
      </c>
      <c r="DM110" s="42">
        <f>IF(Tasks[[#This Row],[_Res2Text]]="","",TRIM(MID(SUBSTITUTE(Tasks[[#This Row],[_Resources]],",",REPT(" ",99)),199,99)))</f>
        <v/>
      </c>
      <c r="DN110" s="42">
        <f>IF(Tasks[[#This Row],[_Res3Text]]="","",TRIM(MID(SUBSTITUTE(Tasks[[#This Row],[_Resources]],",",REPT(" ",99)),298,99)))</f>
        <v/>
      </c>
      <c r="DO110" s="42">
        <f>IF(Tasks[[#This Row],[_Res1Text]]="",0,IFERROR(MATCH(TRIM(LEFT(Tasks[[#This Row],[_Res1Text]],FIND("[",Tasks[[#This Row],[_Res1Text]]&amp;"[")-1)),res_Name,0),IFERROR(MATCH(TRIM(LEFT(Tasks[[#This Row],[_Res1Text]],FIND("[",Tasks[[#This Row],[_Res1Text]]&amp;"[")-1)),res_Initials,0),0)))</f>
        <v/>
      </c>
      <c r="DP110" s="42">
        <f>IF(Tasks[[#This Row],[_Res2Text]]="",0,IFERROR(MATCH(TRIM(LEFT(Tasks[[#This Row],[_Res2Text]],FIND("[",Tasks[[#This Row],[_Res2Text]]&amp;"[")-1)),res_Name,0),IFERROR(MATCH(TRIM(LEFT(Tasks[[#This Row],[_Res2Text]],FIND("[",Tasks[[#This Row],[_Res2Text]]&amp;"[")-1)),res_Initials,0),0)))</f>
        <v/>
      </c>
      <c r="DQ110" s="42">
        <f>IF(Tasks[[#This Row],[_Res3Text]]="",0,IFERROR(MATCH(TRIM(LEFT(Tasks[[#This Row],[_Res3Text]],FIND("[",Tasks[[#This Row],[_Res3Text]]&amp;"[")-1)),res_Name,0),IFERROR(MATCH(TRIM(LEFT(Tasks[[#This Row],[_Res3Text]],FIND("[",Tasks[[#This Row],[_Res3Text]]&amp;"[")-1)),res_Initials,0),0)))</f>
        <v/>
      </c>
      <c r="DR110" s="42">
        <f>IF(Tasks[[#This Row],[_Res4Text]]="",0,IFERROR(MATCH(TRIM(LEFT(Tasks[[#This Row],[_Res4Text]],FIND("[",Tasks[[#This Row],[_Res4Text]]&amp;"[")-1)),res_Name,0),IFERROR(MATCH(TRIM(LEFT(Tasks[[#This Row],[_Res4Text]],FIND("[",Tasks[[#This Row],[_Res4Text]]&amp;"[")-1)),res_Initials,0),0)))</f>
        <v/>
      </c>
      <c r="DS110" s="42">
        <f>IF(Tasks[[#This Row],[_Res1Text]]="","",IF(Tasks[[#This Row],[_Res1Row]]&gt;0,INDEX(res_Name,Tasks[[#This Row],[_Res1Row]]),TRIM(LEFT(Tasks[[#This Row],[_Res1Text]],FIND("[",Tasks[[#This Row],[_Res1Text]]&amp;"[")-1))))</f>
        <v/>
      </c>
      <c r="DT11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0" s="42">
        <f>IF(NOT(Tasks[[#This Row],[_IsLeaf]]=1),0,(Tasks[[#This Row],[_Resource1]]&lt;&gt;"")+(Tasks[[#This Row],[_Res2]]&lt;&gt;"")+(Tasks[[#This Row],[_Res3]]&lt;&gt;"")+(Tasks[[#This Row],[_Res4]]&lt;&gt;""))</f>
        <v/>
      </c>
      <c r="DV110" s="42">
        <f>IF(Tasks[[#This Row],[_Res2Text]]="","",IF(Tasks[[#This Row],[_Res2Row]]&gt;0,INDEX(res_Name,Tasks[[#This Row],[_Res2Row]]),TRIM(LEFT(Tasks[[#This Row],[_Res2Text]],FIND("[",Tasks[[#This Row],[_Res2Text]]&amp;"[")-1))))</f>
        <v/>
      </c>
      <c r="DW11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0" s="42">
        <f>IF(OR(NOT(Tasks[[#This Row],[_IsLeaf]]=1),Tasks[[#This Row],[_Res2Row]]=0),0,N(Tasks[[#This Row],[_Days]])*HoursPerDay*IF(Tasks[[#This Row],[_Res2Units]]="",DefaultUnits,Tasks[[#This Row],[_Res2Units]]))</f>
        <v/>
      </c>
      <c r="DY110" s="42">
        <f>IF(AND(AND(Tasks[[#This Row],[_IsLeaf]]=1,Tasks[[#This Row],[_LeafTotalWork]]&gt;0),Tasks[[#This Row],[_Res2Work]]&gt;0),Tasks[[#This Row],[_Res2Work]]/(Tasks[[#This Row],[_FinishWorkday]]-Tasks[[#This Row],[_StartWorkday]]+1),0)</f>
        <v/>
      </c>
      <c r="DZ110" s="42">
        <f>Tasks[[#This Row],[_Res2WorkPerWD]]*MAX(0,Tasks[[#This Row],[_StartWorkday]]-1)</f>
        <v/>
      </c>
      <c r="EA110" s="42">
        <f>Tasks[[#This Row],[_Res2Work]]*Tasks[[#This Row],[_LeafProgress]]</f>
        <v/>
      </c>
      <c r="EB110" s="42">
        <f>IF(Tasks[[#This Row],[_Res3Text]]="","",IF(Tasks[[#This Row],[_Res3Row]]&gt;0,INDEX(res_Name,Tasks[[#This Row],[_Res3Row]]),TRIM(LEFT(Tasks[[#This Row],[_Res3Text]],FIND("[",Tasks[[#This Row],[_Res3Text]]&amp;"[")-1))))</f>
        <v/>
      </c>
      <c r="EC11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0" s="42">
        <f>IF(OR(NOT(Tasks[[#This Row],[_IsLeaf]]=1),Tasks[[#This Row],[_Res3Row]]=0),0,N(Tasks[[#This Row],[_Days]])*HoursPerDay*IF(Tasks[[#This Row],[_Res3Units]]="",DefaultUnits,Tasks[[#This Row],[_Res3Units]]))</f>
        <v/>
      </c>
      <c r="EE110" s="42">
        <f>IF(AND(AND(Tasks[[#This Row],[_IsLeaf]]=1,Tasks[[#This Row],[_LeafTotalWork]]&gt;0),Tasks[[#This Row],[_Res3Work]]&gt;0),Tasks[[#This Row],[_Res3Work]]/(Tasks[[#This Row],[_FinishWorkday]]-Tasks[[#This Row],[_StartWorkday]]+1),0)</f>
        <v/>
      </c>
      <c r="EF110" s="42">
        <f>Tasks[[#This Row],[_Res3WorkPerWD]]*MAX(0,Tasks[[#This Row],[_StartWorkday]]-1)</f>
        <v/>
      </c>
      <c r="EG110" s="42">
        <f>Tasks[[#This Row],[_Res3Work]]*Tasks[[#This Row],[_LeafProgress]]</f>
        <v/>
      </c>
      <c r="EH110" s="42">
        <f>IF(Tasks[[#This Row],[_Res4Text]]="","",IF(Tasks[[#This Row],[_Res4Row]]&gt;0,INDEX(res_Name,Tasks[[#This Row],[_Res4Row]]),TRIM(LEFT(Tasks[[#This Row],[_Res4Text]],FIND("[",Tasks[[#This Row],[_Res4Text]]&amp;"[")-1))))</f>
        <v/>
      </c>
      <c r="EI11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0" s="42">
        <f>IF(OR(NOT(Tasks[[#This Row],[_IsLeaf]]=1),Tasks[[#This Row],[_Res4Row]]=0),0,N(Tasks[[#This Row],[_Days]])*HoursPerDay*IF(Tasks[[#This Row],[_Res4Units]]="",DefaultUnits,Tasks[[#This Row],[_Res4Units]]))</f>
        <v/>
      </c>
      <c r="EK110" s="42">
        <f>IF(AND(AND(Tasks[[#This Row],[_IsLeaf]]=1,Tasks[[#This Row],[_LeafTotalWork]]&gt;0),Tasks[[#This Row],[_Res4Work]]&gt;0),Tasks[[#This Row],[_Res4Work]]/(Tasks[[#This Row],[_FinishWorkday]]-Tasks[[#This Row],[_StartWorkday]]+1),0)</f>
        <v/>
      </c>
      <c r="EL110" s="42">
        <f>Tasks[[#This Row],[_Res4WorkPerWD]]*MAX(0,Tasks[[#This Row],[_StartWorkday]]-1)</f>
        <v/>
      </c>
      <c r="EM110" s="42">
        <f>Tasks[[#This Row],[_Res4Work]]*Tasks[[#This Row],[_LeafProgress]]</f>
        <v/>
      </c>
      <c r="EN110" s="42">
        <f>IF(ISNUMBER(Tasks[[#This Row],[% Complete]]),Tasks[[#This Row],[% Complete]],IF(Tasks[[#This Row],[Stage]]="",0,IFERROR(INDEX(stg_Pct,MATCH(Tasks[[#This Row],[Stage]],stg_Name,0)),0)))</f>
        <v/>
      </c>
      <c r="EO110" s="42">
        <f>IF(NOT(Tasks[[#This Row],[_IsLeaf]]=1),0,IF(N(Tasks[[#This Row],[Actual Finish]])&gt;0,1,MIN(1,Tasks[[#This Row],[_Pct]])))</f>
        <v/>
      </c>
      <c r="EP110" s="42">
        <f>IF(OR(NOT(Tasks[[#This Row],[_IsLeaf]]=1),Tasks[[#This Row],[_Res1Row]]=0),0,N(Tasks[[#This Row],[_Days]])*HoursPerDay*IF(Tasks[[#This Row],[_Units1]]="",DefaultUnits,Tasks[[#This Row],[_Units1]]))</f>
        <v/>
      </c>
      <c r="EQ110" s="42">
        <f>Tasks[[#This Row],[_LeafWork]]+Tasks[[#This Row],[_Res2Work]]+Tasks[[#This Row],[_Res3Work]]+Tasks[[#This Row],[_Res4Work]]</f>
        <v/>
      </c>
      <c r="ER11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0" s="42">
        <f>IF(NOT(Tasks[[#This Row],[_IsLeaf]]=1),0,MAX(_xlfn.MAXIFS(Tasks[_Row],Tasks[_Pred1UID],Tasks[[#This Row],[UID]]),_xlfn.MAXIFS(Tasks[_Row],Tasks[_Pred2UID],Tasks[[#This Row],[UID]]),_xlfn.MAXIFS(Tasks[_Row],Tasks[_Pred3UID],Tasks[[#This Row],[UID]]),_xlfn.MAXIFS(Tasks[_Row],Tasks[_Pred4UID],Tasks[[#This Row],[UID]])))</f>
        <v/>
      </c>
      <c r="FA11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0" s="88">
        <f>IF(NOT(Tasks[[#This Row],[_IsLeaf]]=1),"",IF(N(Tasks[[#This Row],[_Days]])&lt;=0,Tasks[[#This Row],[_LeafLateFinish]],WORKDAY.INTL(Tasks[[#This Row],[_LeafLateFinish]],-(Tasks[[#This Row],[_Days]]-1),WorkWeek,Holidays)))</f>
        <v/>
      </c>
      <c r="FD11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0" s="42">
        <f>AND(Tasks[[#This Row],[_IsLeaf]]=1,Tasks[[#This Row],[_LeafProgress]]&lt;1,N(Tasks[[#This Row],[_LeafTotalSlack]])&lt;=CriticalSlackDays)</f>
        <v/>
      </c>
      <c r="FF110" s="42">
        <f>IF(AND(Tasks[[#This Row],[_IsLeaf]]=1,Tasks[[#This Row],[_ConstraintCode]]=1,Tasks[[#This Row],[Mode]]&lt;&gt;"Manual",N(Tasks[[#This Row],[Actual Start]])=0),MAX(0,N(Tasks[[#This Row],[Free Slack]])),0)</f>
        <v/>
      </c>
      <c r="FG110" s="88">
        <f>IF(NOT(Tasks[[#This Row],[_IsLeaf]]=1),"",IF(Tasks[[#This Row],[_AlapShift]]=0,Tasks[[#This Row],[_LeafCalcStart]],WORKDAY.INTL(Tasks[[#This Row],[_LeafCalcStart]],Tasks[[#This Row],[_AlapShift]],WorkWeek,Holidays)))</f>
        <v/>
      </c>
      <c r="FH110" s="88">
        <f>IF(NOT(Tasks[[#This Row],[_IsLeaf]]=1),"",IF(Tasks[[#This Row],[_AlapShift]]=0,Tasks[[#This Row],[_LeafCalcFinish]],WORKDAY.INTL(Tasks[[#This Row],[_LeafCalcFinish]],Tasks[[#This Row],[_AlapShift]],WorkWeek,Holidays)))</f>
        <v/>
      </c>
      <c r="FI110" s="88">
        <f>IF(NOT(Tasks[[#This Row],[_IsLeaf]]=1),"",IF(Tasks[[#This Row],[_AlapShift]]=0,Tasks[[#This Row],[_LeafFcstStart]],WORKDAY.INTL(Tasks[[#This Row],[_LeafFcstStart]],Tasks[[#This Row],[_AlapShift]],WorkWeek,Holidays)))</f>
        <v/>
      </c>
      <c r="FJ110" s="88">
        <f>IF(NOT(Tasks[[#This Row],[_IsLeaf]]=1),"",IF(Tasks[[#This Row],[_AlapShift]]=0,Tasks[[#This Row],[_LeafFcstFinish]],WORKDAY.INTL(Tasks[[#This Row],[_LeafFcstFinish]],Tasks[[#This Row],[_AlapShift]],WorkWeek,Holidays)))</f>
        <v/>
      </c>
      <c r="FK110" s="88">
        <f>IF(Tasks[[#This Row],[Task Name]]="","",IF(Tasks[[#This Row],[_IsSummary]],MIN(INDEX(Tasks[_ShownCalcStart],Tasks[[#This Row],[_Row]]+1):INDEX(Tasks[_ShownCalcStart],Tasks[[#This Row],[_Row]]+Tasks[[#This Row],[_Descendants]])),Tasks[[#This Row],[_ShownCalcStart]]))</f>
        <v/>
      </c>
      <c r="FL110" s="88">
        <f>IF(Tasks[[#This Row],[Task Name]]="","",IF(Tasks[[#This Row],[_IsSummary]],MAX(INDEX(Tasks[_ShownCalcFinish],Tasks[[#This Row],[_Row]]+1):INDEX(Tasks[_ShownCalcFinish],Tasks[[#This Row],[_Row]]+Tasks[[#This Row],[_Descendants]])),Tasks[[#This Row],[_ShownCalcFinish]]))</f>
        <v/>
      </c>
      <c r="FM11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0" s="42">
        <f>IF(AND(Tasks[[#This Row],[_IsLeaf]]=1,Tasks[[#This Row],[_LeafTotalWork]]&gt;0),NETWORKDAYS.INTL(ProjectStart,Tasks[[#This Row],[_ShownFcstStart]],WorkWeek,Holidays),0)</f>
        <v/>
      </c>
      <c r="FZ110" s="42">
        <f>IF(AND(Tasks[[#This Row],[_IsLeaf]]=1,Tasks[[#This Row],[_LeafTotalWork]]&gt;0),MAX(Tasks[[#This Row],[_StartWorkday]],NETWORKDAYS.INTL(ProjectStart,Tasks[[#This Row],[_ShownFcstFinish]],WorkWeek,Holidays)),0)</f>
        <v/>
      </c>
      <c r="GA110" s="42">
        <f>IF(AND(Tasks[[#This Row],[_IsLeaf]]=1,Tasks[[#This Row],[_LeafTotalWork]]&gt;0),Tasks[[#This Row],[_LeafWork]]/(Tasks[[#This Row],[_FinishWorkday]]-Tasks[[#This Row],[_StartWorkday]]+1),0)</f>
        <v/>
      </c>
      <c r="GB110" s="42">
        <f>Tasks[[#This Row],[_WorkPerWorkday]]*(Tasks[[#This Row],[_StartWorkday]]-1)</f>
        <v/>
      </c>
      <c r="GC110" s="42">
        <f>IF(Tasks[[#This Row],[_IsLeaf]]=1,MAX(N(Tasks[[#This Row],[_Days]]),0.1),0)</f>
        <v/>
      </c>
      <c r="GD110" s="42">
        <f>Tasks[[#This Row],[_WeightDur]]*Tasks[[#This Row],[_LeafProgress]]</f>
        <v/>
      </c>
      <c r="GE110" s="42">
        <f>Tasks[[#This Row],[_WeightDur]]*Tasks[[#This Row],[_PlannedPct]]</f>
        <v/>
      </c>
      <c r="GF11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0" s="42">
        <f>IF(AND(Tasks[[#This Row],[_IsLeaf]]=1,N(Tasks[[#This Row],[_Days]])=0,Tasks[[#This Row],[_LeafProgress]]&lt;1),Tasks[[#This Row],[_ShownFcstFinish]]+Tasks[[#This Row],[_Row]]/100000,"")</f>
        <v/>
      </c>
      <c r="GH11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0" s="42">
        <f>IF(Tasks[[#This Row],[Task Name]]="","",LEFT(Tasks[[#This Row],[WBS]],FIND(".",Tasks[[#This Row],[WBS]]&amp;".")-1))</f>
        <v/>
      </c>
      <c r="GJ110" s="42">
        <f>IF(AND(Tasks[[#This Row],[Task Name]]&lt;&gt;"",Tasks[[#This Row],[_Level]]=1),Tasks[[#This Row],[_Row]],"")</f>
        <v/>
      </c>
      <c r="GK110" s="42">
        <f>IF(AND(Tasks[[#This Row],[_IsLeaf]]=1,N(Tasks[[#This Row],[_Days]])=0),Tasks[[#This Row],[Planned Finish]]+Tasks[[#This Row],[_Row]]/100000,"")</f>
        <v/>
      </c>
      <c r="GL110" s="42">
        <f>IF(AND(Tasks[[#This Row],[_IsLeaf]]=1,Tasks[[#This Row],[_LeafProgress]]&lt;1,OR(N(Tasks[[#This Row],[Finish Var]])&gt;0,Tasks[[#This Row],[Status]]="Late Start")),MAX(0,Tasks[[#This Row],[Finish Var]])+1-Tasks[[#This Row],[_Row]]/1000000,"")</f>
        <v/>
      </c>
      <c r="GM110" s="42">
        <f>IF(AND(Tasks[[#This Row],[_IsLeaf]]=1,N(Tasks[[#This Row],[Actual Start]])=0,Tasks[[#This Row],[_ShownFcstStart]]&gt;=StatusDate,Tasks[[#This Row],[_ShownFcstStart]]&lt;=LookaheadEnd),Tasks[[#This Row],[_ShownFcstStart]]+Tasks[[#This Row],[_Row]]/100000,"")</f>
        <v/>
      </c>
      <c r="GN110" s="42">
        <f>IF(AND(Tasks[[#This Row],[_IsLeaf]]=1,Tasks[[#This Row],[_LeafProgress]]&lt;1,Tasks[[#This Row],[_ShownFcstFinish]]&gt;=StatusDate,Tasks[[#This Row],[_ShownFcstFinish]]&lt;=LookaheadEnd),Tasks[[#This Row],[_ShownFcstFinish]]+Tasks[[#This Row],[_Row]]/100000,"")</f>
        <v/>
      </c>
      <c r="GO110" s="42">
        <f>IF(Tasks[[#This Row],[_LeafCritical]],Tasks[[#This Row],[_ShownFcstStart]]+Tasks[[#This Row],[_Row]]/100000,"")</f>
        <v/>
      </c>
      <c r="GP110" s="42">
        <f>Tasks[[#This Row],[_LeafWork]]*Tasks[[#This Row],[_LeafProgress]]</f>
        <v/>
      </c>
      <c r="GQ110" s="88">
        <f>IF(AND(Tasks[[#This Row],[_IsLeaf]]=1,Tasks[[#This Row],[_LeafProgress]]&gt;=1),IF(N(Tasks[[#This Row],[Actual Finish]])&gt;0,Tasks[[#This Row],[Actual Finish]],Tasks[[#This Row],[_ShownFcstFinish]]),"")</f>
        <v/>
      </c>
      <c r="GR110" s="42">
        <f>IF(Tasks[[#This Row],[_IsLeaf]]=1,N(Tasks[[#This Row],[Story Points]]),0)</f>
        <v/>
      </c>
      <c r="GS110" s="42">
        <f>""</f>
        <v/>
      </c>
      <c r="GT110" s="42">
        <f>IF(Tasks[[#This Row],[Task Name]]="",FALSE(),AND(Tasks[[#This Row],[_IsLeaf]]=1,N(Tasks[[#This Row],[_Days]])=0))</f>
        <v/>
      </c>
      <c r="GU110" s="88">
        <f>IF(Tasks[[#This Row],[Task Name]]="",0,IF(AND(Tasks[[#This Row],[_IsLeaf]]=1,NOT(Tasks[[#This Row],[_IsMilestone]]),N(Tasks[[#This Row],[Progress]])&gt;0),Tasks[[#This Row],[Start]],0))</f>
        <v/>
      </c>
      <c r="GV110" s="88">
        <f>IF(Tasks[[#This Row],[_DoneFrom]]=0,0,IF(Tasks[[#This Row],[Progress]]&gt;=1,Tasks[[#This Row],[Finish]],MAX(Tasks[[#This Row],[_DoneFrom]],Tasks[[#This Row],[Start]]+ROUND((Tasks[[#This Row],[Finish]]-Tasks[[#This Row],[Start]]+1)*Tasks[[#This Row],[Progress]],0)-1)))</f>
        <v/>
      </c>
      <c r="GW110" s="88">
        <f>IF(Tasks[[#This Row],[Task Name]]="",0,IF(OR(NOT(Tasks[[#This Row],[_IsLeaf]]=1),Tasks[[#This Row],[_IsMilestone]],N(Tasks[[#This Row],[Progress]])&gt;=1),0,IF(Tasks[[#This Row],[_DoneTo]]&gt;0,Tasks[[#This Row],[_DoneTo]]+1,Tasks[[#This Row],[Start]])))</f>
        <v/>
      </c>
      <c r="GX110" s="88">
        <f>IF(Tasks[[#This Row],[_RemFrom]]=0,0,Tasks[[#This Row],[Finish]])</f>
        <v/>
      </c>
      <c r="GY110" s="42">
        <f>IF(Tasks[[#This Row],[Task Name]]="",FALSE(),OR(NOT(BaselineSet),N(Tasks[[#This Row],[Baseline Start]])&gt;0))</f>
        <v/>
      </c>
      <c r="GZ110" s="42">
        <f>IF(AND(Sandbox="Yes",L_PARSE_DURATION(Tasks[[#This Row],[Sandbox Duration]])&lt;&gt;""),L_PARSE_DURATION(Tasks[[#This Row],[Sandbox Duration]]),L_PARSE_DURATION(Tasks[[#This Row],[Duration]]))</f>
        <v/>
      </c>
      <c r="HA11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0" s="42">
        <f>IF(Tasks[[#This Row],[_IsLeaf]]=1,Tasks[[#This Row],[_Row]],"")</f>
        <v/>
      </c>
      <c r="HD110" s="42">
        <f>IFERROR(INDEX(Tasks[UID],SMALL(Tasks[_PickKey],Tasks[[#This Row],[_Row]]))&amp;" "&amp;INDEX(Tasks[Task Name],SMALL(Tasks[_PickKey],Tasks[[#This Row],[_Row]])),"")</f>
        <v/>
      </c>
      <c r="HE110" s="42">
        <f>IF(Tasks[[#This Row],[Task Name]]="","",IF(Tasks[[#This Row],[_IsSummary]],NETWORKDAYS.INTL(Tasks[[#This Row],[Start]],Tasks[[#This Row],[Finish]],WorkWeek,Holidays),N(Tasks[[#This Row],[_Days]])))</f>
        <v/>
      </c>
      <c r="HF110" s="42">
        <f>IF(Tasks[[#This Row],[Expected]]="",0,((Tasks[[#This Row],[Pessimistic]]-Tasks[[#This Row],[Optimistic]])/6)^2)</f>
        <v/>
      </c>
      <c r="HG110" s="42">
        <f>IF(Tasks[[#This Row],[Expected]]="",0,Tasks[[#This Row],[Expected]]-N(Tasks[[#This Row],[_Days]]))</f>
        <v/>
      </c>
    </row>
    <row r="111">
      <c r="A111" s="21">
        <f>IF(Tasks[[#This Row],[Task Name]]="","",COUNTA(Tasks[[#Headers],[Task Name]]:Tasks[[#This Row],[Task Name]])-1)</f>
        <v/>
      </c>
      <c r="B111" s="22" t="n">
        <v>119</v>
      </c>
      <c r="C111" s="22" t="n"/>
      <c r="D111" s="23" t="n"/>
      <c r="E111" s="22" t="n"/>
      <c r="F111" s="23" t="n"/>
      <c r="G111" s="22" t="n"/>
      <c r="H111" s="22" t="n"/>
      <c r="I111" s="23" t="n"/>
      <c r="J111" s="22" t="n"/>
      <c r="K111" s="22" t="n"/>
      <c r="L111" s="23" t="n"/>
      <c r="M111" s="22" t="n"/>
      <c r="N111" s="22" t="n"/>
      <c r="O111" s="23" t="n"/>
      <c r="P111" s="22" t="n"/>
      <c r="Q111" s="22" t="n"/>
      <c r="R111" s="23" t="n"/>
      <c r="S111" s="23" t="n"/>
      <c r="T111" s="82" t="n"/>
      <c r="U111" s="23" t="n"/>
      <c r="V111" s="82" t="n"/>
      <c r="W111" s="23" t="n"/>
      <c r="X111" s="82" t="n"/>
      <c r="Y111" s="23" t="n"/>
      <c r="Z111" s="82" t="n"/>
      <c r="AA111" s="23" t="n"/>
      <c r="AB111" s="23" t="n"/>
      <c r="AC111" s="7" t="n"/>
      <c r="AD111" s="7" t="n"/>
      <c r="AE111" s="61">
        <f>IF(Tasks[[#This Row],[Task Name]]="","",IF(Tasks[[#This Row],[_IsSummary]],MIN(INDEX(Tasks[_ShownFcstStart],Tasks[[#This Row],[_Row]]+1):INDEX(Tasks[_ShownFcstStart],Tasks[[#This Row],[_Row]]+Tasks[[#This Row],[_Descendants]])),Tasks[[#This Row],[_ShownFcstStart]]))</f>
        <v/>
      </c>
      <c r="AF111" s="61">
        <f>IF(Tasks[[#This Row],[Task Name]]="","",IF(Tasks[[#This Row],[_IsSummary]],MAX(INDEX(Tasks[_ShownFcstFinish],Tasks[[#This Row],[_Row]]+1):INDEX(Tasks[_ShownFcstFinish],Tasks[[#This Row],[_Row]]+Tasks[[#This Row],[_Descendants]])),Tasks[[#This Row],[_ShownFcstFinish]]))</f>
        <v/>
      </c>
      <c r="AG111" s="21">
        <f>""</f>
        <v/>
      </c>
      <c r="AH111" s="23" t="n"/>
      <c r="AI11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1" s="7" t="n"/>
      <c r="AK111" s="22" t="n"/>
      <c r="AL111" s="23" t="n"/>
      <c r="AM111" s="7" t="n"/>
      <c r="AN111" s="21">
        <f>IF(Tasks[[#This Row],[Task Name]]="","",IF(Tasks[[#This Row],[Finish]]&gt;=Tasks[[#This Row],[Planned Finish]],NETWORKDAYS.INTL(Tasks[[#This Row],[Planned Finish]],Tasks[[#This Row],[Finish]],WorkWeek,Holidays)-1,1-NETWORKDAYS.INTL(Tasks[[#This Row],[Finish]],Tasks[[#This Row],[Planned Finish]],WorkWeek,Holidays)))</f>
        <v/>
      </c>
      <c r="AO111" s="21">
        <f>IF(Tasks[[#This Row],[Task Name]]="","",IF(Tasks[[#This Row],[Progress]]&gt;=1,"Complete",IF(OR(N(Tasks[[#This Row],[Actual Start]])&gt;0,Tasks[[#This Row],[Progress]]&gt;0),IF(Tasks[[#This Row],[Finish Var]]&gt;0,"Behind","In Progress"),IF(Tasks[[#This Row],[Planned Start]]&lt;StatusDate,"Late Start","Not Started"))))</f>
        <v/>
      </c>
      <c r="AP111" s="21">
        <f>IF(Tasks[[#This Row],[Task Name]]="","",IF(IF(Tasks[[#This Row],[_IsSummary]],COUNTIF(INDEX(Tasks[_LeafCritical],Tasks[[#This Row],[_Row]]+1):INDEX(Tasks[_LeafCritical],Tasks[[#This Row],[_Row]]+Tasks[[#This Row],[_Descendants]]),TRUE())&gt;0,Tasks[[#This Row],[_LeafCritical]]),"Yes",""))</f>
        <v/>
      </c>
      <c r="AQ111" s="61">
        <f>IF(Tasks[[#This Row],[Task Name]]="","",IF(N(Tasks[[#This Row],[Baseline Start]])&gt;0,Tasks[[#This Row],[Baseline Start]],Tasks[[#This Row],[_CalcStart]]))</f>
        <v/>
      </c>
      <c r="AR111" s="61">
        <f>IF(Tasks[[#This Row],[Task Name]]="","",IF(N(Tasks[[#This Row],[Baseline Finish]])&gt;0,Tasks[[#This Row],[Baseline Finish]],Tasks[[#This Row],[_CalcFinish]]))</f>
        <v/>
      </c>
      <c r="AS111" s="21">
        <f>IF(Tasks[[#This Row],[Task Name]]="","",IF(Tasks[[#This Row],[Start]]&gt;=Tasks[[#This Row],[Planned Start]],NETWORKDAYS.INTL(Tasks[[#This Row],[Planned Start]],Tasks[[#This Row],[Start]],WorkWeek,Holidays)-1,1-NETWORKDAYS.INTL(Tasks[[#This Row],[Start]],Tasks[[#This Row],[Planned Start]],WorkWeek,Holidays)))</f>
        <v/>
      </c>
      <c r="AT111" s="61">
        <f>IF(Tasks[[#This Row],[Task Name]]="","",IF(Tasks[[#This Row],[_IsSummary]],MIN(INDEX(Tasks[_LeafLateStart],Tasks[[#This Row],[_Row]]+1):INDEX(Tasks[_LeafLateStart],Tasks[[#This Row],[_Row]]+Tasks[[#This Row],[_Descendants]])),Tasks[[#This Row],[_LeafLateStart]]))</f>
        <v/>
      </c>
      <c r="AU111" s="61">
        <f>IF(Tasks[[#This Row],[Task Name]]="","",IF(Tasks[[#This Row],[_IsSummary]],MAX(INDEX(Tasks[_LeafLateFinish],Tasks[[#This Row],[_Row]]+1):INDEX(Tasks[_LeafLateFinish],Tasks[[#This Row],[_Row]]+Tasks[[#This Row],[_Descendants]])),Tasks[[#This Row],[_LeafLateFinish]]))</f>
        <v/>
      </c>
      <c r="AV111" s="21">
        <f>IF(Tasks[[#This Row],[Task Name]]="","",IF(Tasks[[#This Row],[_IsSummary]],MIN(INDEX(Tasks[_LeafTotalSlack],Tasks[[#This Row],[_Row]]+1):INDEX(Tasks[_LeafTotalSlack],Tasks[[#This Row],[_Row]]+Tasks[[#This Row],[_Descendants]])),Tasks[[#This Row],[_LeafTotalSlack]]))</f>
        <v/>
      </c>
      <c r="AW11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3" t="n"/>
      <c r="BA11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f>IF(Tasks[[#This Row],[Task Name]]="","",IF(Tasks[[#This Row],[_Level]]&lt;=OutlineShowLevel,"Yes","No"))</f>
        <v/>
      </c>
      <c r="BE111" s="84">
        <f>IF(Tasks[[#This Row],[Task Name]]="","",IF(Tasks[[#This Row],[_IsSummary]],SUM(INDEX(Tasks[_LeafTotalWork],Tasks[[#This Row],[_Row]]+1):INDEX(Tasks[_LeafTotalWork],Tasks[[#This Row],[_Row]]+Tasks[[#This Row],[_Descendants]])),Tasks[[#This Row],[_LeafTotalWork]]))</f>
        <v/>
      </c>
      <c r="BF111" s="23" t="n"/>
      <c r="BG11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f>""</f>
        <v/>
      </c>
      <c r="BI111" s="85" t="n"/>
      <c r="BJ111" s="22" t="n"/>
      <c r="BK111" s="21">
        <f>IF(OR(Tasks[[#This Row],[Task Name]]="",Tasks[[#This Row],[Baseline Duration]]=""),"",Tasks[[#This Row],[_SpanDays]]-N(Tasks[[#This Row],[Baseline Duration]]))</f>
        <v/>
      </c>
      <c r="BL111" s="84">
        <f>IF(OR(Tasks[[#This Row],[Task Name]]="",Tasks[[#This Row],[Baseline Work]]=""),"",Tasks[[#This Row],[Work]]-N(Tasks[[#This Row],[Baseline Work]]))</f>
        <v/>
      </c>
      <c r="BM111" s="61">
        <f>IF(Tasks[[#This Row],[Task Name]]="","",IF(OR(TakeBaseline="Yes",N(Tasks[[#This Row],[Baseline Start]])=0),Tasks[[#This Row],[Start]],Tasks[[#This Row],[Baseline Start]]))</f>
        <v/>
      </c>
      <c r="BN111" s="61">
        <f>IF(Tasks[[#This Row],[Task Name]]="","",IF(OR(TakeBaseline="Yes",N(Tasks[[#This Row],[Baseline Finish]])=0),Tasks[[#This Row],[Finish]],Tasks[[#This Row],[Baseline Finish]]))</f>
        <v/>
      </c>
      <c r="BO111" s="21">
        <f>IF(Tasks[[#This Row],[Task Name]]="","",IF(OR(TakeBaseline="Yes",N(Tasks[[#This Row],[Baseline Duration]])=0),Tasks[[#This Row],[_SpanDays]],Tasks[[#This Row],[Baseline Duration]]))</f>
        <v/>
      </c>
      <c r="BP111" s="84">
        <f>IF(Tasks[[#This Row],[Task Name]]="","",IF(OR(TakeBaseline="Yes",N(Tasks[[#This Row],[Baseline Work]])=0),Tasks[[#This Row],[Work]],Tasks[[#This Row],[Baseline Work]]))</f>
        <v/>
      </c>
      <c r="BQ111" s="7" t="n"/>
      <c r="BR111" s="7" t="n"/>
      <c r="BS111" s="22" t="n"/>
      <c r="BT111" s="86" t="n"/>
      <c r="BU111" s="23" t="n"/>
      <c r="BV111" s="23" t="n"/>
      <c r="BW111" s="23" t="n"/>
      <c r="BX111" s="87">
        <f>IF(AND(Tasks[[#This Row],[_IsLeaf]]=1,ISNUMBER(Tasks[[#This Row],[Optimistic]]),ISNUMBER(Tasks[[#This Row],[Pessimistic]])),ROUND((Tasks[[#This Row],[Optimistic]]+4*N(Tasks[[#This Row],[_Days]])+Tasks[[#This Row],[Pessimistic]])/6,1),"")</f>
        <v/>
      </c>
      <c r="BY111" s="85" t="n"/>
      <c r="BZ111" s="85" t="n"/>
      <c r="CA111" s="22" t="n"/>
      <c r="CB111" s="42">
        <f>IF(Tasks[[#This Row],[Task Name]]="","",MAX(1,N(Tasks[[#This Row],[Level]])))</f>
        <v/>
      </c>
      <c r="CC111" s="42">
        <f>ROW()-ROW(Tasks[[#Headers],[ID]])</f>
        <v/>
      </c>
      <c r="CD111" s="42">
        <f>IF(OR(Tasks[[#This Row],[Task Name]]="",Tasks[[#This Row],[_Level]]&lt;=1),0,IFERROR(LOOKUP(2,1/(Tasks[[#Headers],[_Level]]:Tasks[[#This Row],[_Level]]=Tasks[[#This Row],[_Level]]-1),ROW(Tasks[[#Headers],[_Level]]:Tasks[[#This Row],[_Level]])),0))</f>
        <v/>
      </c>
      <c r="CE111" s="42">
        <f>IFERROR(N(INDEX(Tasks[_Level],Tasks[[#This Row],[_Row]]+1)),0)</f>
        <v/>
      </c>
      <c r="CF111" s="42">
        <f>AND(Tasks[[#This Row],[Task Name]]&lt;&gt;"",Tasks[[#This Row],[_NextLevel]]&gt;Tasks[[#This Row],[_Level]])</f>
        <v/>
      </c>
      <c r="CG111" s="42">
        <f>IF(Tasks[[#This Row],[_IsSummary]],COUNTIF(Tasks[WBS],Tasks[[#This Row],[WBS]]&amp;".*"),0)</f>
        <v/>
      </c>
      <c r="CH111" s="42">
        <f>IF(AND(Tasks[[#This Row],[Task Name]]&lt;&gt;"",NOT(Tasks[[#This Row],[_IsSummary]])),1,0)</f>
        <v/>
      </c>
      <c r="CI111" s="42">
        <f>IF(N(Tasks[[#This Row],[_Pred1UID]])=0,0,IFERROR(MATCH(Tasks[[#This Row],[_Pred1UID]],Tasks[UID],0),-1))</f>
        <v/>
      </c>
      <c r="CJ111" s="42">
        <f>IF(N(Tasks[[#This Row],[_Pred2UID]])=0,0,IFERROR(MATCH(Tasks[[#This Row],[_Pred2UID]],Tasks[UID],0),-1))</f>
        <v/>
      </c>
      <c r="CK111" s="42">
        <f>IF(N(Tasks[[#This Row],[_Pred3UID]])=0,0,IFERROR(MATCH(Tasks[[#This Row],[_Pred3UID]],Tasks[UID],0),-1))</f>
        <v/>
      </c>
      <c r="CL111" s="42">
        <f>IF(N(Tasks[[#This Row],[_Pred4UID]])=0,0,IFERROR(MATCH(Tasks[[#This Row],[_Pred4UID]],Tasks[UID],0),-1))</f>
        <v/>
      </c>
      <c r="CM11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1" s="88">
        <f>IF(N(Tasks[[#This Row],[Constraint Date]])=0,0,IF(AND(OR(Tasks[[#This Row],[_ConstraintCode]]=3,Tasks[[#This Row],[_ConstraintCode]]=6,Tasks[[#This Row],[_ConstraintCode]]=7),N(Tasks[[#This Row],[_Days]])&gt;1),WORKDAY.INTL(N(Tasks[[#This Row],[Constraint Date]]),-(N(Tasks[[#This Row],[_Days]])-1),WorkWeek,Holidays),N(Tasks[[#This Row],[Constraint Date]])))</f>
        <v/>
      </c>
      <c r="CO111" s="88">
        <f>IF(OR(Tasks[[#This Row],[_ConstraintCode]]=2,Tasks[[#This Row],[_ConstraintCode]]=3,Tasks[[#This Row],[_ConstraintCode]]=4,Tasks[[#This Row],[_ConstraintCode]]=6),Tasks[[#This Row],[_ConstraintStart]],0)</f>
        <v/>
      </c>
      <c r="CP111" s="88">
        <f>IF(OR(Tasks[[#This Row],[_ConstraintCode]]=2,Tasks[[#This Row],[_ConstraintCode]]=3,Tasks[[#This Row],[_ConstraintCode]]=5,Tasks[[#This Row],[_ConstraintCode]]=7),Tasks[[#This Row],[_ConstraintStart]],2958465)</f>
        <v/>
      </c>
      <c r="CQ11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1" s="88">
        <f>IF(NOT(Tasks[[#This Row],[_IsLeaf]]=1),"",IF(N(Tasks[[#This Row],[_Days]])&lt;=0,Tasks[[#This Row],[_LeafCalcStart]],WORKDAY.INTL(Tasks[[#This Row],[_LeafCalcStart]],Tasks[[#This Row],[_Days]]-1,WorkWeek,Holidays)))</f>
        <v/>
      </c>
      <c r="CS11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1" s="42">
        <f>IF(Tasks[[#This Row],[_Predecessors]]="","",TRIM(MID(SUBSTITUTE(SUBSTITUTE(SUBSTITUTE(UPPER(Tasks[[#This Row],[_Predecessors]]),";",",")," ",""),",",REPT(" ",99)),1,99)))</f>
        <v/>
      </c>
      <c r="CV111" s="42">
        <f>IF(Tasks[[#This Row],[_Pred1Text]]="","",IFERROR(VALUE(LEFT(Tasks[[#This Row],[_Pred1Text]],MIN(FIND("F",Tasks[[#This Row],[_Pred1Text]]&amp;"F"),FIND("S",Tasks[[#This Row],[_Pred1Text]]&amp;"S"),FIND("+",Tasks[[#This Row],[_Pred1Text]]&amp;"+"),FIND("-",Tasks[[#This Row],[_Pred1Text]]&amp;"-"))-1)),""))</f>
        <v/>
      </c>
      <c r="CW11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1" s="42">
        <f>IF(Tasks[[#This Row],[_Pred1Text]]="","",TRIM(MID(SUBSTITUTE(SUBSTITUTE(SUBSTITUTE(UPPER(Tasks[[#This Row],[_Predecessors]]),";",",")," ",""),",",REPT(" ",99)),100,99)))</f>
        <v/>
      </c>
      <c r="CZ111" s="42">
        <f>IF(Tasks[[#This Row],[_Pred2Text]]="","",IFERROR(VALUE(LEFT(Tasks[[#This Row],[_Pred2Text]],MIN(FIND("F",Tasks[[#This Row],[_Pred2Text]]&amp;"F"),FIND("S",Tasks[[#This Row],[_Pred2Text]]&amp;"S"),FIND("+",Tasks[[#This Row],[_Pred2Text]]&amp;"+"),FIND("-",Tasks[[#This Row],[_Pred2Text]]&amp;"-"))-1)),""))</f>
        <v/>
      </c>
      <c r="DA11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1" s="42">
        <f>IF(Tasks[[#This Row],[_Pred2Text]]="","",TRIM(MID(SUBSTITUTE(SUBSTITUTE(SUBSTITUTE(UPPER(Tasks[[#This Row],[_Predecessors]]),";",",")," ",""),",",REPT(" ",99)),199,99)))</f>
        <v/>
      </c>
      <c r="DD111" s="42">
        <f>IF(Tasks[[#This Row],[_Pred3Text]]="","",IFERROR(VALUE(LEFT(Tasks[[#This Row],[_Pred3Text]],MIN(FIND("F",Tasks[[#This Row],[_Pred3Text]]&amp;"F"),FIND("S",Tasks[[#This Row],[_Pred3Text]]&amp;"S"),FIND("+",Tasks[[#This Row],[_Pred3Text]]&amp;"+"),FIND("-",Tasks[[#This Row],[_Pred3Text]]&amp;"-"))-1)),""))</f>
        <v/>
      </c>
      <c r="DE11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1" s="42">
        <f>IF(Tasks[[#This Row],[_Pred3Text]]="","",TRIM(MID(SUBSTITUTE(SUBSTITUTE(SUBSTITUTE(UPPER(Tasks[[#This Row],[_Predecessors]]),";",",")," ",""),",",REPT(" ",99)),298,99)))</f>
        <v/>
      </c>
      <c r="DH111" s="42">
        <f>IF(Tasks[[#This Row],[_Pred4Text]]="","",IFERROR(VALUE(LEFT(Tasks[[#This Row],[_Pred4Text]],MIN(FIND("F",Tasks[[#This Row],[_Pred4Text]]&amp;"F"),FIND("S",Tasks[[#This Row],[_Pred4Text]]&amp;"S"),FIND("+",Tasks[[#This Row],[_Pred4Text]]&amp;"+"),FIND("-",Tasks[[#This Row],[_Pred4Text]]&amp;"-"))-1)),""))</f>
        <v/>
      </c>
      <c r="DI11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1" s="42">
        <f>IF(OR(Tasks[[#This Row],[Task Name]]="",Tasks[[#This Row],[_Resources]]=""),"",TRIM(MID(SUBSTITUTE(Tasks[[#This Row],[_Resources]],",",REPT(" ",99)),1,99)))</f>
        <v/>
      </c>
      <c r="DL111" s="42">
        <f>IF(Tasks[[#This Row],[_Res1Text]]="","",TRIM(MID(SUBSTITUTE(Tasks[[#This Row],[_Resources]],",",REPT(" ",99)),100,99)))</f>
        <v/>
      </c>
      <c r="DM111" s="42">
        <f>IF(Tasks[[#This Row],[_Res2Text]]="","",TRIM(MID(SUBSTITUTE(Tasks[[#This Row],[_Resources]],",",REPT(" ",99)),199,99)))</f>
        <v/>
      </c>
      <c r="DN111" s="42">
        <f>IF(Tasks[[#This Row],[_Res3Text]]="","",TRIM(MID(SUBSTITUTE(Tasks[[#This Row],[_Resources]],",",REPT(" ",99)),298,99)))</f>
        <v/>
      </c>
      <c r="DO111" s="42">
        <f>IF(Tasks[[#This Row],[_Res1Text]]="",0,IFERROR(MATCH(TRIM(LEFT(Tasks[[#This Row],[_Res1Text]],FIND("[",Tasks[[#This Row],[_Res1Text]]&amp;"[")-1)),res_Name,0),IFERROR(MATCH(TRIM(LEFT(Tasks[[#This Row],[_Res1Text]],FIND("[",Tasks[[#This Row],[_Res1Text]]&amp;"[")-1)),res_Initials,0),0)))</f>
        <v/>
      </c>
      <c r="DP111" s="42">
        <f>IF(Tasks[[#This Row],[_Res2Text]]="",0,IFERROR(MATCH(TRIM(LEFT(Tasks[[#This Row],[_Res2Text]],FIND("[",Tasks[[#This Row],[_Res2Text]]&amp;"[")-1)),res_Name,0),IFERROR(MATCH(TRIM(LEFT(Tasks[[#This Row],[_Res2Text]],FIND("[",Tasks[[#This Row],[_Res2Text]]&amp;"[")-1)),res_Initials,0),0)))</f>
        <v/>
      </c>
      <c r="DQ111" s="42">
        <f>IF(Tasks[[#This Row],[_Res3Text]]="",0,IFERROR(MATCH(TRIM(LEFT(Tasks[[#This Row],[_Res3Text]],FIND("[",Tasks[[#This Row],[_Res3Text]]&amp;"[")-1)),res_Name,0),IFERROR(MATCH(TRIM(LEFT(Tasks[[#This Row],[_Res3Text]],FIND("[",Tasks[[#This Row],[_Res3Text]]&amp;"[")-1)),res_Initials,0),0)))</f>
        <v/>
      </c>
      <c r="DR111" s="42">
        <f>IF(Tasks[[#This Row],[_Res4Text]]="",0,IFERROR(MATCH(TRIM(LEFT(Tasks[[#This Row],[_Res4Text]],FIND("[",Tasks[[#This Row],[_Res4Text]]&amp;"[")-1)),res_Name,0),IFERROR(MATCH(TRIM(LEFT(Tasks[[#This Row],[_Res4Text]],FIND("[",Tasks[[#This Row],[_Res4Text]]&amp;"[")-1)),res_Initials,0),0)))</f>
        <v/>
      </c>
      <c r="DS111" s="42">
        <f>IF(Tasks[[#This Row],[_Res1Text]]="","",IF(Tasks[[#This Row],[_Res1Row]]&gt;0,INDEX(res_Name,Tasks[[#This Row],[_Res1Row]]),TRIM(LEFT(Tasks[[#This Row],[_Res1Text]],FIND("[",Tasks[[#This Row],[_Res1Text]]&amp;"[")-1))))</f>
        <v/>
      </c>
      <c r="DT11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1" s="42">
        <f>IF(NOT(Tasks[[#This Row],[_IsLeaf]]=1),0,(Tasks[[#This Row],[_Resource1]]&lt;&gt;"")+(Tasks[[#This Row],[_Res2]]&lt;&gt;"")+(Tasks[[#This Row],[_Res3]]&lt;&gt;"")+(Tasks[[#This Row],[_Res4]]&lt;&gt;""))</f>
        <v/>
      </c>
      <c r="DV111" s="42">
        <f>IF(Tasks[[#This Row],[_Res2Text]]="","",IF(Tasks[[#This Row],[_Res2Row]]&gt;0,INDEX(res_Name,Tasks[[#This Row],[_Res2Row]]),TRIM(LEFT(Tasks[[#This Row],[_Res2Text]],FIND("[",Tasks[[#This Row],[_Res2Text]]&amp;"[")-1))))</f>
        <v/>
      </c>
      <c r="DW11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1" s="42">
        <f>IF(OR(NOT(Tasks[[#This Row],[_IsLeaf]]=1),Tasks[[#This Row],[_Res2Row]]=0),0,N(Tasks[[#This Row],[_Days]])*HoursPerDay*IF(Tasks[[#This Row],[_Res2Units]]="",DefaultUnits,Tasks[[#This Row],[_Res2Units]]))</f>
        <v/>
      </c>
      <c r="DY111" s="42">
        <f>IF(AND(AND(Tasks[[#This Row],[_IsLeaf]]=1,Tasks[[#This Row],[_LeafTotalWork]]&gt;0),Tasks[[#This Row],[_Res2Work]]&gt;0),Tasks[[#This Row],[_Res2Work]]/(Tasks[[#This Row],[_FinishWorkday]]-Tasks[[#This Row],[_StartWorkday]]+1),0)</f>
        <v/>
      </c>
      <c r="DZ111" s="42">
        <f>Tasks[[#This Row],[_Res2WorkPerWD]]*MAX(0,Tasks[[#This Row],[_StartWorkday]]-1)</f>
        <v/>
      </c>
      <c r="EA111" s="42">
        <f>Tasks[[#This Row],[_Res2Work]]*Tasks[[#This Row],[_LeafProgress]]</f>
        <v/>
      </c>
      <c r="EB111" s="42">
        <f>IF(Tasks[[#This Row],[_Res3Text]]="","",IF(Tasks[[#This Row],[_Res3Row]]&gt;0,INDEX(res_Name,Tasks[[#This Row],[_Res3Row]]),TRIM(LEFT(Tasks[[#This Row],[_Res3Text]],FIND("[",Tasks[[#This Row],[_Res3Text]]&amp;"[")-1))))</f>
        <v/>
      </c>
      <c r="EC11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1" s="42">
        <f>IF(OR(NOT(Tasks[[#This Row],[_IsLeaf]]=1),Tasks[[#This Row],[_Res3Row]]=0),0,N(Tasks[[#This Row],[_Days]])*HoursPerDay*IF(Tasks[[#This Row],[_Res3Units]]="",DefaultUnits,Tasks[[#This Row],[_Res3Units]]))</f>
        <v/>
      </c>
      <c r="EE111" s="42">
        <f>IF(AND(AND(Tasks[[#This Row],[_IsLeaf]]=1,Tasks[[#This Row],[_LeafTotalWork]]&gt;0),Tasks[[#This Row],[_Res3Work]]&gt;0),Tasks[[#This Row],[_Res3Work]]/(Tasks[[#This Row],[_FinishWorkday]]-Tasks[[#This Row],[_StartWorkday]]+1),0)</f>
        <v/>
      </c>
      <c r="EF111" s="42">
        <f>Tasks[[#This Row],[_Res3WorkPerWD]]*MAX(0,Tasks[[#This Row],[_StartWorkday]]-1)</f>
        <v/>
      </c>
      <c r="EG111" s="42">
        <f>Tasks[[#This Row],[_Res3Work]]*Tasks[[#This Row],[_LeafProgress]]</f>
        <v/>
      </c>
      <c r="EH111" s="42">
        <f>IF(Tasks[[#This Row],[_Res4Text]]="","",IF(Tasks[[#This Row],[_Res4Row]]&gt;0,INDEX(res_Name,Tasks[[#This Row],[_Res4Row]]),TRIM(LEFT(Tasks[[#This Row],[_Res4Text]],FIND("[",Tasks[[#This Row],[_Res4Text]]&amp;"[")-1))))</f>
        <v/>
      </c>
      <c r="EI11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1" s="42">
        <f>IF(OR(NOT(Tasks[[#This Row],[_IsLeaf]]=1),Tasks[[#This Row],[_Res4Row]]=0),0,N(Tasks[[#This Row],[_Days]])*HoursPerDay*IF(Tasks[[#This Row],[_Res4Units]]="",DefaultUnits,Tasks[[#This Row],[_Res4Units]]))</f>
        <v/>
      </c>
      <c r="EK111" s="42">
        <f>IF(AND(AND(Tasks[[#This Row],[_IsLeaf]]=1,Tasks[[#This Row],[_LeafTotalWork]]&gt;0),Tasks[[#This Row],[_Res4Work]]&gt;0),Tasks[[#This Row],[_Res4Work]]/(Tasks[[#This Row],[_FinishWorkday]]-Tasks[[#This Row],[_StartWorkday]]+1),0)</f>
        <v/>
      </c>
      <c r="EL111" s="42">
        <f>Tasks[[#This Row],[_Res4WorkPerWD]]*MAX(0,Tasks[[#This Row],[_StartWorkday]]-1)</f>
        <v/>
      </c>
      <c r="EM111" s="42">
        <f>Tasks[[#This Row],[_Res4Work]]*Tasks[[#This Row],[_LeafProgress]]</f>
        <v/>
      </c>
      <c r="EN111" s="42">
        <f>IF(ISNUMBER(Tasks[[#This Row],[% Complete]]),Tasks[[#This Row],[% Complete]],IF(Tasks[[#This Row],[Stage]]="",0,IFERROR(INDEX(stg_Pct,MATCH(Tasks[[#This Row],[Stage]],stg_Name,0)),0)))</f>
        <v/>
      </c>
      <c r="EO111" s="42">
        <f>IF(NOT(Tasks[[#This Row],[_IsLeaf]]=1),0,IF(N(Tasks[[#This Row],[Actual Finish]])&gt;0,1,MIN(1,Tasks[[#This Row],[_Pct]])))</f>
        <v/>
      </c>
      <c r="EP111" s="42">
        <f>IF(OR(NOT(Tasks[[#This Row],[_IsLeaf]]=1),Tasks[[#This Row],[_Res1Row]]=0),0,N(Tasks[[#This Row],[_Days]])*HoursPerDay*IF(Tasks[[#This Row],[_Units1]]="",DefaultUnits,Tasks[[#This Row],[_Units1]]))</f>
        <v/>
      </c>
      <c r="EQ111" s="42">
        <f>Tasks[[#This Row],[_LeafWork]]+Tasks[[#This Row],[_Res2Work]]+Tasks[[#This Row],[_Res3Work]]+Tasks[[#This Row],[_Res4Work]]</f>
        <v/>
      </c>
      <c r="ER11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1" s="42">
        <f>IF(NOT(Tasks[[#This Row],[_IsLeaf]]=1),0,MAX(_xlfn.MAXIFS(Tasks[_Row],Tasks[_Pred1UID],Tasks[[#This Row],[UID]]),_xlfn.MAXIFS(Tasks[_Row],Tasks[_Pred2UID],Tasks[[#This Row],[UID]]),_xlfn.MAXIFS(Tasks[_Row],Tasks[_Pred3UID],Tasks[[#This Row],[UID]]),_xlfn.MAXIFS(Tasks[_Row],Tasks[_Pred4UID],Tasks[[#This Row],[UID]])))</f>
        <v/>
      </c>
      <c r="FA11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1" s="88">
        <f>IF(NOT(Tasks[[#This Row],[_IsLeaf]]=1),"",IF(N(Tasks[[#This Row],[_Days]])&lt;=0,Tasks[[#This Row],[_LeafLateFinish]],WORKDAY.INTL(Tasks[[#This Row],[_LeafLateFinish]],-(Tasks[[#This Row],[_Days]]-1),WorkWeek,Holidays)))</f>
        <v/>
      </c>
      <c r="FD11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1" s="42">
        <f>AND(Tasks[[#This Row],[_IsLeaf]]=1,Tasks[[#This Row],[_LeafProgress]]&lt;1,N(Tasks[[#This Row],[_LeafTotalSlack]])&lt;=CriticalSlackDays)</f>
        <v/>
      </c>
      <c r="FF111" s="42">
        <f>IF(AND(Tasks[[#This Row],[_IsLeaf]]=1,Tasks[[#This Row],[_ConstraintCode]]=1,Tasks[[#This Row],[Mode]]&lt;&gt;"Manual",N(Tasks[[#This Row],[Actual Start]])=0),MAX(0,N(Tasks[[#This Row],[Free Slack]])),0)</f>
        <v/>
      </c>
      <c r="FG111" s="88">
        <f>IF(NOT(Tasks[[#This Row],[_IsLeaf]]=1),"",IF(Tasks[[#This Row],[_AlapShift]]=0,Tasks[[#This Row],[_LeafCalcStart]],WORKDAY.INTL(Tasks[[#This Row],[_LeafCalcStart]],Tasks[[#This Row],[_AlapShift]],WorkWeek,Holidays)))</f>
        <v/>
      </c>
      <c r="FH111" s="88">
        <f>IF(NOT(Tasks[[#This Row],[_IsLeaf]]=1),"",IF(Tasks[[#This Row],[_AlapShift]]=0,Tasks[[#This Row],[_LeafCalcFinish]],WORKDAY.INTL(Tasks[[#This Row],[_LeafCalcFinish]],Tasks[[#This Row],[_AlapShift]],WorkWeek,Holidays)))</f>
        <v/>
      </c>
      <c r="FI111" s="88">
        <f>IF(NOT(Tasks[[#This Row],[_IsLeaf]]=1),"",IF(Tasks[[#This Row],[_AlapShift]]=0,Tasks[[#This Row],[_LeafFcstStart]],WORKDAY.INTL(Tasks[[#This Row],[_LeafFcstStart]],Tasks[[#This Row],[_AlapShift]],WorkWeek,Holidays)))</f>
        <v/>
      </c>
      <c r="FJ111" s="88">
        <f>IF(NOT(Tasks[[#This Row],[_IsLeaf]]=1),"",IF(Tasks[[#This Row],[_AlapShift]]=0,Tasks[[#This Row],[_LeafFcstFinish]],WORKDAY.INTL(Tasks[[#This Row],[_LeafFcstFinish]],Tasks[[#This Row],[_AlapShift]],WorkWeek,Holidays)))</f>
        <v/>
      </c>
      <c r="FK111" s="88">
        <f>IF(Tasks[[#This Row],[Task Name]]="","",IF(Tasks[[#This Row],[_IsSummary]],MIN(INDEX(Tasks[_ShownCalcStart],Tasks[[#This Row],[_Row]]+1):INDEX(Tasks[_ShownCalcStart],Tasks[[#This Row],[_Row]]+Tasks[[#This Row],[_Descendants]])),Tasks[[#This Row],[_ShownCalcStart]]))</f>
        <v/>
      </c>
      <c r="FL111" s="88">
        <f>IF(Tasks[[#This Row],[Task Name]]="","",IF(Tasks[[#This Row],[_IsSummary]],MAX(INDEX(Tasks[_ShownCalcFinish],Tasks[[#This Row],[_Row]]+1):INDEX(Tasks[_ShownCalcFinish],Tasks[[#This Row],[_Row]]+Tasks[[#This Row],[_Descendants]])),Tasks[[#This Row],[_ShownCalcFinish]]))</f>
        <v/>
      </c>
      <c r="FM11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1" s="42">
        <f>IF(AND(Tasks[[#This Row],[_IsLeaf]]=1,Tasks[[#This Row],[_LeafTotalWork]]&gt;0),NETWORKDAYS.INTL(ProjectStart,Tasks[[#This Row],[_ShownFcstStart]],WorkWeek,Holidays),0)</f>
        <v/>
      </c>
      <c r="FZ111" s="42">
        <f>IF(AND(Tasks[[#This Row],[_IsLeaf]]=1,Tasks[[#This Row],[_LeafTotalWork]]&gt;0),MAX(Tasks[[#This Row],[_StartWorkday]],NETWORKDAYS.INTL(ProjectStart,Tasks[[#This Row],[_ShownFcstFinish]],WorkWeek,Holidays)),0)</f>
        <v/>
      </c>
      <c r="GA111" s="42">
        <f>IF(AND(Tasks[[#This Row],[_IsLeaf]]=1,Tasks[[#This Row],[_LeafTotalWork]]&gt;0),Tasks[[#This Row],[_LeafWork]]/(Tasks[[#This Row],[_FinishWorkday]]-Tasks[[#This Row],[_StartWorkday]]+1),0)</f>
        <v/>
      </c>
      <c r="GB111" s="42">
        <f>Tasks[[#This Row],[_WorkPerWorkday]]*(Tasks[[#This Row],[_StartWorkday]]-1)</f>
        <v/>
      </c>
      <c r="GC111" s="42">
        <f>IF(Tasks[[#This Row],[_IsLeaf]]=1,MAX(N(Tasks[[#This Row],[_Days]]),0.1),0)</f>
        <v/>
      </c>
      <c r="GD111" s="42">
        <f>Tasks[[#This Row],[_WeightDur]]*Tasks[[#This Row],[_LeafProgress]]</f>
        <v/>
      </c>
      <c r="GE111" s="42">
        <f>Tasks[[#This Row],[_WeightDur]]*Tasks[[#This Row],[_PlannedPct]]</f>
        <v/>
      </c>
      <c r="GF11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1" s="42">
        <f>IF(AND(Tasks[[#This Row],[_IsLeaf]]=1,N(Tasks[[#This Row],[_Days]])=0,Tasks[[#This Row],[_LeafProgress]]&lt;1),Tasks[[#This Row],[_ShownFcstFinish]]+Tasks[[#This Row],[_Row]]/100000,"")</f>
        <v/>
      </c>
      <c r="GH11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1" s="42">
        <f>IF(Tasks[[#This Row],[Task Name]]="","",LEFT(Tasks[[#This Row],[WBS]],FIND(".",Tasks[[#This Row],[WBS]]&amp;".")-1))</f>
        <v/>
      </c>
      <c r="GJ111" s="42">
        <f>IF(AND(Tasks[[#This Row],[Task Name]]&lt;&gt;"",Tasks[[#This Row],[_Level]]=1),Tasks[[#This Row],[_Row]],"")</f>
        <v/>
      </c>
      <c r="GK111" s="42">
        <f>IF(AND(Tasks[[#This Row],[_IsLeaf]]=1,N(Tasks[[#This Row],[_Days]])=0),Tasks[[#This Row],[Planned Finish]]+Tasks[[#This Row],[_Row]]/100000,"")</f>
        <v/>
      </c>
      <c r="GL111" s="42">
        <f>IF(AND(Tasks[[#This Row],[_IsLeaf]]=1,Tasks[[#This Row],[_LeafProgress]]&lt;1,OR(N(Tasks[[#This Row],[Finish Var]])&gt;0,Tasks[[#This Row],[Status]]="Late Start")),MAX(0,Tasks[[#This Row],[Finish Var]])+1-Tasks[[#This Row],[_Row]]/1000000,"")</f>
        <v/>
      </c>
      <c r="GM111" s="42">
        <f>IF(AND(Tasks[[#This Row],[_IsLeaf]]=1,N(Tasks[[#This Row],[Actual Start]])=0,Tasks[[#This Row],[_ShownFcstStart]]&gt;=StatusDate,Tasks[[#This Row],[_ShownFcstStart]]&lt;=LookaheadEnd),Tasks[[#This Row],[_ShownFcstStart]]+Tasks[[#This Row],[_Row]]/100000,"")</f>
        <v/>
      </c>
      <c r="GN111" s="42">
        <f>IF(AND(Tasks[[#This Row],[_IsLeaf]]=1,Tasks[[#This Row],[_LeafProgress]]&lt;1,Tasks[[#This Row],[_ShownFcstFinish]]&gt;=StatusDate,Tasks[[#This Row],[_ShownFcstFinish]]&lt;=LookaheadEnd),Tasks[[#This Row],[_ShownFcstFinish]]+Tasks[[#This Row],[_Row]]/100000,"")</f>
        <v/>
      </c>
      <c r="GO111" s="42">
        <f>IF(Tasks[[#This Row],[_LeafCritical]],Tasks[[#This Row],[_ShownFcstStart]]+Tasks[[#This Row],[_Row]]/100000,"")</f>
        <v/>
      </c>
      <c r="GP111" s="42">
        <f>Tasks[[#This Row],[_LeafWork]]*Tasks[[#This Row],[_LeafProgress]]</f>
        <v/>
      </c>
      <c r="GQ111" s="88">
        <f>IF(AND(Tasks[[#This Row],[_IsLeaf]]=1,Tasks[[#This Row],[_LeafProgress]]&gt;=1),IF(N(Tasks[[#This Row],[Actual Finish]])&gt;0,Tasks[[#This Row],[Actual Finish]],Tasks[[#This Row],[_ShownFcstFinish]]),"")</f>
        <v/>
      </c>
      <c r="GR111" s="42">
        <f>IF(Tasks[[#This Row],[_IsLeaf]]=1,N(Tasks[[#This Row],[Story Points]]),0)</f>
        <v/>
      </c>
      <c r="GS111" s="42">
        <f>""</f>
        <v/>
      </c>
      <c r="GT111" s="42">
        <f>IF(Tasks[[#This Row],[Task Name]]="",FALSE(),AND(Tasks[[#This Row],[_IsLeaf]]=1,N(Tasks[[#This Row],[_Days]])=0))</f>
        <v/>
      </c>
      <c r="GU111" s="88">
        <f>IF(Tasks[[#This Row],[Task Name]]="",0,IF(AND(Tasks[[#This Row],[_IsLeaf]]=1,NOT(Tasks[[#This Row],[_IsMilestone]]),N(Tasks[[#This Row],[Progress]])&gt;0),Tasks[[#This Row],[Start]],0))</f>
        <v/>
      </c>
      <c r="GV111" s="88">
        <f>IF(Tasks[[#This Row],[_DoneFrom]]=0,0,IF(Tasks[[#This Row],[Progress]]&gt;=1,Tasks[[#This Row],[Finish]],MAX(Tasks[[#This Row],[_DoneFrom]],Tasks[[#This Row],[Start]]+ROUND((Tasks[[#This Row],[Finish]]-Tasks[[#This Row],[Start]]+1)*Tasks[[#This Row],[Progress]],0)-1)))</f>
        <v/>
      </c>
      <c r="GW111" s="88">
        <f>IF(Tasks[[#This Row],[Task Name]]="",0,IF(OR(NOT(Tasks[[#This Row],[_IsLeaf]]=1),Tasks[[#This Row],[_IsMilestone]],N(Tasks[[#This Row],[Progress]])&gt;=1),0,IF(Tasks[[#This Row],[_DoneTo]]&gt;0,Tasks[[#This Row],[_DoneTo]]+1,Tasks[[#This Row],[Start]])))</f>
        <v/>
      </c>
      <c r="GX111" s="88">
        <f>IF(Tasks[[#This Row],[_RemFrom]]=0,0,Tasks[[#This Row],[Finish]])</f>
        <v/>
      </c>
      <c r="GY111" s="42">
        <f>IF(Tasks[[#This Row],[Task Name]]="",FALSE(),OR(NOT(BaselineSet),N(Tasks[[#This Row],[Baseline Start]])&gt;0))</f>
        <v/>
      </c>
      <c r="GZ111" s="42">
        <f>IF(AND(Sandbox="Yes",L_PARSE_DURATION(Tasks[[#This Row],[Sandbox Duration]])&lt;&gt;""),L_PARSE_DURATION(Tasks[[#This Row],[Sandbox Duration]]),L_PARSE_DURATION(Tasks[[#This Row],[Duration]]))</f>
        <v/>
      </c>
      <c r="HA11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1" s="42">
        <f>IF(Tasks[[#This Row],[_IsLeaf]]=1,Tasks[[#This Row],[_Row]],"")</f>
        <v/>
      </c>
      <c r="HD111" s="42">
        <f>IFERROR(INDEX(Tasks[UID],SMALL(Tasks[_PickKey],Tasks[[#This Row],[_Row]]))&amp;" "&amp;INDEX(Tasks[Task Name],SMALL(Tasks[_PickKey],Tasks[[#This Row],[_Row]])),"")</f>
        <v/>
      </c>
      <c r="HE111" s="42">
        <f>IF(Tasks[[#This Row],[Task Name]]="","",IF(Tasks[[#This Row],[_IsSummary]],NETWORKDAYS.INTL(Tasks[[#This Row],[Start]],Tasks[[#This Row],[Finish]],WorkWeek,Holidays),N(Tasks[[#This Row],[_Days]])))</f>
        <v/>
      </c>
      <c r="HF111" s="42">
        <f>IF(Tasks[[#This Row],[Expected]]="",0,((Tasks[[#This Row],[Pessimistic]]-Tasks[[#This Row],[Optimistic]])/6)^2)</f>
        <v/>
      </c>
      <c r="HG111" s="42">
        <f>IF(Tasks[[#This Row],[Expected]]="",0,Tasks[[#This Row],[Expected]]-N(Tasks[[#This Row],[_Days]]))</f>
        <v/>
      </c>
    </row>
    <row r="112">
      <c r="A112" s="21">
        <f>IF(Tasks[[#This Row],[Task Name]]="","",COUNTA(Tasks[[#Headers],[Task Name]]:Tasks[[#This Row],[Task Name]])-1)</f>
        <v/>
      </c>
      <c r="B112" s="22" t="n">
        <v>120</v>
      </c>
      <c r="C112" s="22" t="n"/>
      <c r="D112" s="23" t="n"/>
      <c r="E112" s="22" t="n"/>
      <c r="F112" s="23" t="n"/>
      <c r="G112" s="22" t="n"/>
      <c r="H112" s="22" t="n"/>
      <c r="I112" s="23" t="n"/>
      <c r="J112" s="22" t="n"/>
      <c r="K112" s="22" t="n"/>
      <c r="L112" s="23" t="n"/>
      <c r="M112" s="22" t="n"/>
      <c r="N112" s="22" t="n"/>
      <c r="O112" s="23" t="n"/>
      <c r="P112" s="22" t="n"/>
      <c r="Q112" s="22" t="n"/>
      <c r="R112" s="23" t="n"/>
      <c r="S112" s="23" t="n"/>
      <c r="T112" s="82" t="n"/>
      <c r="U112" s="23" t="n"/>
      <c r="V112" s="82" t="n"/>
      <c r="W112" s="23" t="n"/>
      <c r="X112" s="82" t="n"/>
      <c r="Y112" s="23" t="n"/>
      <c r="Z112" s="82" t="n"/>
      <c r="AA112" s="23" t="n"/>
      <c r="AB112" s="23" t="n"/>
      <c r="AC112" s="7" t="n"/>
      <c r="AD112" s="7" t="n"/>
      <c r="AE112" s="61">
        <f>IF(Tasks[[#This Row],[Task Name]]="","",IF(Tasks[[#This Row],[_IsSummary]],MIN(INDEX(Tasks[_ShownFcstStart],Tasks[[#This Row],[_Row]]+1):INDEX(Tasks[_ShownFcstStart],Tasks[[#This Row],[_Row]]+Tasks[[#This Row],[_Descendants]])),Tasks[[#This Row],[_ShownFcstStart]]))</f>
        <v/>
      </c>
      <c r="AF112" s="61">
        <f>IF(Tasks[[#This Row],[Task Name]]="","",IF(Tasks[[#This Row],[_IsSummary]],MAX(INDEX(Tasks[_ShownFcstFinish],Tasks[[#This Row],[_Row]]+1):INDEX(Tasks[_ShownFcstFinish],Tasks[[#This Row],[_Row]]+Tasks[[#This Row],[_Descendants]])),Tasks[[#This Row],[_ShownFcstFinish]]))</f>
        <v/>
      </c>
      <c r="AG112" s="21">
        <f>""</f>
        <v/>
      </c>
      <c r="AH112" s="23" t="n"/>
      <c r="AI11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2" s="7" t="n"/>
      <c r="AK112" s="22" t="n"/>
      <c r="AL112" s="23" t="n"/>
      <c r="AM112" s="7" t="n"/>
      <c r="AN112" s="21">
        <f>IF(Tasks[[#This Row],[Task Name]]="","",IF(Tasks[[#This Row],[Finish]]&gt;=Tasks[[#This Row],[Planned Finish]],NETWORKDAYS.INTL(Tasks[[#This Row],[Planned Finish]],Tasks[[#This Row],[Finish]],WorkWeek,Holidays)-1,1-NETWORKDAYS.INTL(Tasks[[#This Row],[Finish]],Tasks[[#This Row],[Planned Finish]],WorkWeek,Holidays)))</f>
        <v/>
      </c>
      <c r="AO112" s="21">
        <f>IF(Tasks[[#This Row],[Task Name]]="","",IF(Tasks[[#This Row],[Progress]]&gt;=1,"Complete",IF(OR(N(Tasks[[#This Row],[Actual Start]])&gt;0,Tasks[[#This Row],[Progress]]&gt;0),IF(Tasks[[#This Row],[Finish Var]]&gt;0,"Behind","In Progress"),IF(Tasks[[#This Row],[Planned Start]]&lt;StatusDate,"Late Start","Not Started"))))</f>
        <v/>
      </c>
      <c r="AP112" s="21">
        <f>IF(Tasks[[#This Row],[Task Name]]="","",IF(IF(Tasks[[#This Row],[_IsSummary]],COUNTIF(INDEX(Tasks[_LeafCritical],Tasks[[#This Row],[_Row]]+1):INDEX(Tasks[_LeafCritical],Tasks[[#This Row],[_Row]]+Tasks[[#This Row],[_Descendants]]),TRUE())&gt;0,Tasks[[#This Row],[_LeafCritical]]),"Yes",""))</f>
        <v/>
      </c>
      <c r="AQ112" s="61">
        <f>IF(Tasks[[#This Row],[Task Name]]="","",IF(N(Tasks[[#This Row],[Baseline Start]])&gt;0,Tasks[[#This Row],[Baseline Start]],Tasks[[#This Row],[_CalcStart]]))</f>
        <v/>
      </c>
      <c r="AR112" s="61">
        <f>IF(Tasks[[#This Row],[Task Name]]="","",IF(N(Tasks[[#This Row],[Baseline Finish]])&gt;0,Tasks[[#This Row],[Baseline Finish]],Tasks[[#This Row],[_CalcFinish]]))</f>
        <v/>
      </c>
      <c r="AS112" s="21">
        <f>IF(Tasks[[#This Row],[Task Name]]="","",IF(Tasks[[#This Row],[Start]]&gt;=Tasks[[#This Row],[Planned Start]],NETWORKDAYS.INTL(Tasks[[#This Row],[Planned Start]],Tasks[[#This Row],[Start]],WorkWeek,Holidays)-1,1-NETWORKDAYS.INTL(Tasks[[#This Row],[Start]],Tasks[[#This Row],[Planned Start]],WorkWeek,Holidays)))</f>
        <v/>
      </c>
      <c r="AT112" s="61">
        <f>IF(Tasks[[#This Row],[Task Name]]="","",IF(Tasks[[#This Row],[_IsSummary]],MIN(INDEX(Tasks[_LeafLateStart],Tasks[[#This Row],[_Row]]+1):INDEX(Tasks[_LeafLateStart],Tasks[[#This Row],[_Row]]+Tasks[[#This Row],[_Descendants]])),Tasks[[#This Row],[_LeafLateStart]]))</f>
        <v/>
      </c>
      <c r="AU112" s="61">
        <f>IF(Tasks[[#This Row],[Task Name]]="","",IF(Tasks[[#This Row],[_IsSummary]],MAX(INDEX(Tasks[_LeafLateFinish],Tasks[[#This Row],[_Row]]+1):INDEX(Tasks[_LeafLateFinish],Tasks[[#This Row],[_Row]]+Tasks[[#This Row],[_Descendants]])),Tasks[[#This Row],[_LeafLateFinish]]))</f>
        <v/>
      </c>
      <c r="AV112" s="21">
        <f>IF(Tasks[[#This Row],[Task Name]]="","",IF(Tasks[[#This Row],[_IsSummary]],MIN(INDEX(Tasks[_LeafTotalSlack],Tasks[[#This Row],[_Row]]+1):INDEX(Tasks[_LeafTotalSlack],Tasks[[#This Row],[_Row]]+Tasks[[#This Row],[_Descendants]])),Tasks[[#This Row],[_LeafTotalSlack]]))</f>
        <v/>
      </c>
      <c r="AW11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3" t="n"/>
      <c r="BA11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f>IF(Tasks[[#This Row],[Task Name]]="","",IF(Tasks[[#This Row],[_Level]]&lt;=OutlineShowLevel,"Yes","No"))</f>
        <v/>
      </c>
      <c r="BE112" s="84">
        <f>IF(Tasks[[#This Row],[Task Name]]="","",IF(Tasks[[#This Row],[_IsSummary]],SUM(INDEX(Tasks[_LeafTotalWork],Tasks[[#This Row],[_Row]]+1):INDEX(Tasks[_LeafTotalWork],Tasks[[#This Row],[_Row]]+Tasks[[#This Row],[_Descendants]])),Tasks[[#This Row],[_LeafTotalWork]]))</f>
        <v/>
      </c>
      <c r="BF112" s="23" t="n"/>
      <c r="BG11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f>""</f>
        <v/>
      </c>
      <c r="BI112" s="85" t="n"/>
      <c r="BJ112" s="22" t="n"/>
      <c r="BK112" s="21">
        <f>IF(OR(Tasks[[#This Row],[Task Name]]="",Tasks[[#This Row],[Baseline Duration]]=""),"",Tasks[[#This Row],[_SpanDays]]-N(Tasks[[#This Row],[Baseline Duration]]))</f>
        <v/>
      </c>
      <c r="BL112" s="84">
        <f>IF(OR(Tasks[[#This Row],[Task Name]]="",Tasks[[#This Row],[Baseline Work]]=""),"",Tasks[[#This Row],[Work]]-N(Tasks[[#This Row],[Baseline Work]]))</f>
        <v/>
      </c>
      <c r="BM112" s="61">
        <f>IF(Tasks[[#This Row],[Task Name]]="","",IF(OR(TakeBaseline="Yes",N(Tasks[[#This Row],[Baseline Start]])=0),Tasks[[#This Row],[Start]],Tasks[[#This Row],[Baseline Start]]))</f>
        <v/>
      </c>
      <c r="BN112" s="61">
        <f>IF(Tasks[[#This Row],[Task Name]]="","",IF(OR(TakeBaseline="Yes",N(Tasks[[#This Row],[Baseline Finish]])=0),Tasks[[#This Row],[Finish]],Tasks[[#This Row],[Baseline Finish]]))</f>
        <v/>
      </c>
      <c r="BO112" s="21">
        <f>IF(Tasks[[#This Row],[Task Name]]="","",IF(OR(TakeBaseline="Yes",N(Tasks[[#This Row],[Baseline Duration]])=0),Tasks[[#This Row],[_SpanDays]],Tasks[[#This Row],[Baseline Duration]]))</f>
        <v/>
      </c>
      <c r="BP112" s="84">
        <f>IF(Tasks[[#This Row],[Task Name]]="","",IF(OR(TakeBaseline="Yes",N(Tasks[[#This Row],[Baseline Work]])=0),Tasks[[#This Row],[Work]],Tasks[[#This Row],[Baseline Work]]))</f>
        <v/>
      </c>
      <c r="BQ112" s="7" t="n"/>
      <c r="BR112" s="7" t="n"/>
      <c r="BS112" s="22" t="n"/>
      <c r="BT112" s="86" t="n"/>
      <c r="BU112" s="23" t="n"/>
      <c r="BV112" s="23" t="n"/>
      <c r="BW112" s="23" t="n"/>
      <c r="BX112" s="87">
        <f>IF(AND(Tasks[[#This Row],[_IsLeaf]]=1,ISNUMBER(Tasks[[#This Row],[Optimistic]]),ISNUMBER(Tasks[[#This Row],[Pessimistic]])),ROUND((Tasks[[#This Row],[Optimistic]]+4*N(Tasks[[#This Row],[_Days]])+Tasks[[#This Row],[Pessimistic]])/6,1),"")</f>
        <v/>
      </c>
      <c r="BY112" s="85" t="n"/>
      <c r="BZ112" s="85" t="n"/>
      <c r="CA112" s="22" t="n"/>
      <c r="CB112" s="42">
        <f>IF(Tasks[[#This Row],[Task Name]]="","",MAX(1,N(Tasks[[#This Row],[Level]])))</f>
        <v/>
      </c>
      <c r="CC112" s="42">
        <f>ROW()-ROW(Tasks[[#Headers],[ID]])</f>
        <v/>
      </c>
      <c r="CD112" s="42">
        <f>IF(OR(Tasks[[#This Row],[Task Name]]="",Tasks[[#This Row],[_Level]]&lt;=1),0,IFERROR(LOOKUP(2,1/(Tasks[[#Headers],[_Level]]:Tasks[[#This Row],[_Level]]=Tasks[[#This Row],[_Level]]-1),ROW(Tasks[[#Headers],[_Level]]:Tasks[[#This Row],[_Level]])),0))</f>
        <v/>
      </c>
      <c r="CE112" s="42">
        <f>IFERROR(N(INDEX(Tasks[_Level],Tasks[[#This Row],[_Row]]+1)),0)</f>
        <v/>
      </c>
      <c r="CF112" s="42">
        <f>AND(Tasks[[#This Row],[Task Name]]&lt;&gt;"",Tasks[[#This Row],[_NextLevel]]&gt;Tasks[[#This Row],[_Level]])</f>
        <v/>
      </c>
      <c r="CG112" s="42">
        <f>IF(Tasks[[#This Row],[_IsSummary]],COUNTIF(Tasks[WBS],Tasks[[#This Row],[WBS]]&amp;".*"),0)</f>
        <v/>
      </c>
      <c r="CH112" s="42">
        <f>IF(AND(Tasks[[#This Row],[Task Name]]&lt;&gt;"",NOT(Tasks[[#This Row],[_IsSummary]])),1,0)</f>
        <v/>
      </c>
      <c r="CI112" s="42">
        <f>IF(N(Tasks[[#This Row],[_Pred1UID]])=0,0,IFERROR(MATCH(Tasks[[#This Row],[_Pred1UID]],Tasks[UID],0),-1))</f>
        <v/>
      </c>
      <c r="CJ112" s="42">
        <f>IF(N(Tasks[[#This Row],[_Pred2UID]])=0,0,IFERROR(MATCH(Tasks[[#This Row],[_Pred2UID]],Tasks[UID],0),-1))</f>
        <v/>
      </c>
      <c r="CK112" s="42">
        <f>IF(N(Tasks[[#This Row],[_Pred3UID]])=0,0,IFERROR(MATCH(Tasks[[#This Row],[_Pred3UID]],Tasks[UID],0),-1))</f>
        <v/>
      </c>
      <c r="CL112" s="42">
        <f>IF(N(Tasks[[#This Row],[_Pred4UID]])=0,0,IFERROR(MATCH(Tasks[[#This Row],[_Pred4UID]],Tasks[UID],0),-1))</f>
        <v/>
      </c>
      <c r="CM11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2" s="88">
        <f>IF(N(Tasks[[#This Row],[Constraint Date]])=0,0,IF(AND(OR(Tasks[[#This Row],[_ConstraintCode]]=3,Tasks[[#This Row],[_ConstraintCode]]=6,Tasks[[#This Row],[_ConstraintCode]]=7),N(Tasks[[#This Row],[_Days]])&gt;1),WORKDAY.INTL(N(Tasks[[#This Row],[Constraint Date]]),-(N(Tasks[[#This Row],[_Days]])-1),WorkWeek,Holidays),N(Tasks[[#This Row],[Constraint Date]])))</f>
        <v/>
      </c>
      <c r="CO112" s="88">
        <f>IF(OR(Tasks[[#This Row],[_ConstraintCode]]=2,Tasks[[#This Row],[_ConstraintCode]]=3,Tasks[[#This Row],[_ConstraintCode]]=4,Tasks[[#This Row],[_ConstraintCode]]=6),Tasks[[#This Row],[_ConstraintStart]],0)</f>
        <v/>
      </c>
      <c r="CP112" s="88">
        <f>IF(OR(Tasks[[#This Row],[_ConstraintCode]]=2,Tasks[[#This Row],[_ConstraintCode]]=3,Tasks[[#This Row],[_ConstraintCode]]=5,Tasks[[#This Row],[_ConstraintCode]]=7),Tasks[[#This Row],[_ConstraintStart]],2958465)</f>
        <v/>
      </c>
      <c r="CQ11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2" s="88">
        <f>IF(NOT(Tasks[[#This Row],[_IsLeaf]]=1),"",IF(N(Tasks[[#This Row],[_Days]])&lt;=0,Tasks[[#This Row],[_LeafCalcStart]],WORKDAY.INTL(Tasks[[#This Row],[_LeafCalcStart]],Tasks[[#This Row],[_Days]]-1,WorkWeek,Holidays)))</f>
        <v/>
      </c>
      <c r="CS11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2" s="42">
        <f>IF(Tasks[[#This Row],[_Predecessors]]="","",TRIM(MID(SUBSTITUTE(SUBSTITUTE(SUBSTITUTE(UPPER(Tasks[[#This Row],[_Predecessors]]),";",",")," ",""),",",REPT(" ",99)),1,99)))</f>
        <v/>
      </c>
      <c r="CV112" s="42">
        <f>IF(Tasks[[#This Row],[_Pred1Text]]="","",IFERROR(VALUE(LEFT(Tasks[[#This Row],[_Pred1Text]],MIN(FIND("F",Tasks[[#This Row],[_Pred1Text]]&amp;"F"),FIND("S",Tasks[[#This Row],[_Pred1Text]]&amp;"S"),FIND("+",Tasks[[#This Row],[_Pred1Text]]&amp;"+"),FIND("-",Tasks[[#This Row],[_Pred1Text]]&amp;"-"))-1)),""))</f>
        <v/>
      </c>
      <c r="CW11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2" s="42">
        <f>IF(Tasks[[#This Row],[_Pred1Text]]="","",TRIM(MID(SUBSTITUTE(SUBSTITUTE(SUBSTITUTE(UPPER(Tasks[[#This Row],[_Predecessors]]),";",",")," ",""),",",REPT(" ",99)),100,99)))</f>
        <v/>
      </c>
      <c r="CZ112" s="42">
        <f>IF(Tasks[[#This Row],[_Pred2Text]]="","",IFERROR(VALUE(LEFT(Tasks[[#This Row],[_Pred2Text]],MIN(FIND("F",Tasks[[#This Row],[_Pred2Text]]&amp;"F"),FIND("S",Tasks[[#This Row],[_Pred2Text]]&amp;"S"),FIND("+",Tasks[[#This Row],[_Pred2Text]]&amp;"+"),FIND("-",Tasks[[#This Row],[_Pred2Text]]&amp;"-"))-1)),""))</f>
        <v/>
      </c>
      <c r="DA11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2" s="42">
        <f>IF(Tasks[[#This Row],[_Pred2Text]]="","",TRIM(MID(SUBSTITUTE(SUBSTITUTE(SUBSTITUTE(UPPER(Tasks[[#This Row],[_Predecessors]]),";",",")," ",""),",",REPT(" ",99)),199,99)))</f>
        <v/>
      </c>
      <c r="DD112" s="42">
        <f>IF(Tasks[[#This Row],[_Pred3Text]]="","",IFERROR(VALUE(LEFT(Tasks[[#This Row],[_Pred3Text]],MIN(FIND("F",Tasks[[#This Row],[_Pred3Text]]&amp;"F"),FIND("S",Tasks[[#This Row],[_Pred3Text]]&amp;"S"),FIND("+",Tasks[[#This Row],[_Pred3Text]]&amp;"+"),FIND("-",Tasks[[#This Row],[_Pred3Text]]&amp;"-"))-1)),""))</f>
        <v/>
      </c>
      <c r="DE11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2" s="42">
        <f>IF(Tasks[[#This Row],[_Pred3Text]]="","",TRIM(MID(SUBSTITUTE(SUBSTITUTE(SUBSTITUTE(UPPER(Tasks[[#This Row],[_Predecessors]]),";",",")," ",""),",",REPT(" ",99)),298,99)))</f>
        <v/>
      </c>
      <c r="DH112" s="42">
        <f>IF(Tasks[[#This Row],[_Pred4Text]]="","",IFERROR(VALUE(LEFT(Tasks[[#This Row],[_Pred4Text]],MIN(FIND("F",Tasks[[#This Row],[_Pred4Text]]&amp;"F"),FIND("S",Tasks[[#This Row],[_Pred4Text]]&amp;"S"),FIND("+",Tasks[[#This Row],[_Pred4Text]]&amp;"+"),FIND("-",Tasks[[#This Row],[_Pred4Text]]&amp;"-"))-1)),""))</f>
        <v/>
      </c>
      <c r="DI11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2" s="42">
        <f>IF(OR(Tasks[[#This Row],[Task Name]]="",Tasks[[#This Row],[_Resources]]=""),"",TRIM(MID(SUBSTITUTE(Tasks[[#This Row],[_Resources]],",",REPT(" ",99)),1,99)))</f>
        <v/>
      </c>
      <c r="DL112" s="42">
        <f>IF(Tasks[[#This Row],[_Res1Text]]="","",TRIM(MID(SUBSTITUTE(Tasks[[#This Row],[_Resources]],",",REPT(" ",99)),100,99)))</f>
        <v/>
      </c>
      <c r="DM112" s="42">
        <f>IF(Tasks[[#This Row],[_Res2Text]]="","",TRIM(MID(SUBSTITUTE(Tasks[[#This Row],[_Resources]],",",REPT(" ",99)),199,99)))</f>
        <v/>
      </c>
      <c r="DN112" s="42">
        <f>IF(Tasks[[#This Row],[_Res3Text]]="","",TRIM(MID(SUBSTITUTE(Tasks[[#This Row],[_Resources]],",",REPT(" ",99)),298,99)))</f>
        <v/>
      </c>
      <c r="DO112" s="42">
        <f>IF(Tasks[[#This Row],[_Res1Text]]="",0,IFERROR(MATCH(TRIM(LEFT(Tasks[[#This Row],[_Res1Text]],FIND("[",Tasks[[#This Row],[_Res1Text]]&amp;"[")-1)),res_Name,0),IFERROR(MATCH(TRIM(LEFT(Tasks[[#This Row],[_Res1Text]],FIND("[",Tasks[[#This Row],[_Res1Text]]&amp;"[")-1)),res_Initials,0),0)))</f>
        <v/>
      </c>
      <c r="DP112" s="42">
        <f>IF(Tasks[[#This Row],[_Res2Text]]="",0,IFERROR(MATCH(TRIM(LEFT(Tasks[[#This Row],[_Res2Text]],FIND("[",Tasks[[#This Row],[_Res2Text]]&amp;"[")-1)),res_Name,0),IFERROR(MATCH(TRIM(LEFT(Tasks[[#This Row],[_Res2Text]],FIND("[",Tasks[[#This Row],[_Res2Text]]&amp;"[")-1)),res_Initials,0),0)))</f>
        <v/>
      </c>
      <c r="DQ112" s="42">
        <f>IF(Tasks[[#This Row],[_Res3Text]]="",0,IFERROR(MATCH(TRIM(LEFT(Tasks[[#This Row],[_Res3Text]],FIND("[",Tasks[[#This Row],[_Res3Text]]&amp;"[")-1)),res_Name,0),IFERROR(MATCH(TRIM(LEFT(Tasks[[#This Row],[_Res3Text]],FIND("[",Tasks[[#This Row],[_Res3Text]]&amp;"[")-1)),res_Initials,0),0)))</f>
        <v/>
      </c>
      <c r="DR112" s="42">
        <f>IF(Tasks[[#This Row],[_Res4Text]]="",0,IFERROR(MATCH(TRIM(LEFT(Tasks[[#This Row],[_Res4Text]],FIND("[",Tasks[[#This Row],[_Res4Text]]&amp;"[")-1)),res_Name,0),IFERROR(MATCH(TRIM(LEFT(Tasks[[#This Row],[_Res4Text]],FIND("[",Tasks[[#This Row],[_Res4Text]]&amp;"[")-1)),res_Initials,0),0)))</f>
        <v/>
      </c>
      <c r="DS112" s="42">
        <f>IF(Tasks[[#This Row],[_Res1Text]]="","",IF(Tasks[[#This Row],[_Res1Row]]&gt;0,INDEX(res_Name,Tasks[[#This Row],[_Res1Row]]),TRIM(LEFT(Tasks[[#This Row],[_Res1Text]],FIND("[",Tasks[[#This Row],[_Res1Text]]&amp;"[")-1))))</f>
        <v/>
      </c>
      <c r="DT11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2" s="42">
        <f>IF(NOT(Tasks[[#This Row],[_IsLeaf]]=1),0,(Tasks[[#This Row],[_Resource1]]&lt;&gt;"")+(Tasks[[#This Row],[_Res2]]&lt;&gt;"")+(Tasks[[#This Row],[_Res3]]&lt;&gt;"")+(Tasks[[#This Row],[_Res4]]&lt;&gt;""))</f>
        <v/>
      </c>
      <c r="DV112" s="42">
        <f>IF(Tasks[[#This Row],[_Res2Text]]="","",IF(Tasks[[#This Row],[_Res2Row]]&gt;0,INDEX(res_Name,Tasks[[#This Row],[_Res2Row]]),TRIM(LEFT(Tasks[[#This Row],[_Res2Text]],FIND("[",Tasks[[#This Row],[_Res2Text]]&amp;"[")-1))))</f>
        <v/>
      </c>
      <c r="DW11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2" s="42">
        <f>IF(OR(NOT(Tasks[[#This Row],[_IsLeaf]]=1),Tasks[[#This Row],[_Res2Row]]=0),0,N(Tasks[[#This Row],[_Days]])*HoursPerDay*IF(Tasks[[#This Row],[_Res2Units]]="",DefaultUnits,Tasks[[#This Row],[_Res2Units]]))</f>
        <v/>
      </c>
      <c r="DY112" s="42">
        <f>IF(AND(AND(Tasks[[#This Row],[_IsLeaf]]=1,Tasks[[#This Row],[_LeafTotalWork]]&gt;0),Tasks[[#This Row],[_Res2Work]]&gt;0),Tasks[[#This Row],[_Res2Work]]/(Tasks[[#This Row],[_FinishWorkday]]-Tasks[[#This Row],[_StartWorkday]]+1),0)</f>
        <v/>
      </c>
      <c r="DZ112" s="42">
        <f>Tasks[[#This Row],[_Res2WorkPerWD]]*MAX(0,Tasks[[#This Row],[_StartWorkday]]-1)</f>
        <v/>
      </c>
      <c r="EA112" s="42">
        <f>Tasks[[#This Row],[_Res2Work]]*Tasks[[#This Row],[_LeafProgress]]</f>
        <v/>
      </c>
      <c r="EB112" s="42">
        <f>IF(Tasks[[#This Row],[_Res3Text]]="","",IF(Tasks[[#This Row],[_Res3Row]]&gt;0,INDEX(res_Name,Tasks[[#This Row],[_Res3Row]]),TRIM(LEFT(Tasks[[#This Row],[_Res3Text]],FIND("[",Tasks[[#This Row],[_Res3Text]]&amp;"[")-1))))</f>
        <v/>
      </c>
      <c r="EC11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2" s="42">
        <f>IF(OR(NOT(Tasks[[#This Row],[_IsLeaf]]=1),Tasks[[#This Row],[_Res3Row]]=0),0,N(Tasks[[#This Row],[_Days]])*HoursPerDay*IF(Tasks[[#This Row],[_Res3Units]]="",DefaultUnits,Tasks[[#This Row],[_Res3Units]]))</f>
        <v/>
      </c>
      <c r="EE112" s="42">
        <f>IF(AND(AND(Tasks[[#This Row],[_IsLeaf]]=1,Tasks[[#This Row],[_LeafTotalWork]]&gt;0),Tasks[[#This Row],[_Res3Work]]&gt;0),Tasks[[#This Row],[_Res3Work]]/(Tasks[[#This Row],[_FinishWorkday]]-Tasks[[#This Row],[_StartWorkday]]+1),0)</f>
        <v/>
      </c>
      <c r="EF112" s="42">
        <f>Tasks[[#This Row],[_Res3WorkPerWD]]*MAX(0,Tasks[[#This Row],[_StartWorkday]]-1)</f>
        <v/>
      </c>
      <c r="EG112" s="42">
        <f>Tasks[[#This Row],[_Res3Work]]*Tasks[[#This Row],[_LeafProgress]]</f>
        <v/>
      </c>
      <c r="EH112" s="42">
        <f>IF(Tasks[[#This Row],[_Res4Text]]="","",IF(Tasks[[#This Row],[_Res4Row]]&gt;0,INDEX(res_Name,Tasks[[#This Row],[_Res4Row]]),TRIM(LEFT(Tasks[[#This Row],[_Res4Text]],FIND("[",Tasks[[#This Row],[_Res4Text]]&amp;"[")-1))))</f>
        <v/>
      </c>
      <c r="EI11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2" s="42">
        <f>IF(OR(NOT(Tasks[[#This Row],[_IsLeaf]]=1),Tasks[[#This Row],[_Res4Row]]=0),0,N(Tasks[[#This Row],[_Days]])*HoursPerDay*IF(Tasks[[#This Row],[_Res4Units]]="",DefaultUnits,Tasks[[#This Row],[_Res4Units]]))</f>
        <v/>
      </c>
      <c r="EK112" s="42">
        <f>IF(AND(AND(Tasks[[#This Row],[_IsLeaf]]=1,Tasks[[#This Row],[_LeafTotalWork]]&gt;0),Tasks[[#This Row],[_Res4Work]]&gt;0),Tasks[[#This Row],[_Res4Work]]/(Tasks[[#This Row],[_FinishWorkday]]-Tasks[[#This Row],[_StartWorkday]]+1),0)</f>
        <v/>
      </c>
      <c r="EL112" s="42">
        <f>Tasks[[#This Row],[_Res4WorkPerWD]]*MAX(0,Tasks[[#This Row],[_StartWorkday]]-1)</f>
        <v/>
      </c>
      <c r="EM112" s="42">
        <f>Tasks[[#This Row],[_Res4Work]]*Tasks[[#This Row],[_LeafProgress]]</f>
        <v/>
      </c>
      <c r="EN112" s="42">
        <f>IF(ISNUMBER(Tasks[[#This Row],[% Complete]]),Tasks[[#This Row],[% Complete]],IF(Tasks[[#This Row],[Stage]]="",0,IFERROR(INDEX(stg_Pct,MATCH(Tasks[[#This Row],[Stage]],stg_Name,0)),0)))</f>
        <v/>
      </c>
      <c r="EO112" s="42">
        <f>IF(NOT(Tasks[[#This Row],[_IsLeaf]]=1),0,IF(N(Tasks[[#This Row],[Actual Finish]])&gt;0,1,MIN(1,Tasks[[#This Row],[_Pct]])))</f>
        <v/>
      </c>
      <c r="EP112" s="42">
        <f>IF(OR(NOT(Tasks[[#This Row],[_IsLeaf]]=1),Tasks[[#This Row],[_Res1Row]]=0),0,N(Tasks[[#This Row],[_Days]])*HoursPerDay*IF(Tasks[[#This Row],[_Units1]]="",DefaultUnits,Tasks[[#This Row],[_Units1]]))</f>
        <v/>
      </c>
      <c r="EQ112" s="42">
        <f>Tasks[[#This Row],[_LeafWork]]+Tasks[[#This Row],[_Res2Work]]+Tasks[[#This Row],[_Res3Work]]+Tasks[[#This Row],[_Res4Work]]</f>
        <v/>
      </c>
      <c r="ER11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2" s="42">
        <f>IF(NOT(Tasks[[#This Row],[_IsLeaf]]=1),0,MAX(_xlfn.MAXIFS(Tasks[_Row],Tasks[_Pred1UID],Tasks[[#This Row],[UID]]),_xlfn.MAXIFS(Tasks[_Row],Tasks[_Pred2UID],Tasks[[#This Row],[UID]]),_xlfn.MAXIFS(Tasks[_Row],Tasks[_Pred3UID],Tasks[[#This Row],[UID]]),_xlfn.MAXIFS(Tasks[_Row],Tasks[_Pred4UID],Tasks[[#This Row],[UID]])))</f>
        <v/>
      </c>
      <c r="FA11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2" s="88">
        <f>IF(NOT(Tasks[[#This Row],[_IsLeaf]]=1),"",IF(N(Tasks[[#This Row],[_Days]])&lt;=0,Tasks[[#This Row],[_LeafLateFinish]],WORKDAY.INTL(Tasks[[#This Row],[_LeafLateFinish]],-(Tasks[[#This Row],[_Days]]-1),WorkWeek,Holidays)))</f>
        <v/>
      </c>
      <c r="FD11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2" s="42">
        <f>AND(Tasks[[#This Row],[_IsLeaf]]=1,Tasks[[#This Row],[_LeafProgress]]&lt;1,N(Tasks[[#This Row],[_LeafTotalSlack]])&lt;=CriticalSlackDays)</f>
        <v/>
      </c>
      <c r="FF112" s="42">
        <f>IF(AND(Tasks[[#This Row],[_IsLeaf]]=1,Tasks[[#This Row],[_ConstraintCode]]=1,Tasks[[#This Row],[Mode]]&lt;&gt;"Manual",N(Tasks[[#This Row],[Actual Start]])=0),MAX(0,N(Tasks[[#This Row],[Free Slack]])),0)</f>
        <v/>
      </c>
      <c r="FG112" s="88">
        <f>IF(NOT(Tasks[[#This Row],[_IsLeaf]]=1),"",IF(Tasks[[#This Row],[_AlapShift]]=0,Tasks[[#This Row],[_LeafCalcStart]],WORKDAY.INTL(Tasks[[#This Row],[_LeafCalcStart]],Tasks[[#This Row],[_AlapShift]],WorkWeek,Holidays)))</f>
        <v/>
      </c>
      <c r="FH112" s="88">
        <f>IF(NOT(Tasks[[#This Row],[_IsLeaf]]=1),"",IF(Tasks[[#This Row],[_AlapShift]]=0,Tasks[[#This Row],[_LeafCalcFinish]],WORKDAY.INTL(Tasks[[#This Row],[_LeafCalcFinish]],Tasks[[#This Row],[_AlapShift]],WorkWeek,Holidays)))</f>
        <v/>
      </c>
      <c r="FI112" s="88">
        <f>IF(NOT(Tasks[[#This Row],[_IsLeaf]]=1),"",IF(Tasks[[#This Row],[_AlapShift]]=0,Tasks[[#This Row],[_LeafFcstStart]],WORKDAY.INTL(Tasks[[#This Row],[_LeafFcstStart]],Tasks[[#This Row],[_AlapShift]],WorkWeek,Holidays)))</f>
        <v/>
      </c>
      <c r="FJ112" s="88">
        <f>IF(NOT(Tasks[[#This Row],[_IsLeaf]]=1),"",IF(Tasks[[#This Row],[_AlapShift]]=0,Tasks[[#This Row],[_LeafFcstFinish]],WORKDAY.INTL(Tasks[[#This Row],[_LeafFcstFinish]],Tasks[[#This Row],[_AlapShift]],WorkWeek,Holidays)))</f>
        <v/>
      </c>
      <c r="FK112" s="88">
        <f>IF(Tasks[[#This Row],[Task Name]]="","",IF(Tasks[[#This Row],[_IsSummary]],MIN(INDEX(Tasks[_ShownCalcStart],Tasks[[#This Row],[_Row]]+1):INDEX(Tasks[_ShownCalcStart],Tasks[[#This Row],[_Row]]+Tasks[[#This Row],[_Descendants]])),Tasks[[#This Row],[_ShownCalcStart]]))</f>
        <v/>
      </c>
      <c r="FL112" s="88">
        <f>IF(Tasks[[#This Row],[Task Name]]="","",IF(Tasks[[#This Row],[_IsSummary]],MAX(INDEX(Tasks[_ShownCalcFinish],Tasks[[#This Row],[_Row]]+1):INDEX(Tasks[_ShownCalcFinish],Tasks[[#This Row],[_Row]]+Tasks[[#This Row],[_Descendants]])),Tasks[[#This Row],[_ShownCalcFinish]]))</f>
        <v/>
      </c>
      <c r="FM11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2" s="42">
        <f>IF(AND(Tasks[[#This Row],[_IsLeaf]]=1,Tasks[[#This Row],[_LeafTotalWork]]&gt;0),NETWORKDAYS.INTL(ProjectStart,Tasks[[#This Row],[_ShownFcstStart]],WorkWeek,Holidays),0)</f>
        <v/>
      </c>
      <c r="FZ112" s="42">
        <f>IF(AND(Tasks[[#This Row],[_IsLeaf]]=1,Tasks[[#This Row],[_LeafTotalWork]]&gt;0),MAX(Tasks[[#This Row],[_StartWorkday]],NETWORKDAYS.INTL(ProjectStart,Tasks[[#This Row],[_ShownFcstFinish]],WorkWeek,Holidays)),0)</f>
        <v/>
      </c>
      <c r="GA112" s="42">
        <f>IF(AND(Tasks[[#This Row],[_IsLeaf]]=1,Tasks[[#This Row],[_LeafTotalWork]]&gt;0),Tasks[[#This Row],[_LeafWork]]/(Tasks[[#This Row],[_FinishWorkday]]-Tasks[[#This Row],[_StartWorkday]]+1),0)</f>
        <v/>
      </c>
      <c r="GB112" s="42">
        <f>Tasks[[#This Row],[_WorkPerWorkday]]*(Tasks[[#This Row],[_StartWorkday]]-1)</f>
        <v/>
      </c>
      <c r="GC112" s="42">
        <f>IF(Tasks[[#This Row],[_IsLeaf]]=1,MAX(N(Tasks[[#This Row],[_Days]]),0.1),0)</f>
        <v/>
      </c>
      <c r="GD112" s="42">
        <f>Tasks[[#This Row],[_WeightDur]]*Tasks[[#This Row],[_LeafProgress]]</f>
        <v/>
      </c>
      <c r="GE112" s="42">
        <f>Tasks[[#This Row],[_WeightDur]]*Tasks[[#This Row],[_PlannedPct]]</f>
        <v/>
      </c>
      <c r="GF11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2" s="42">
        <f>IF(AND(Tasks[[#This Row],[_IsLeaf]]=1,N(Tasks[[#This Row],[_Days]])=0,Tasks[[#This Row],[_LeafProgress]]&lt;1),Tasks[[#This Row],[_ShownFcstFinish]]+Tasks[[#This Row],[_Row]]/100000,"")</f>
        <v/>
      </c>
      <c r="GH11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2" s="42">
        <f>IF(Tasks[[#This Row],[Task Name]]="","",LEFT(Tasks[[#This Row],[WBS]],FIND(".",Tasks[[#This Row],[WBS]]&amp;".")-1))</f>
        <v/>
      </c>
      <c r="GJ112" s="42">
        <f>IF(AND(Tasks[[#This Row],[Task Name]]&lt;&gt;"",Tasks[[#This Row],[_Level]]=1),Tasks[[#This Row],[_Row]],"")</f>
        <v/>
      </c>
      <c r="GK112" s="42">
        <f>IF(AND(Tasks[[#This Row],[_IsLeaf]]=1,N(Tasks[[#This Row],[_Days]])=0),Tasks[[#This Row],[Planned Finish]]+Tasks[[#This Row],[_Row]]/100000,"")</f>
        <v/>
      </c>
      <c r="GL112" s="42">
        <f>IF(AND(Tasks[[#This Row],[_IsLeaf]]=1,Tasks[[#This Row],[_LeafProgress]]&lt;1,OR(N(Tasks[[#This Row],[Finish Var]])&gt;0,Tasks[[#This Row],[Status]]="Late Start")),MAX(0,Tasks[[#This Row],[Finish Var]])+1-Tasks[[#This Row],[_Row]]/1000000,"")</f>
        <v/>
      </c>
      <c r="GM112" s="42">
        <f>IF(AND(Tasks[[#This Row],[_IsLeaf]]=1,N(Tasks[[#This Row],[Actual Start]])=0,Tasks[[#This Row],[_ShownFcstStart]]&gt;=StatusDate,Tasks[[#This Row],[_ShownFcstStart]]&lt;=LookaheadEnd),Tasks[[#This Row],[_ShownFcstStart]]+Tasks[[#This Row],[_Row]]/100000,"")</f>
        <v/>
      </c>
      <c r="GN112" s="42">
        <f>IF(AND(Tasks[[#This Row],[_IsLeaf]]=1,Tasks[[#This Row],[_LeafProgress]]&lt;1,Tasks[[#This Row],[_ShownFcstFinish]]&gt;=StatusDate,Tasks[[#This Row],[_ShownFcstFinish]]&lt;=LookaheadEnd),Tasks[[#This Row],[_ShownFcstFinish]]+Tasks[[#This Row],[_Row]]/100000,"")</f>
        <v/>
      </c>
      <c r="GO112" s="42">
        <f>IF(Tasks[[#This Row],[_LeafCritical]],Tasks[[#This Row],[_ShownFcstStart]]+Tasks[[#This Row],[_Row]]/100000,"")</f>
        <v/>
      </c>
      <c r="GP112" s="42">
        <f>Tasks[[#This Row],[_LeafWork]]*Tasks[[#This Row],[_LeafProgress]]</f>
        <v/>
      </c>
      <c r="GQ112" s="88">
        <f>IF(AND(Tasks[[#This Row],[_IsLeaf]]=1,Tasks[[#This Row],[_LeafProgress]]&gt;=1),IF(N(Tasks[[#This Row],[Actual Finish]])&gt;0,Tasks[[#This Row],[Actual Finish]],Tasks[[#This Row],[_ShownFcstFinish]]),"")</f>
        <v/>
      </c>
      <c r="GR112" s="42">
        <f>IF(Tasks[[#This Row],[_IsLeaf]]=1,N(Tasks[[#This Row],[Story Points]]),0)</f>
        <v/>
      </c>
      <c r="GS112" s="42">
        <f>""</f>
        <v/>
      </c>
      <c r="GT112" s="42">
        <f>IF(Tasks[[#This Row],[Task Name]]="",FALSE(),AND(Tasks[[#This Row],[_IsLeaf]]=1,N(Tasks[[#This Row],[_Days]])=0))</f>
        <v/>
      </c>
      <c r="GU112" s="88">
        <f>IF(Tasks[[#This Row],[Task Name]]="",0,IF(AND(Tasks[[#This Row],[_IsLeaf]]=1,NOT(Tasks[[#This Row],[_IsMilestone]]),N(Tasks[[#This Row],[Progress]])&gt;0),Tasks[[#This Row],[Start]],0))</f>
        <v/>
      </c>
      <c r="GV112" s="88">
        <f>IF(Tasks[[#This Row],[_DoneFrom]]=0,0,IF(Tasks[[#This Row],[Progress]]&gt;=1,Tasks[[#This Row],[Finish]],MAX(Tasks[[#This Row],[_DoneFrom]],Tasks[[#This Row],[Start]]+ROUND((Tasks[[#This Row],[Finish]]-Tasks[[#This Row],[Start]]+1)*Tasks[[#This Row],[Progress]],0)-1)))</f>
        <v/>
      </c>
      <c r="GW112" s="88">
        <f>IF(Tasks[[#This Row],[Task Name]]="",0,IF(OR(NOT(Tasks[[#This Row],[_IsLeaf]]=1),Tasks[[#This Row],[_IsMilestone]],N(Tasks[[#This Row],[Progress]])&gt;=1),0,IF(Tasks[[#This Row],[_DoneTo]]&gt;0,Tasks[[#This Row],[_DoneTo]]+1,Tasks[[#This Row],[Start]])))</f>
        <v/>
      </c>
      <c r="GX112" s="88">
        <f>IF(Tasks[[#This Row],[_RemFrom]]=0,0,Tasks[[#This Row],[Finish]])</f>
        <v/>
      </c>
      <c r="GY112" s="42">
        <f>IF(Tasks[[#This Row],[Task Name]]="",FALSE(),OR(NOT(BaselineSet),N(Tasks[[#This Row],[Baseline Start]])&gt;0))</f>
        <v/>
      </c>
      <c r="GZ112" s="42">
        <f>IF(AND(Sandbox="Yes",L_PARSE_DURATION(Tasks[[#This Row],[Sandbox Duration]])&lt;&gt;""),L_PARSE_DURATION(Tasks[[#This Row],[Sandbox Duration]]),L_PARSE_DURATION(Tasks[[#This Row],[Duration]]))</f>
        <v/>
      </c>
      <c r="HA11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2" s="42">
        <f>IF(Tasks[[#This Row],[_IsLeaf]]=1,Tasks[[#This Row],[_Row]],"")</f>
        <v/>
      </c>
      <c r="HD112" s="42">
        <f>IFERROR(INDEX(Tasks[UID],SMALL(Tasks[_PickKey],Tasks[[#This Row],[_Row]]))&amp;" "&amp;INDEX(Tasks[Task Name],SMALL(Tasks[_PickKey],Tasks[[#This Row],[_Row]])),"")</f>
        <v/>
      </c>
      <c r="HE112" s="42">
        <f>IF(Tasks[[#This Row],[Task Name]]="","",IF(Tasks[[#This Row],[_IsSummary]],NETWORKDAYS.INTL(Tasks[[#This Row],[Start]],Tasks[[#This Row],[Finish]],WorkWeek,Holidays),N(Tasks[[#This Row],[_Days]])))</f>
        <v/>
      </c>
      <c r="HF112" s="42">
        <f>IF(Tasks[[#This Row],[Expected]]="",0,((Tasks[[#This Row],[Pessimistic]]-Tasks[[#This Row],[Optimistic]])/6)^2)</f>
        <v/>
      </c>
      <c r="HG112" s="42">
        <f>IF(Tasks[[#This Row],[Expected]]="",0,Tasks[[#This Row],[Expected]]-N(Tasks[[#This Row],[_Days]]))</f>
        <v/>
      </c>
    </row>
    <row r="113">
      <c r="A113" s="21">
        <f>IF(Tasks[[#This Row],[Task Name]]="","",COUNTA(Tasks[[#Headers],[Task Name]]:Tasks[[#This Row],[Task Name]])-1)</f>
        <v/>
      </c>
      <c r="B113" s="22" t="n">
        <v>121</v>
      </c>
      <c r="C113" s="22" t="n"/>
      <c r="D113" s="23" t="n"/>
      <c r="E113" s="22" t="n"/>
      <c r="F113" s="23" t="n"/>
      <c r="G113" s="22" t="n"/>
      <c r="H113" s="22" t="n"/>
      <c r="I113" s="23" t="n"/>
      <c r="J113" s="22" t="n"/>
      <c r="K113" s="22" t="n"/>
      <c r="L113" s="23" t="n"/>
      <c r="M113" s="22" t="n"/>
      <c r="N113" s="22" t="n"/>
      <c r="O113" s="23" t="n"/>
      <c r="P113" s="22" t="n"/>
      <c r="Q113" s="22" t="n"/>
      <c r="R113" s="23" t="n"/>
      <c r="S113" s="23" t="n"/>
      <c r="T113" s="82" t="n"/>
      <c r="U113" s="23" t="n"/>
      <c r="V113" s="82" t="n"/>
      <c r="W113" s="23" t="n"/>
      <c r="X113" s="82" t="n"/>
      <c r="Y113" s="23" t="n"/>
      <c r="Z113" s="82" t="n"/>
      <c r="AA113" s="23" t="n"/>
      <c r="AB113" s="23" t="n"/>
      <c r="AC113" s="7" t="n"/>
      <c r="AD113" s="7" t="n"/>
      <c r="AE113" s="61">
        <f>IF(Tasks[[#This Row],[Task Name]]="","",IF(Tasks[[#This Row],[_IsSummary]],MIN(INDEX(Tasks[_ShownFcstStart],Tasks[[#This Row],[_Row]]+1):INDEX(Tasks[_ShownFcstStart],Tasks[[#This Row],[_Row]]+Tasks[[#This Row],[_Descendants]])),Tasks[[#This Row],[_ShownFcstStart]]))</f>
        <v/>
      </c>
      <c r="AF113" s="61">
        <f>IF(Tasks[[#This Row],[Task Name]]="","",IF(Tasks[[#This Row],[_IsSummary]],MAX(INDEX(Tasks[_ShownFcstFinish],Tasks[[#This Row],[_Row]]+1):INDEX(Tasks[_ShownFcstFinish],Tasks[[#This Row],[_Row]]+Tasks[[#This Row],[_Descendants]])),Tasks[[#This Row],[_ShownFcstFinish]]))</f>
        <v/>
      </c>
      <c r="AG113" s="21">
        <f>""</f>
        <v/>
      </c>
      <c r="AH113" s="23" t="n"/>
      <c r="AI11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3" s="7" t="n"/>
      <c r="AK113" s="22" t="n"/>
      <c r="AL113" s="23" t="n"/>
      <c r="AM113" s="7" t="n"/>
      <c r="AN113" s="21">
        <f>IF(Tasks[[#This Row],[Task Name]]="","",IF(Tasks[[#This Row],[Finish]]&gt;=Tasks[[#This Row],[Planned Finish]],NETWORKDAYS.INTL(Tasks[[#This Row],[Planned Finish]],Tasks[[#This Row],[Finish]],WorkWeek,Holidays)-1,1-NETWORKDAYS.INTL(Tasks[[#This Row],[Finish]],Tasks[[#This Row],[Planned Finish]],WorkWeek,Holidays)))</f>
        <v/>
      </c>
      <c r="AO113" s="21">
        <f>IF(Tasks[[#This Row],[Task Name]]="","",IF(Tasks[[#This Row],[Progress]]&gt;=1,"Complete",IF(OR(N(Tasks[[#This Row],[Actual Start]])&gt;0,Tasks[[#This Row],[Progress]]&gt;0),IF(Tasks[[#This Row],[Finish Var]]&gt;0,"Behind","In Progress"),IF(Tasks[[#This Row],[Planned Start]]&lt;StatusDate,"Late Start","Not Started"))))</f>
        <v/>
      </c>
      <c r="AP113" s="21">
        <f>IF(Tasks[[#This Row],[Task Name]]="","",IF(IF(Tasks[[#This Row],[_IsSummary]],COUNTIF(INDEX(Tasks[_LeafCritical],Tasks[[#This Row],[_Row]]+1):INDEX(Tasks[_LeafCritical],Tasks[[#This Row],[_Row]]+Tasks[[#This Row],[_Descendants]]),TRUE())&gt;0,Tasks[[#This Row],[_LeafCritical]]),"Yes",""))</f>
        <v/>
      </c>
      <c r="AQ113" s="61">
        <f>IF(Tasks[[#This Row],[Task Name]]="","",IF(N(Tasks[[#This Row],[Baseline Start]])&gt;0,Tasks[[#This Row],[Baseline Start]],Tasks[[#This Row],[_CalcStart]]))</f>
        <v/>
      </c>
      <c r="AR113" s="61">
        <f>IF(Tasks[[#This Row],[Task Name]]="","",IF(N(Tasks[[#This Row],[Baseline Finish]])&gt;0,Tasks[[#This Row],[Baseline Finish]],Tasks[[#This Row],[_CalcFinish]]))</f>
        <v/>
      </c>
      <c r="AS113" s="21">
        <f>IF(Tasks[[#This Row],[Task Name]]="","",IF(Tasks[[#This Row],[Start]]&gt;=Tasks[[#This Row],[Planned Start]],NETWORKDAYS.INTL(Tasks[[#This Row],[Planned Start]],Tasks[[#This Row],[Start]],WorkWeek,Holidays)-1,1-NETWORKDAYS.INTL(Tasks[[#This Row],[Start]],Tasks[[#This Row],[Planned Start]],WorkWeek,Holidays)))</f>
        <v/>
      </c>
      <c r="AT113" s="61">
        <f>IF(Tasks[[#This Row],[Task Name]]="","",IF(Tasks[[#This Row],[_IsSummary]],MIN(INDEX(Tasks[_LeafLateStart],Tasks[[#This Row],[_Row]]+1):INDEX(Tasks[_LeafLateStart],Tasks[[#This Row],[_Row]]+Tasks[[#This Row],[_Descendants]])),Tasks[[#This Row],[_LeafLateStart]]))</f>
        <v/>
      </c>
      <c r="AU113" s="61">
        <f>IF(Tasks[[#This Row],[Task Name]]="","",IF(Tasks[[#This Row],[_IsSummary]],MAX(INDEX(Tasks[_LeafLateFinish],Tasks[[#This Row],[_Row]]+1):INDEX(Tasks[_LeafLateFinish],Tasks[[#This Row],[_Row]]+Tasks[[#This Row],[_Descendants]])),Tasks[[#This Row],[_LeafLateFinish]]))</f>
        <v/>
      </c>
      <c r="AV113" s="21">
        <f>IF(Tasks[[#This Row],[Task Name]]="","",IF(Tasks[[#This Row],[_IsSummary]],MIN(INDEX(Tasks[_LeafTotalSlack],Tasks[[#This Row],[_Row]]+1):INDEX(Tasks[_LeafTotalSlack],Tasks[[#This Row],[_Row]]+Tasks[[#This Row],[_Descendants]])),Tasks[[#This Row],[_LeafTotalSlack]]))</f>
        <v/>
      </c>
      <c r="AW11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3" t="n"/>
      <c r="BA11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f>IF(Tasks[[#This Row],[Task Name]]="","",IF(Tasks[[#This Row],[_Level]]&lt;=OutlineShowLevel,"Yes","No"))</f>
        <v/>
      </c>
      <c r="BE113" s="84">
        <f>IF(Tasks[[#This Row],[Task Name]]="","",IF(Tasks[[#This Row],[_IsSummary]],SUM(INDEX(Tasks[_LeafTotalWork],Tasks[[#This Row],[_Row]]+1):INDEX(Tasks[_LeafTotalWork],Tasks[[#This Row],[_Row]]+Tasks[[#This Row],[_Descendants]])),Tasks[[#This Row],[_LeafTotalWork]]))</f>
        <v/>
      </c>
      <c r="BF113" s="23" t="n"/>
      <c r="BG11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f>""</f>
        <v/>
      </c>
      <c r="BI113" s="85" t="n"/>
      <c r="BJ113" s="22" t="n"/>
      <c r="BK113" s="21">
        <f>IF(OR(Tasks[[#This Row],[Task Name]]="",Tasks[[#This Row],[Baseline Duration]]=""),"",Tasks[[#This Row],[_SpanDays]]-N(Tasks[[#This Row],[Baseline Duration]]))</f>
        <v/>
      </c>
      <c r="BL113" s="84">
        <f>IF(OR(Tasks[[#This Row],[Task Name]]="",Tasks[[#This Row],[Baseline Work]]=""),"",Tasks[[#This Row],[Work]]-N(Tasks[[#This Row],[Baseline Work]]))</f>
        <v/>
      </c>
      <c r="BM113" s="61">
        <f>IF(Tasks[[#This Row],[Task Name]]="","",IF(OR(TakeBaseline="Yes",N(Tasks[[#This Row],[Baseline Start]])=0),Tasks[[#This Row],[Start]],Tasks[[#This Row],[Baseline Start]]))</f>
        <v/>
      </c>
      <c r="BN113" s="61">
        <f>IF(Tasks[[#This Row],[Task Name]]="","",IF(OR(TakeBaseline="Yes",N(Tasks[[#This Row],[Baseline Finish]])=0),Tasks[[#This Row],[Finish]],Tasks[[#This Row],[Baseline Finish]]))</f>
        <v/>
      </c>
      <c r="BO113" s="21">
        <f>IF(Tasks[[#This Row],[Task Name]]="","",IF(OR(TakeBaseline="Yes",N(Tasks[[#This Row],[Baseline Duration]])=0),Tasks[[#This Row],[_SpanDays]],Tasks[[#This Row],[Baseline Duration]]))</f>
        <v/>
      </c>
      <c r="BP113" s="84">
        <f>IF(Tasks[[#This Row],[Task Name]]="","",IF(OR(TakeBaseline="Yes",N(Tasks[[#This Row],[Baseline Work]])=0),Tasks[[#This Row],[Work]],Tasks[[#This Row],[Baseline Work]]))</f>
        <v/>
      </c>
      <c r="BQ113" s="7" t="n"/>
      <c r="BR113" s="7" t="n"/>
      <c r="BS113" s="22" t="n"/>
      <c r="BT113" s="86" t="n"/>
      <c r="BU113" s="23" t="n"/>
      <c r="BV113" s="23" t="n"/>
      <c r="BW113" s="23" t="n"/>
      <c r="BX113" s="87">
        <f>IF(AND(Tasks[[#This Row],[_IsLeaf]]=1,ISNUMBER(Tasks[[#This Row],[Optimistic]]),ISNUMBER(Tasks[[#This Row],[Pessimistic]])),ROUND((Tasks[[#This Row],[Optimistic]]+4*N(Tasks[[#This Row],[_Days]])+Tasks[[#This Row],[Pessimistic]])/6,1),"")</f>
        <v/>
      </c>
      <c r="BY113" s="85" t="n"/>
      <c r="BZ113" s="85" t="n"/>
      <c r="CA113" s="22" t="n"/>
      <c r="CB113" s="42">
        <f>IF(Tasks[[#This Row],[Task Name]]="","",MAX(1,N(Tasks[[#This Row],[Level]])))</f>
        <v/>
      </c>
      <c r="CC113" s="42">
        <f>ROW()-ROW(Tasks[[#Headers],[ID]])</f>
        <v/>
      </c>
      <c r="CD113" s="42">
        <f>IF(OR(Tasks[[#This Row],[Task Name]]="",Tasks[[#This Row],[_Level]]&lt;=1),0,IFERROR(LOOKUP(2,1/(Tasks[[#Headers],[_Level]]:Tasks[[#This Row],[_Level]]=Tasks[[#This Row],[_Level]]-1),ROW(Tasks[[#Headers],[_Level]]:Tasks[[#This Row],[_Level]])),0))</f>
        <v/>
      </c>
      <c r="CE113" s="42">
        <f>IFERROR(N(INDEX(Tasks[_Level],Tasks[[#This Row],[_Row]]+1)),0)</f>
        <v/>
      </c>
      <c r="CF113" s="42">
        <f>AND(Tasks[[#This Row],[Task Name]]&lt;&gt;"",Tasks[[#This Row],[_NextLevel]]&gt;Tasks[[#This Row],[_Level]])</f>
        <v/>
      </c>
      <c r="CG113" s="42">
        <f>IF(Tasks[[#This Row],[_IsSummary]],COUNTIF(Tasks[WBS],Tasks[[#This Row],[WBS]]&amp;".*"),0)</f>
        <v/>
      </c>
      <c r="CH113" s="42">
        <f>IF(AND(Tasks[[#This Row],[Task Name]]&lt;&gt;"",NOT(Tasks[[#This Row],[_IsSummary]])),1,0)</f>
        <v/>
      </c>
      <c r="CI113" s="42">
        <f>IF(N(Tasks[[#This Row],[_Pred1UID]])=0,0,IFERROR(MATCH(Tasks[[#This Row],[_Pred1UID]],Tasks[UID],0),-1))</f>
        <v/>
      </c>
      <c r="CJ113" s="42">
        <f>IF(N(Tasks[[#This Row],[_Pred2UID]])=0,0,IFERROR(MATCH(Tasks[[#This Row],[_Pred2UID]],Tasks[UID],0),-1))</f>
        <v/>
      </c>
      <c r="CK113" s="42">
        <f>IF(N(Tasks[[#This Row],[_Pred3UID]])=0,0,IFERROR(MATCH(Tasks[[#This Row],[_Pred3UID]],Tasks[UID],0),-1))</f>
        <v/>
      </c>
      <c r="CL113" s="42">
        <f>IF(N(Tasks[[#This Row],[_Pred4UID]])=0,0,IFERROR(MATCH(Tasks[[#This Row],[_Pred4UID]],Tasks[UID],0),-1))</f>
        <v/>
      </c>
      <c r="CM11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3" s="88">
        <f>IF(N(Tasks[[#This Row],[Constraint Date]])=0,0,IF(AND(OR(Tasks[[#This Row],[_ConstraintCode]]=3,Tasks[[#This Row],[_ConstraintCode]]=6,Tasks[[#This Row],[_ConstraintCode]]=7),N(Tasks[[#This Row],[_Days]])&gt;1),WORKDAY.INTL(N(Tasks[[#This Row],[Constraint Date]]),-(N(Tasks[[#This Row],[_Days]])-1),WorkWeek,Holidays),N(Tasks[[#This Row],[Constraint Date]])))</f>
        <v/>
      </c>
      <c r="CO113" s="88">
        <f>IF(OR(Tasks[[#This Row],[_ConstraintCode]]=2,Tasks[[#This Row],[_ConstraintCode]]=3,Tasks[[#This Row],[_ConstraintCode]]=4,Tasks[[#This Row],[_ConstraintCode]]=6),Tasks[[#This Row],[_ConstraintStart]],0)</f>
        <v/>
      </c>
      <c r="CP113" s="88">
        <f>IF(OR(Tasks[[#This Row],[_ConstraintCode]]=2,Tasks[[#This Row],[_ConstraintCode]]=3,Tasks[[#This Row],[_ConstraintCode]]=5,Tasks[[#This Row],[_ConstraintCode]]=7),Tasks[[#This Row],[_ConstraintStart]],2958465)</f>
        <v/>
      </c>
      <c r="CQ11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3" s="88">
        <f>IF(NOT(Tasks[[#This Row],[_IsLeaf]]=1),"",IF(N(Tasks[[#This Row],[_Days]])&lt;=0,Tasks[[#This Row],[_LeafCalcStart]],WORKDAY.INTL(Tasks[[#This Row],[_LeafCalcStart]],Tasks[[#This Row],[_Days]]-1,WorkWeek,Holidays)))</f>
        <v/>
      </c>
      <c r="CS11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3" s="42">
        <f>IF(Tasks[[#This Row],[_Predecessors]]="","",TRIM(MID(SUBSTITUTE(SUBSTITUTE(SUBSTITUTE(UPPER(Tasks[[#This Row],[_Predecessors]]),";",",")," ",""),",",REPT(" ",99)),1,99)))</f>
        <v/>
      </c>
      <c r="CV113" s="42">
        <f>IF(Tasks[[#This Row],[_Pred1Text]]="","",IFERROR(VALUE(LEFT(Tasks[[#This Row],[_Pred1Text]],MIN(FIND("F",Tasks[[#This Row],[_Pred1Text]]&amp;"F"),FIND("S",Tasks[[#This Row],[_Pred1Text]]&amp;"S"),FIND("+",Tasks[[#This Row],[_Pred1Text]]&amp;"+"),FIND("-",Tasks[[#This Row],[_Pred1Text]]&amp;"-"))-1)),""))</f>
        <v/>
      </c>
      <c r="CW11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3" s="42">
        <f>IF(Tasks[[#This Row],[_Pred1Text]]="","",TRIM(MID(SUBSTITUTE(SUBSTITUTE(SUBSTITUTE(UPPER(Tasks[[#This Row],[_Predecessors]]),";",",")," ",""),",",REPT(" ",99)),100,99)))</f>
        <v/>
      </c>
      <c r="CZ113" s="42">
        <f>IF(Tasks[[#This Row],[_Pred2Text]]="","",IFERROR(VALUE(LEFT(Tasks[[#This Row],[_Pred2Text]],MIN(FIND("F",Tasks[[#This Row],[_Pred2Text]]&amp;"F"),FIND("S",Tasks[[#This Row],[_Pred2Text]]&amp;"S"),FIND("+",Tasks[[#This Row],[_Pred2Text]]&amp;"+"),FIND("-",Tasks[[#This Row],[_Pred2Text]]&amp;"-"))-1)),""))</f>
        <v/>
      </c>
      <c r="DA11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3" s="42">
        <f>IF(Tasks[[#This Row],[_Pred2Text]]="","",TRIM(MID(SUBSTITUTE(SUBSTITUTE(SUBSTITUTE(UPPER(Tasks[[#This Row],[_Predecessors]]),";",",")," ",""),",",REPT(" ",99)),199,99)))</f>
        <v/>
      </c>
      <c r="DD113" s="42">
        <f>IF(Tasks[[#This Row],[_Pred3Text]]="","",IFERROR(VALUE(LEFT(Tasks[[#This Row],[_Pred3Text]],MIN(FIND("F",Tasks[[#This Row],[_Pred3Text]]&amp;"F"),FIND("S",Tasks[[#This Row],[_Pred3Text]]&amp;"S"),FIND("+",Tasks[[#This Row],[_Pred3Text]]&amp;"+"),FIND("-",Tasks[[#This Row],[_Pred3Text]]&amp;"-"))-1)),""))</f>
        <v/>
      </c>
      <c r="DE11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3" s="42">
        <f>IF(Tasks[[#This Row],[_Pred3Text]]="","",TRIM(MID(SUBSTITUTE(SUBSTITUTE(SUBSTITUTE(UPPER(Tasks[[#This Row],[_Predecessors]]),";",",")," ",""),",",REPT(" ",99)),298,99)))</f>
        <v/>
      </c>
      <c r="DH113" s="42">
        <f>IF(Tasks[[#This Row],[_Pred4Text]]="","",IFERROR(VALUE(LEFT(Tasks[[#This Row],[_Pred4Text]],MIN(FIND("F",Tasks[[#This Row],[_Pred4Text]]&amp;"F"),FIND("S",Tasks[[#This Row],[_Pred4Text]]&amp;"S"),FIND("+",Tasks[[#This Row],[_Pred4Text]]&amp;"+"),FIND("-",Tasks[[#This Row],[_Pred4Text]]&amp;"-"))-1)),""))</f>
        <v/>
      </c>
      <c r="DI11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3" s="42">
        <f>IF(OR(Tasks[[#This Row],[Task Name]]="",Tasks[[#This Row],[_Resources]]=""),"",TRIM(MID(SUBSTITUTE(Tasks[[#This Row],[_Resources]],",",REPT(" ",99)),1,99)))</f>
        <v/>
      </c>
      <c r="DL113" s="42">
        <f>IF(Tasks[[#This Row],[_Res1Text]]="","",TRIM(MID(SUBSTITUTE(Tasks[[#This Row],[_Resources]],",",REPT(" ",99)),100,99)))</f>
        <v/>
      </c>
      <c r="DM113" s="42">
        <f>IF(Tasks[[#This Row],[_Res2Text]]="","",TRIM(MID(SUBSTITUTE(Tasks[[#This Row],[_Resources]],",",REPT(" ",99)),199,99)))</f>
        <v/>
      </c>
      <c r="DN113" s="42">
        <f>IF(Tasks[[#This Row],[_Res3Text]]="","",TRIM(MID(SUBSTITUTE(Tasks[[#This Row],[_Resources]],",",REPT(" ",99)),298,99)))</f>
        <v/>
      </c>
      <c r="DO113" s="42">
        <f>IF(Tasks[[#This Row],[_Res1Text]]="",0,IFERROR(MATCH(TRIM(LEFT(Tasks[[#This Row],[_Res1Text]],FIND("[",Tasks[[#This Row],[_Res1Text]]&amp;"[")-1)),res_Name,0),IFERROR(MATCH(TRIM(LEFT(Tasks[[#This Row],[_Res1Text]],FIND("[",Tasks[[#This Row],[_Res1Text]]&amp;"[")-1)),res_Initials,0),0)))</f>
        <v/>
      </c>
      <c r="DP113" s="42">
        <f>IF(Tasks[[#This Row],[_Res2Text]]="",0,IFERROR(MATCH(TRIM(LEFT(Tasks[[#This Row],[_Res2Text]],FIND("[",Tasks[[#This Row],[_Res2Text]]&amp;"[")-1)),res_Name,0),IFERROR(MATCH(TRIM(LEFT(Tasks[[#This Row],[_Res2Text]],FIND("[",Tasks[[#This Row],[_Res2Text]]&amp;"[")-1)),res_Initials,0),0)))</f>
        <v/>
      </c>
      <c r="DQ113" s="42">
        <f>IF(Tasks[[#This Row],[_Res3Text]]="",0,IFERROR(MATCH(TRIM(LEFT(Tasks[[#This Row],[_Res3Text]],FIND("[",Tasks[[#This Row],[_Res3Text]]&amp;"[")-1)),res_Name,0),IFERROR(MATCH(TRIM(LEFT(Tasks[[#This Row],[_Res3Text]],FIND("[",Tasks[[#This Row],[_Res3Text]]&amp;"[")-1)),res_Initials,0),0)))</f>
        <v/>
      </c>
      <c r="DR113" s="42">
        <f>IF(Tasks[[#This Row],[_Res4Text]]="",0,IFERROR(MATCH(TRIM(LEFT(Tasks[[#This Row],[_Res4Text]],FIND("[",Tasks[[#This Row],[_Res4Text]]&amp;"[")-1)),res_Name,0),IFERROR(MATCH(TRIM(LEFT(Tasks[[#This Row],[_Res4Text]],FIND("[",Tasks[[#This Row],[_Res4Text]]&amp;"[")-1)),res_Initials,0),0)))</f>
        <v/>
      </c>
      <c r="DS113" s="42">
        <f>IF(Tasks[[#This Row],[_Res1Text]]="","",IF(Tasks[[#This Row],[_Res1Row]]&gt;0,INDEX(res_Name,Tasks[[#This Row],[_Res1Row]]),TRIM(LEFT(Tasks[[#This Row],[_Res1Text]],FIND("[",Tasks[[#This Row],[_Res1Text]]&amp;"[")-1))))</f>
        <v/>
      </c>
      <c r="DT11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3" s="42">
        <f>IF(NOT(Tasks[[#This Row],[_IsLeaf]]=1),0,(Tasks[[#This Row],[_Resource1]]&lt;&gt;"")+(Tasks[[#This Row],[_Res2]]&lt;&gt;"")+(Tasks[[#This Row],[_Res3]]&lt;&gt;"")+(Tasks[[#This Row],[_Res4]]&lt;&gt;""))</f>
        <v/>
      </c>
      <c r="DV113" s="42">
        <f>IF(Tasks[[#This Row],[_Res2Text]]="","",IF(Tasks[[#This Row],[_Res2Row]]&gt;0,INDEX(res_Name,Tasks[[#This Row],[_Res2Row]]),TRIM(LEFT(Tasks[[#This Row],[_Res2Text]],FIND("[",Tasks[[#This Row],[_Res2Text]]&amp;"[")-1))))</f>
        <v/>
      </c>
      <c r="DW11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3" s="42">
        <f>IF(OR(NOT(Tasks[[#This Row],[_IsLeaf]]=1),Tasks[[#This Row],[_Res2Row]]=0),0,N(Tasks[[#This Row],[_Days]])*HoursPerDay*IF(Tasks[[#This Row],[_Res2Units]]="",DefaultUnits,Tasks[[#This Row],[_Res2Units]]))</f>
        <v/>
      </c>
      <c r="DY113" s="42">
        <f>IF(AND(AND(Tasks[[#This Row],[_IsLeaf]]=1,Tasks[[#This Row],[_LeafTotalWork]]&gt;0),Tasks[[#This Row],[_Res2Work]]&gt;0),Tasks[[#This Row],[_Res2Work]]/(Tasks[[#This Row],[_FinishWorkday]]-Tasks[[#This Row],[_StartWorkday]]+1),0)</f>
        <v/>
      </c>
      <c r="DZ113" s="42">
        <f>Tasks[[#This Row],[_Res2WorkPerWD]]*MAX(0,Tasks[[#This Row],[_StartWorkday]]-1)</f>
        <v/>
      </c>
      <c r="EA113" s="42">
        <f>Tasks[[#This Row],[_Res2Work]]*Tasks[[#This Row],[_LeafProgress]]</f>
        <v/>
      </c>
      <c r="EB113" s="42">
        <f>IF(Tasks[[#This Row],[_Res3Text]]="","",IF(Tasks[[#This Row],[_Res3Row]]&gt;0,INDEX(res_Name,Tasks[[#This Row],[_Res3Row]]),TRIM(LEFT(Tasks[[#This Row],[_Res3Text]],FIND("[",Tasks[[#This Row],[_Res3Text]]&amp;"[")-1))))</f>
        <v/>
      </c>
      <c r="EC11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3" s="42">
        <f>IF(OR(NOT(Tasks[[#This Row],[_IsLeaf]]=1),Tasks[[#This Row],[_Res3Row]]=0),0,N(Tasks[[#This Row],[_Days]])*HoursPerDay*IF(Tasks[[#This Row],[_Res3Units]]="",DefaultUnits,Tasks[[#This Row],[_Res3Units]]))</f>
        <v/>
      </c>
      <c r="EE113" s="42">
        <f>IF(AND(AND(Tasks[[#This Row],[_IsLeaf]]=1,Tasks[[#This Row],[_LeafTotalWork]]&gt;0),Tasks[[#This Row],[_Res3Work]]&gt;0),Tasks[[#This Row],[_Res3Work]]/(Tasks[[#This Row],[_FinishWorkday]]-Tasks[[#This Row],[_StartWorkday]]+1),0)</f>
        <v/>
      </c>
      <c r="EF113" s="42">
        <f>Tasks[[#This Row],[_Res3WorkPerWD]]*MAX(0,Tasks[[#This Row],[_StartWorkday]]-1)</f>
        <v/>
      </c>
      <c r="EG113" s="42">
        <f>Tasks[[#This Row],[_Res3Work]]*Tasks[[#This Row],[_LeafProgress]]</f>
        <v/>
      </c>
      <c r="EH113" s="42">
        <f>IF(Tasks[[#This Row],[_Res4Text]]="","",IF(Tasks[[#This Row],[_Res4Row]]&gt;0,INDEX(res_Name,Tasks[[#This Row],[_Res4Row]]),TRIM(LEFT(Tasks[[#This Row],[_Res4Text]],FIND("[",Tasks[[#This Row],[_Res4Text]]&amp;"[")-1))))</f>
        <v/>
      </c>
      <c r="EI11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3" s="42">
        <f>IF(OR(NOT(Tasks[[#This Row],[_IsLeaf]]=1),Tasks[[#This Row],[_Res4Row]]=0),0,N(Tasks[[#This Row],[_Days]])*HoursPerDay*IF(Tasks[[#This Row],[_Res4Units]]="",DefaultUnits,Tasks[[#This Row],[_Res4Units]]))</f>
        <v/>
      </c>
      <c r="EK113" s="42">
        <f>IF(AND(AND(Tasks[[#This Row],[_IsLeaf]]=1,Tasks[[#This Row],[_LeafTotalWork]]&gt;0),Tasks[[#This Row],[_Res4Work]]&gt;0),Tasks[[#This Row],[_Res4Work]]/(Tasks[[#This Row],[_FinishWorkday]]-Tasks[[#This Row],[_StartWorkday]]+1),0)</f>
        <v/>
      </c>
      <c r="EL113" s="42">
        <f>Tasks[[#This Row],[_Res4WorkPerWD]]*MAX(0,Tasks[[#This Row],[_StartWorkday]]-1)</f>
        <v/>
      </c>
      <c r="EM113" s="42">
        <f>Tasks[[#This Row],[_Res4Work]]*Tasks[[#This Row],[_LeafProgress]]</f>
        <v/>
      </c>
      <c r="EN113" s="42">
        <f>IF(ISNUMBER(Tasks[[#This Row],[% Complete]]),Tasks[[#This Row],[% Complete]],IF(Tasks[[#This Row],[Stage]]="",0,IFERROR(INDEX(stg_Pct,MATCH(Tasks[[#This Row],[Stage]],stg_Name,0)),0)))</f>
        <v/>
      </c>
      <c r="EO113" s="42">
        <f>IF(NOT(Tasks[[#This Row],[_IsLeaf]]=1),0,IF(N(Tasks[[#This Row],[Actual Finish]])&gt;0,1,MIN(1,Tasks[[#This Row],[_Pct]])))</f>
        <v/>
      </c>
      <c r="EP113" s="42">
        <f>IF(OR(NOT(Tasks[[#This Row],[_IsLeaf]]=1),Tasks[[#This Row],[_Res1Row]]=0),0,N(Tasks[[#This Row],[_Days]])*HoursPerDay*IF(Tasks[[#This Row],[_Units1]]="",DefaultUnits,Tasks[[#This Row],[_Units1]]))</f>
        <v/>
      </c>
      <c r="EQ113" s="42">
        <f>Tasks[[#This Row],[_LeafWork]]+Tasks[[#This Row],[_Res2Work]]+Tasks[[#This Row],[_Res3Work]]+Tasks[[#This Row],[_Res4Work]]</f>
        <v/>
      </c>
      <c r="ER11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3" s="42">
        <f>IF(NOT(Tasks[[#This Row],[_IsLeaf]]=1),0,MAX(_xlfn.MAXIFS(Tasks[_Row],Tasks[_Pred1UID],Tasks[[#This Row],[UID]]),_xlfn.MAXIFS(Tasks[_Row],Tasks[_Pred2UID],Tasks[[#This Row],[UID]]),_xlfn.MAXIFS(Tasks[_Row],Tasks[_Pred3UID],Tasks[[#This Row],[UID]]),_xlfn.MAXIFS(Tasks[_Row],Tasks[_Pred4UID],Tasks[[#This Row],[UID]])))</f>
        <v/>
      </c>
      <c r="FA11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3" s="88">
        <f>IF(NOT(Tasks[[#This Row],[_IsLeaf]]=1),"",IF(N(Tasks[[#This Row],[_Days]])&lt;=0,Tasks[[#This Row],[_LeafLateFinish]],WORKDAY.INTL(Tasks[[#This Row],[_LeafLateFinish]],-(Tasks[[#This Row],[_Days]]-1),WorkWeek,Holidays)))</f>
        <v/>
      </c>
      <c r="FD11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3" s="42">
        <f>AND(Tasks[[#This Row],[_IsLeaf]]=1,Tasks[[#This Row],[_LeafProgress]]&lt;1,N(Tasks[[#This Row],[_LeafTotalSlack]])&lt;=CriticalSlackDays)</f>
        <v/>
      </c>
      <c r="FF113" s="42">
        <f>IF(AND(Tasks[[#This Row],[_IsLeaf]]=1,Tasks[[#This Row],[_ConstraintCode]]=1,Tasks[[#This Row],[Mode]]&lt;&gt;"Manual",N(Tasks[[#This Row],[Actual Start]])=0),MAX(0,N(Tasks[[#This Row],[Free Slack]])),0)</f>
        <v/>
      </c>
      <c r="FG113" s="88">
        <f>IF(NOT(Tasks[[#This Row],[_IsLeaf]]=1),"",IF(Tasks[[#This Row],[_AlapShift]]=0,Tasks[[#This Row],[_LeafCalcStart]],WORKDAY.INTL(Tasks[[#This Row],[_LeafCalcStart]],Tasks[[#This Row],[_AlapShift]],WorkWeek,Holidays)))</f>
        <v/>
      </c>
      <c r="FH113" s="88">
        <f>IF(NOT(Tasks[[#This Row],[_IsLeaf]]=1),"",IF(Tasks[[#This Row],[_AlapShift]]=0,Tasks[[#This Row],[_LeafCalcFinish]],WORKDAY.INTL(Tasks[[#This Row],[_LeafCalcFinish]],Tasks[[#This Row],[_AlapShift]],WorkWeek,Holidays)))</f>
        <v/>
      </c>
      <c r="FI113" s="88">
        <f>IF(NOT(Tasks[[#This Row],[_IsLeaf]]=1),"",IF(Tasks[[#This Row],[_AlapShift]]=0,Tasks[[#This Row],[_LeafFcstStart]],WORKDAY.INTL(Tasks[[#This Row],[_LeafFcstStart]],Tasks[[#This Row],[_AlapShift]],WorkWeek,Holidays)))</f>
        <v/>
      </c>
      <c r="FJ113" s="88">
        <f>IF(NOT(Tasks[[#This Row],[_IsLeaf]]=1),"",IF(Tasks[[#This Row],[_AlapShift]]=0,Tasks[[#This Row],[_LeafFcstFinish]],WORKDAY.INTL(Tasks[[#This Row],[_LeafFcstFinish]],Tasks[[#This Row],[_AlapShift]],WorkWeek,Holidays)))</f>
        <v/>
      </c>
      <c r="FK113" s="88">
        <f>IF(Tasks[[#This Row],[Task Name]]="","",IF(Tasks[[#This Row],[_IsSummary]],MIN(INDEX(Tasks[_ShownCalcStart],Tasks[[#This Row],[_Row]]+1):INDEX(Tasks[_ShownCalcStart],Tasks[[#This Row],[_Row]]+Tasks[[#This Row],[_Descendants]])),Tasks[[#This Row],[_ShownCalcStart]]))</f>
        <v/>
      </c>
      <c r="FL113" s="88">
        <f>IF(Tasks[[#This Row],[Task Name]]="","",IF(Tasks[[#This Row],[_IsSummary]],MAX(INDEX(Tasks[_ShownCalcFinish],Tasks[[#This Row],[_Row]]+1):INDEX(Tasks[_ShownCalcFinish],Tasks[[#This Row],[_Row]]+Tasks[[#This Row],[_Descendants]])),Tasks[[#This Row],[_ShownCalcFinish]]))</f>
        <v/>
      </c>
      <c r="FM11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3" s="42">
        <f>IF(AND(Tasks[[#This Row],[_IsLeaf]]=1,Tasks[[#This Row],[_LeafTotalWork]]&gt;0),NETWORKDAYS.INTL(ProjectStart,Tasks[[#This Row],[_ShownFcstStart]],WorkWeek,Holidays),0)</f>
        <v/>
      </c>
      <c r="FZ113" s="42">
        <f>IF(AND(Tasks[[#This Row],[_IsLeaf]]=1,Tasks[[#This Row],[_LeafTotalWork]]&gt;0),MAX(Tasks[[#This Row],[_StartWorkday]],NETWORKDAYS.INTL(ProjectStart,Tasks[[#This Row],[_ShownFcstFinish]],WorkWeek,Holidays)),0)</f>
        <v/>
      </c>
      <c r="GA113" s="42">
        <f>IF(AND(Tasks[[#This Row],[_IsLeaf]]=1,Tasks[[#This Row],[_LeafTotalWork]]&gt;0),Tasks[[#This Row],[_LeafWork]]/(Tasks[[#This Row],[_FinishWorkday]]-Tasks[[#This Row],[_StartWorkday]]+1),0)</f>
        <v/>
      </c>
      <c r="GB113" s="42">
        <f>Tasks[[#This Row],[_WorkPerWorkday]]*(Tasks[[#This Row],[_StartWorkday]]-1)</f>
        <v/>
      </c>
      <c r="GC113" s="42">
        <f>IF(Tasks[[#This Row],[_IsLeaf]]=1,MAX(N(Tasks[[#This Row],[_Days]]),0.1),0)</f>
        <v/>
      </c>
      <c r="GD113" s="42">
        <f>Tasks[[#This Row],[_WeightDur]]*Tasks[[#This Row],[_LeafProgress]]</f>
        <v/>
      </c>
      <c r="GE113" s="42">
        <f>Tasks[[#This Row],[_WeightDur]]*Tasks[[#This Row],[_PlannedPct]]</f>
        <v/>
      </c>
      <c r="GF11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3" s="42">
        <f>IF(AND(Tasks[[#This Row],[_IsLeaf]]=1,N(Tasks[[#This Row],[_Days]])=0,Tasks[[#This Row],[_LeafProgress]]&lt;1),Tasks[[#This Row],[_ShownFcstFinish]]+Tasks[[#This Row],[_Row]]/100000,"")</f>
        <v/>
      </c>
      <c r="GH11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3" s="42">
        <f>IF(Tasks[[#This Row],[Task Name]]="","",LEFT(Tasks[[#This Row],[WBS]],FIND(".",Tasks[[#This Row],[WBS]]&amp;".")-1))</f>
        <v/>
      </c>
      <c r="GJ113" s="42">
        <f>IF(AND(Tasks[[#This Row],[Task Name]]&lt;&gt;"",Tasks[[#This Row],[_Level]]=1),Tasks[[#This Row],[_Row]],"")</f>
        <v/>
      </c>
      <c r="GK113" s="42">
        <f>IF(AND(Tasks[[#This Row],[_IsLeaf]]=1,N(Tasks[[#This Row],[_Days]])=0),Tasks[[#This Row],[Planned Finish]]+Tasks[[#This Row],[_Row]]/100000,"")</f>
        <v/>
      </c>
      <c r="GL113" s="42">
        <f>IF(AND(Tasks[[#This Row],[_IsLeaf]]=1,Tasks[[#This Row],[_LeafProgress]]&lt;1,OR(N(Tasks[[#This Row],[Finish Var]])&gt;0,Tasks[[#This Row],[Status]]="Late Start")),MAX(0,Tasks[[#This Row],[Finish Var]])+1-Tasks[[#This Row],[_Row]]/1000000,"")</f>
        <v/>
      </c>
      <c r="GM113" s="42">
        <f>IF(AND(Tasks[[#This Row],[_IsLeaf]]=1,N(Tasks[[#This Row],[Actual Start]])=0,Tasks[[#This Row],[_ShownFcstStart]]&gt;=StatusDate,Tasks[[#This Row],[_ShownFcstStart]]&lt;=LookaheadEnd),Tasks[[#This Row],[_ShownFcstStart]]+Tasks[[#This Row],[_Row]]/100000,"")</f>
        <v/>
      </c>
      <c r="GN113" s="42">
        <f>IF(AND(Tasks[[#This Row],[_IsLeaf]]=1,Tasks[[#This Row],[_LeafProgress]]&lt;1,Tasks[[#This Row],[_ShownFcstFinish]]&gt;=StatusDate,Tasks[[#This Row],[_ShownFcstFinish]]&lt;=LookaheadEnd),Tasks[[#This Row],[_ShownFcstFinish]]+Tasks[[#This Row],[_Row]]/100000,"")</f>
        <v/>
      </c>
      <c r="GO113" s="42">
        <f>IF(Tasks[[#This Row],[_LeafCritical]],Tasks[[#This Row],[_ShownFcstStart]]+Tasks[[#This Row],[_Row]]/100000,"")</f>
        <v/>
      </c>
      <c r="GP113" s="42">
        <f>Tasks[[#This Row],[_LeafWork]]*Tasks[[#This Row],[_LeafProgress]]</f>
        <v/>
      </c>
      <c r="GQ113" s="88">
        <f>IF(AND(Tasks[[#This Row],[_IsLeaf]]=1,Tasks[[#This Row],[_LeafProgress]]&gt;=1),IF(N(Tasks[[#This Row],[Actual Finish]])&gt;0,Tasks[[#This Row],[Actual Finish]],Tasks[[#This Row],[_ShownFcstFinish]]),"")</f>
        <v/>
      </c>
      <c r="GR113" s="42">
        <f>IF(Tasks[[#This Row],[_IsLeaf]]=1,N(Tasks[[#This Row],[Story Points]]),0)</f>
        <v/>
      </c>
      <c r="GS113" s="42">
        <f>""</f>
        <v/>
      </c>
      <c r="GT113" s="42">
        <f>IF(Tasks[[#This Row],[Task Name]]="",FALSE(),AND(Tasks[[#This Row],[_IsLeaf]]=1,N(Tasks[[#This Row],[_Days]])=0))</f>
        <v/>
      </c>
      <c r="GU113" s="88">
        <f>IF(Tasks[[#This Row],[Task Name]]="",0,IF(AND(Tasks[[#This Row],[_IsLeaf]]=1,NOT(Tasks[[#This Row],[_IsMilestone]]),N(Tasks[[#This Row],[Progress]])&gt;0),Tasks[[#This Row],[Start]],0))</f>
        <v/>
      </c>
      <c r="GV113" s="88">
        <f>IF(Tasks[[#This Row],[_DoneFrom]]=0,0,IF(Tasks[[#This Row],[Progress]]&gt;=1,Tasks[[#This Row],[Finish]],MAX(Tasks[[#This Row],[_DoneFrom]],Tasks[[#This Row],[Start]]+ROUND((Tasks[[#This Row],[Finish]]-Tasks[[#This Row],[Start]]+1)*Tasks[[#This Row],[Progress]],0)-1)))</f>
        <v/>
      </c>
      <c r="GW113" s="88">
        <f>IF(Tasks[[#This Row],[Task Name]]="",0,IF(OR(NOT(Tasks[[#This Row],[_IsLeaf]]=1),Tasks[[#This Row],[_IsMilestone]],N(Tasks[[#This Row],[Progress]])&gt;=1),0,IF(Tasks[[#This Row],[_DoneTo]]&gt;0,Tasks[[#This Row],[_DoneTo]]+1,Tasks[[#This Row],[Start]])))</f>
        <v/>
      </c>
      <c r="GX113" s="88">
        <f>IF(Tasks[[#This Row],[_RemFrom]]=0,0,Tasks[[#This Row],[Finish]])</f>
        <v/>
      </c>
      <c r="GY113" s="42">
        <f>IF(Tasks[[#This Row],[Task Name]]="",FALSE(),OR(NOT(BaselineSet),N(Tasks[[#This Row],[Baseline Start]])&gt;0))</f>
        <v/>
      </c>
      <c r="GZ113" s="42">
        <f>IF(AND(Sandbox="Yes",L_PARSE_DURATION(Tasks[[#This Row],[Sandbox Duration]])&lt;&gt;""),L_PARSE_DURATION(Tasks[[#This Row],[Sandbox Duration]]),L_PARSE_DURATION(Tasks[[#This Row],[Duration]]))</f>
        <v/>
      </c>
      <c r="HA11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3" s="42">
        <f>IF(Tasks[[#This Row],[_IsLeaf]]=1,Tasks[[#This Row],[_Row]],"")</f>
        <v/>
      </c>
      <c r="HD113" s="42">
        <f>IFERROR(INDEX(Tasks[UID],SMALL(Tasks[_PickKey],Tasks[[#This Row],[_Row]]))&amp;" "&amp;INDEX(Tasks[Task Name],SMALL(Tasks[_PickKey],Tasks[[#This Row],[_Row]])),"")</f>
        <v/>
      </c>
      <c r="HE113" s="42">
        <f>IF(Tasks[[#This Row],[Task Name]]="","",IF(Tasks[[#This Row],[_IsSummary]],NETWORKDAYS.INTL(Tasks[[#This Row],[Start]],Tasks[[#This Row],[Finish]],WorkWeek,Holidays),N(Tasks[[#This Row],[_Days]])))</f>
        <v/>
      </c>
      <c r="HF113" s="42">
        <f>IF(Tasks[[#This Row],[Expected]]="",0,((Tasks[[#This Row],[Pessimistic]]-Tasks[[#This Row],[Optimistic]])/6)^2)</f>
        <v/>
      </c>
      <c r="HG113" s="42">
        <f>IF(Tasks[[#This Row],[Expected]]="",0,Tasks[[#This Row],[Expected]]-N(Tasks[[#This Row],[_Days]]))</f>
        <v/>
      </c>
    </row>
    <row r="114">
      <c r="A114" s="21">
        <f>IF(Tasks[[#This Row],[Task Name]]="","",COUNTA(Tasks[[#Headers],[Task Name]]:Tasks[[#This Row],[Task Name]])-1)</f>
        <v/>
      </c>
      <c r="B114" s="22" t="n">
        <v>122</v>
      </c>
      <c r="C114" s="22" t="n"/>
      <c r="D114" s="23" t="n"/>
      <c r="E114" s="22" t="n"/>
      <c r="F114" s="23" t="n"/>
      <c r="G114" s="22" t="n"/>
      <c r="H114" s="22" t="n"/>
      <c r="I114" s="23" t="n"/>
      <c r="J114" s="22" t="n"/>
      <c r="K114" s="22" t="n"/>
      <c r="L114" s="23" t="n"/>
      <c r="M114" s="22" t="n"/>
      <c r="N114" s="22" t="n"/>
      <c r="O114" s="23" t="n"/>
      <c r="P114" s="22" t="n"/>
      <c r="Q114" s="22" t="n"/>
      <c r="R114" s="23" t="n"/>
      <c r="S114" s="23" t="n"/>
      <c r="T114" s="82" t="n"/>
      <c r="U114" s="23" t="n"/>
      <c r="V114" s="82" t="n"/>
      <c r="W114" s="23" t="n"/>
      <c r="X114" s="82" t="n"/>
      <c r="Y114" s="23" t="n"/>
      <c r="Z114" s="82" t="n"/>
      <c r="AA114" s="23" t="n"/>
      <c r="AB114" s="23" t="n"/>
      <c r="AC114" s="7" t="n"/>
      <c r="AD114" s="7" t="n"/>
      <c r="AE114" s="61">
        <f>IF(Tasks[[#This Row],[Task Name]]="","",IF(Tasks[[#This Row],[_IsSummary]],MIN(INDEX(Tasks[_ShownFcstStart],Tasks[[#This Row],[_Row]]+1):INDEX(Tasks[_ShownFcstStart],Tasks[[#This Row],[_Row]]+Tasks[[#This Row],[_Descendants]])),Tasks[[#This Row],[_ShownFcstStart]]))</f>
        <v/>
      </c>
      <c r="AF114" s="61">
        <f>IF(Tasks[[#This Row],[Task Name]]="","",IF(Tasks[[#This Row],[_IsSummary]],MAX(INDEX(Tasks[_ShownFcstFinish],Tasks[[#This Row],[_Row]]+1):INDEX(Tasks[_ShownFcstFinish],Tasks[[#This Row],[_Row]]+Tasks[[#This Row],[_Descendants]])),Tasks[[#This Row],[_ShownFcstFinish]]))</f>
        <v/>
      </c>
      <c r="AG114" s="21">
        <f>""</f>
        <v/>
      </c>
      <c r="AH114" s="23" t="n"/>
      <c r="AI11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4" s="7" t="n"/>
      <c r="AK114" s="22" t="n"/>
      <c r="AL114" s="23" t="n"/>
      <c r="AM114" s="7" t="n"/>
      <c r="AN114" s="21">
        <f>IF(Tasks[[#This Row],[Task Name]]="","",IF(Tasks[[#This Row],[Finish]]&gt;=Tasks[[#This Row],[Planned Finish]],NETWORKDAYS.INTL(Tasks[[#This Row],[Planned Finish]],Tasks[[#This Row],[Finish]],WorkWeek,Holidays)-1,1-NETWORKDAYS.INTL(Tasks[[#This Row],[Finish]],Tasks[[#This Row],[Planned Finish]],WorkWeek,Holidays)))</f>
        <v/>
      </c>
      <c r="AO114" s="21">
        <f>IF(Tasks[[#This Row],[Task Name]]="","",IF(Tasks[[#This Row],[Progress]]&gt;=1,"Complete",IF(OR(N(Tasks[[#This Row],[Actual Start]])&gt;0,Tasks[[#This Row],[Progress]]&gt;0),IF(Tasks[[#This Row],[Finish Var]]&gt;0,"Behind","In Progress"),IF(Tasks[[#This Row],[Planned Start]]&lt;StatusDate,"Late Start","Not Started"))))</f>
        <v/>
      </c>
      <c r="AP114" s="21">
        <f>IF(Tasks[[#This Row],[Task Name]]="","",IF(IF(Tasks[[#This Row],[_IsSummary]],COUNTIF(INDEX(Tasks[_LeafCritical],Tasks[[#This Row],[_Row]]+1):INDEX(Tasks[_LeafCritical],Tasks[[#This Row],[_Row]]+Tasks[[#This Row],[_Descendants]]),TRUE())&gt;0,Tasks[[#This Row],[_LeafCritical]]),"Yes",""))</f>
        <v/>
      </c>
      <c r="AQ114" s="61">
        <f>IF(Tasks[[#This Row],[Task Name]]="","",IF(N(Tasks[[#This Row],[Baseline Start]])&gt;0,Tasks[[#This Row],[Baseline Start]],Tasks[[#This Row],[_CalcStart]]))</f>
        <v/>
      </c>
      <c r="AR114" s="61">
        <f>IF(Tasks[[#This Row],[Task Name]]="","",IF(N(Tasks[[#This Row],[Baseline Finish]])&gt;0,Tasks[[#This Row],[Baseline Finish]],Tasks[[#This Row],[_CalcFinish]]))</f>
        <v/>
      </c>
      <c r="AS114" s="21">
        <f>IF(Tasks[[#This Row],[Task Name]]="","",IF(Tasks[[#This Row],[Start]]&gt;=Tasks[[#This Row],[Planned Start]],NETWORKDAYS.INTL(Tasks[[#This Row],[Planned Start]],Tasks[[#This Row],[Start]],WorkWeek,Holidays)-1,1-NETWORKDAYS.INTL(Tasks[[#This Row],[Start]],Tasks[[#This Row],[Planned Start]],WorkWeek,Holidays)))</f>
        <v/>
      </c>
      <c r="AT114" s="61">
        <f>IF(Tasks[[#This Row],[Task Name]]="","",IF(Tasks[[#This Row],[_IsSummary]],MIN(INDEX(Tasks[_LeafLateStart],Tasks[[#This Row],[_Row]]+1):INDEX(Tasks[_LeafLateStart],Tasks[[#This Row],[_Row]]+Tasks[[#This Row],[_Descendants]])),Tasks[[#This Row],[_LeafLateStart]]))</f>
        <v/>
      </c>
      <c r="AU114" s="61">
        <f>IF(Tasks[[#This Row],[Task Name]]="","",IF(Tasks[[#This Row],[_IsSummary]],MAX(INDEX(Tasks[_LeafLateFinish],Tasks[[#This Row],[_Row]]+1):INDEX(Tasks[_LeafLateFinish],Tasks[[#This Row],[_Row]]+Tasks[[#This Row],[_Descendants]])),Tasks[[#This Row],[_LeafLateFinish]]))</f>
        <v/>
      </c>
      <c r="AV114" s="21">
        <f>IF(Tasks[[#This Row],[Task Name]]="","",IF(Tasks[[#This Row],[_IsSummary]],MIN(INDEX(Tasks[_LeafTotalSlack],Tasks[[#This Row],[_Row]]+1):INDEX(Tasks[_LeafTotalSlack],Tasks[[#This Row],[_Row]]+Tasks[[#This Row],[_Descendants]])),Tasks[[#This Row],[_LeafTotalSlack]]))</f>
        <v/>
      </c>
      <c r="AW11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3" t="n"/>
      <c r="BA11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f>IF(Tasks[[#This Row],[Task Name]]="","",IF(Tasks[[#This Row],[_Level]]&lt;=OutlineShowLevel,"Yes","No"))</f>
        <v/>
      </c>
      <c r="BE114" s="84">
        <f>IF(Tasks[[#This Row],[Task Name]]="","",IF(Tasks[[#This Row],[_IsSummary]],SUM(INDEX(Tasks[_LeafTotalWork],Tasks[[#This Row],[_Row]]+1):INDEX(Tasks[_LeafTotalWork],Tasks[[#This Row],[_Row]]+Tasks[[#This Row],[_Descendants]])),Tasks[[#This Row],[_LeafTotalWork]]))</f>
        <v/>
      </c>
      <c r="BF114" s="23" t="n"/>
      <c r="BG11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f>""</f>
        <v/>
      </c>
      <c r="BI114" s="85" t="n"/>
      <c r="BJ114" s="22" t="n"/>
      <c r="BK114" s="21">
        <f>IF(OR(Tasks[[#This Row],[Task Name]]="",Tasks[[#This Row],[Baseline Duration]]=""),"",Tasks[[#This Row],[_SpanDays]]-N(Tasks[[#This Row],[Baseline Duration]]))</f>
        <v/>
      </c>
      <c r="BL114" s="84">
        <f>IF(OR(Tasks[[#This Row],[Task Name]]="",Tasks[[#This Row],[Baseline Work]]=""),"",Tasks[[#This Row],[Work]]-N(Tasks[[#This Row],[Baseline Work]]))</f>
        <v/>
      </c>
      <c r="BM114" s="61">
        <f>IF(Tasks[[#This Row],[Task Name]]="","",IF(OR(TakeBaseline="Yes",N(Tasks[[#This Row],[Baseline Start]])=0),Tasks[[#This Row],[Start]],Tasks[[#This Row],[Baseline Start]]))</f>
        <v/>
      </c>
      <c r="BN114" s="61">
        <f>IF(Tasks[[#This Row],[Task Name]]="","",IF(OR(TakeBaseline="Yes",N(Tasks[[#This Row],[Baseline Finish]])=0),Tasks[[#This Row],[Finish]],Tasks[[#This Row],[Baseline Finish]]))</f>
        <v/>
      </c>
      <c r="BO114" s="21">
        <f>IF(Tasks[[#This Row],[Task Name]]="","",IF(OR(TakeBaseline="Yes",N(Tasks[[#This Row],[Baseline Duration]])=0),Tasks[[#This Row],[_SpanDays]],Tasks[[#This Row],[Baseline Duration]]))</f>
        <v/>
      </c>
      <c r="BP114" s="84">
        <f>IF(Tasks[[#This Row],[Task Name]]="","",IF(OR(TakeBaseline="Yes",N(Tasks[[#This Row],[Baseline Work]])=0),Tasks[[#This Row],[Work]],Tasks[[#This Row],[Baseline Work]]))</f>
        <v/>
      </c>
      <c r="BQ114" s="7" t="n"/>
      <c r="BR114" s="7" t="n"/>
      <c r="BS114" s="22" t="n"/>
      <c r="BT114" s="86" t="n"/>
      <c r="BU114" s="23" t="n"/>
      <c r="BV114" s="23" t="n"/>
      <c r="BW114" s="23" t="n"/>
      <c r="BX114" s="87">
        <f>IF(AND(Tasks[[#This Row],[_IsLeaf]]=1,ISNUMBER(Tasks[[#This Row],[Optimistic]]),ISNUMBER(Tasks[[#This Row],[Pessimistic]])),ROUND((Tasks[[#This Row],[Optimistic]]+4*N(Tasks[[#This Row],[_Days]])+Tasks[[#This Row],[Pessimistic]])/6,1),"")</f>
        <v/>
      </c>
      <c r="BY114" s="85" t="n"/>
      <c r="BZ114" s="85" t="n"/>
      <c r="CA114" s="22" t="n"/>
      <c r="CB114" s="42">
        <f>IF(Tasks[[#This Row],[Task Name]]="","",MAX(1,N(Tasks[[#This Row],[Level]])))</f>
        <v/>
      </c>
      <c r="CC114" s="42">
        <f>ROW()-ROW(Tasks[[#Headers],[ID]])</f>
        <v/>
      </c>
      <c r="CD114" s="42">
        <f>IF(OR(Tasks[[#This Row],[Task Name]]="",Tasks[[#This Row],[_Level]]&lt;=1),0,IFERROR(LOOKUP(2,1/(Tasks[[#Headers],[_Level]]:Tasks[[#This Row],[_Level]]=Tasks[[#This Row],[_Level]]-1),ROW(Tasks[[#Headers],[_Level]]:Tasks[[#This Row],[_Level]])),0))</f>
        <v/>
      </c>
      <c r="CE114" s="42">
        <f>IFERROR(N(INDEX(Tasks[_Level],Tasks[[#This Row],[_Row]]+1)),0)</f>
        <v/>
      </c>
      <c r="CF114" s="42">
        <f>AND(Tasks[[#This Row],[Task Name]]&lt;&gt;"",Tasks[[#This Row],[_NextLevel]]&gt;Tasks[[#This Row],[_Level]])</f>
        <v/>
      </c>
      <c r="CG114" s="42">
        <f>IF(Tasks[[#This Row],[_IsSummary]],COUNTIF(Tasks[WBS],Tasks[[#This Row],[WBS]]&amp;".*"),0)</f>
        <v/>
      </c>
      <c r="CH114" s="42">
        <f>IF(AND(Tasks[[#This Row],[Task Name]]&lt;&gt;"",NOT(Tasks[[#This Row],[_IsSummary]])),1,0)</f>
        <v/>
      </c>
      <c r="CI114" s="42">
        <f>IF(N(Tasks[[#This Row],[_Pred1UID]])=0,0,IFERROR(MATCH(Tasks[[#This Row],[_Pred1UID]],Tasks[UID],0),-1))</f>
        <v/>
      </c>
      <c r="CJ114" s="42">
        <f>IF(N(Tasks[[#This Row],[_Pred2UID]])=0,0,IFERROR(MATCH(Tasks[[#This Row],[_Pred2UID]],Tasks[UID],0),-1))</f>
        <v/>
      </c>
      <c r="CK114" s="42">
        <f>IF(N(Tasks[[#This Row],[_Pred3UID]])=0,0,IFERROR(MATCH(Tasks[[#This Row],[_Pred3UID]],Tasks[UID],0),-1))</f>
        <v/>
      </c>
      <c r="CL114" s="42">
        <f>IF(N(Tasks[[#This Row],[_Pred4UID]])=0,0,IFERROR(MATCH(Tasks[[#This Row],[_Pred4UID]],Tasks[UID],0),-1))</f>
        <v/>
      </c>
      <c r="CM11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4" s="88">
        <f>IF(N(Tasks[[#This Row],[Constraint Date]])=0,0,IF(AND(OR(Tasks[[#This Row],[_ConstraintCode]]=3,Tasks[[#This Row],[_ConstraintCode]]=6,Tasks[[#This Row],[_ConstraintCode]]=7),N(Tasks[[#This Row],[_Days]])&gt;1),WORKDAY.INTL(N(Tasks[[#This Row],[Constraint Date]]),-(N(Tasks[[#This Row],[_Days]])-1),WorkWeek,Holidays),N(Tasks[[#This Row],[Constraint Date]])))</f>
        <v/>
      </c>
      <c r="CO114" s="88">
        <f>IF(OR(Tasks[[#This Row],[_ConstraintCode]]=2,Tasks[[#This Row],[_ConstraintCode]]=3,Tasks[[#This Row],[_ConstraintCode]]=4,Tasks[[#This Row],[_ConstraintCode]]=6),Tasks[[#This Row],[_ConstraintStart]],0)</f>
        <v/>
      </c>
      <c r="CP114" s="88">
        <f>IF(OR(Tasks[[#This Row],[_ConstraintCode]]=2,Tasks[[#This Row],[_ConstraintCode]]=3,Tasks[[#This Row],[_ConstraintCode]]=5,Tasks[[#This Row],[_ConstraintCode]]=7),Tasks[[#This Row],[_ConstraintStart]],2958465)</f>
        <v/>
      </c>
      <c r="CQ11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4" s="88">
        <f>IF(NOT(Tasks[[#This Row],[_IsLeaf]]=1),"",IF(N(Tasks[[#This Row],[_Days]])&lt;=0,Tasks[[#This Row],[_LeafCalcStart]],WORKDAY.INTL(Tasks[[#This Row],[_LeafCalcStart]],Tasks[[#This Row],[_Days]]-1,WorkWeek,Holidays)))</f>
        <v/>
      </c>
      <c r="CS11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4" s="42">
        <f>IF(Tasks[[#This Row],[_Predecessors]]="","",TRIM(MID(SUBSTITUTE(SUBSTITUTE(SUBSTITUTE(UPPER(Tasks[[#This Row],[_Predecessors]]),";",",")," ",""),",",REPT(" ",99)),1,99)))</f>
        <v/>
      </c>
      <c r="CV114" s="42">
        <f>IF(Tasks[[#This Row],[_Pred1Text]]="","",IFERROR(VALUE(LEFT(Tasks[[#This Row],[_Pred1Text]],MIN(FIND("F",Tasks[[#This Row],[_Pred1Text]]&amp;"F"),FIND("S",Tasks[[#This Row],[_Pred1Text]]&amp;"S"),FIND("+",Tasks[[#This Row],[_Pred1Text]]&amp;"+"),FIND("-",Tasks[[#This Row],[_Pred1Text]]&amp;"-"))-1)),""))</f>
        <v/>
      </c>
      <c r="CW11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4" s="42">
        <f>IF(Tasks[[#This Row],[_Pred1Text]]="","",TRIM(MID(SUBSTITUTE(SUBSTITUTE(SUBSTITUTE(UPPER(Tasks[[#This Row],[_Predecessors]]),";",",")," ",""),",",REPT(" ",99)),100,99)))</f>
        <v/>
      </c>
      <c r="CZ114" s="42">
        <f>IF(Tasks[[#This Row],[_Pred2Text]]="","",IFERROR(VALUE(LEFT(Tasks[[#This Row],[_Pred2Text]],MIN(FIND("F",Tasks[[#This Row],[_Pred2Text]]&amp;"F"),FIND("S",Tasks[[#This Row],[_Pred2Text]]&amp;"S"),FIND("+",Tasks[[#This Row],[_Pred2Text]]&amp;"+"),FIND("-",Tasks[[#This Row],[_Pred2Text]]&amp;"-"))-1)),""))</f>
        <v/>
      </c>
      <c r="DA11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4" s="42">
        <f>IF(Tasks[[#This Row],[_Pred2Text]]="","",TRIM(MID(SUBSTITUTE(SUBSTITUTE(SUBSTITUTE(UPPER(Tasks[[#This Row],[_Predecessors]]),";",",")," ",""),",",REPT(" ",99)),199,99)))</f>
        <v/>
      </c>
      <c r="DD114" s="42">
        <f>IF(Tasks[[#This Row],[_Pred3Text]]="","",IFERROR(VALUE(LEFT(Tasks[[#This Row],[_Pred3Text]],MIN(FIND("F",Tasks[[#This Row],[_Pred3Text]]&amp;"F"),FIND("S",Tasks[[#This Row],[_Pred3Text]]&amp;"S"),FIND("+",Tasks[[#This Row],[_Pred3Text]]&amp;"+"),FIND("-",Tasks[[#This Row],[_Pred3Text]]&amp;"-"))-1)),""))</f>
        <v/>
      </c>
      <c r="DE11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4" s="42">
        <f>IF(Tasks[[#This Row],[_Pred3Text]]="","",TRIM(MID(SUBSTITUTE(SUBSTITUTE(SUBSTITUTE(UPPER(Tasks[[#This Row],[_Predecessors]]),";",",")," ",""),",",REPT(" ",99)),298,99)))</f>
        <v/>
      </c>
      <c r="DH114" s="42">
        <f>IF(Tasks[[#This Row],[_Pred4Text]]="","",IFERROR(VALUE(LEFT(Tasks[[#This Row],[_Pred4Text]],MIN(FIND("F",Tasks[[#This Row],[_Pred4Text]]&amp;"F"),FIND("S",Tasks[[#This Row],[_Pred4Text]]&amp;"S"),FIND("+",Tasks[[#This Row],[_Pred4Text]]&amp;"+"),FIND("-",Tasks[[#This Row],[_Pred4Text]]&amp;"-"))-1)),""))</f>
        <v/>
      </c>
      <c r="DI11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4" s="42">
        <f>IF(OR(Tasks[[#This Row],[Task Name]]="",Tasks[[#This Row],[_Resources]]=""),"",TRIM(MID(SUBSTITUTE(Tasks[[#This Row],[_Resources]],",",REPT(" ",99)),1,99)))</f>
        <v/>
      </c>
      <c r="DL114" s="42">
        <f>IF(Tasks[[#This Row],[_Res1Text]]="","",TRIM(MID(SUBSTITUTE(Tasks[[#This Row],[_Resources]],",",REPT(" ",99)),100,99)))</f>
        <v/>
      </c>
      <c r="DM114" s="42">
        <f>IF(Tasks[[#This Row],[_Res2Text]]="","",TRIM(MID(SUBSTITUTE(Tasks[[#This Row],[_Resources]],",",REPT(" ",99)),199,99)))</f>
        <v/>
      </c>
      <c r="DN114" s="42">
        <f>IF(Tasks[[#This Row],[_Res3Text]]="","",TRIM(MID(SUBSTITUTE(Tasks[[#This Row],[_Resources]],",",REPT(" ",99)),298,99)))</f>
        <v/>
      </c>
      <c r="DO114" s="42">
        <f>IF(Tasks[[#This Row],[_Res1Text]]="",0,IFERROR(MATCH(TRIM(LEFT(Tasks[[#This Row],[_Res1Text]],FIND("[",Tasks[[#This Row],[_Res1Text]]&amp;"[")-1)),res_Name,0),IFERROR(MATCH(TRIM(LEFT(Tasks[[#This Row],[_Res1Text]],FIND("[",Tasks[[#This Row],[_Res1Text]]&amp;"[")-1)),res_Initials,0),0)))</f>
        <v/>
      </c>
      <c r="DP114" s="42">
        <f>IF(Tasks[[#This Row],[_Res2Text]]="",0,IFERROR(MATCH(TRIM(LEFT(Tasks[[#This Row],[_Res2Text]],FIND("[",Tasks[[#This Row],[_Res2Text]]&amp;"[")-1)),res_Name,0),IFERROR(MATCH(TRIM(LEFT(Tasks[[#This Row],[_Res2Text]],FIND("[",Tasks[[#This Row],[_Res2Text]]&amp;"[")-1)),res_Initials,0),0)))</f>
        <v/>
      </c>
      <c r="DQ114" s="42">
        <f>IF(Tasks[[#This Row],[_Res3Text]]="",0,IFERROR(MATCH(TRIM(LEFT(Tasks[[#This Row],[_Res3Text]],FIND("[",Tasks[[#This Row],[_Res3Text]]&amp;"[")-1)),res_Name,0),IFERROR(MATCH(TRIM(LEFT(Tasks[[#This Row],[_Res3Text]],FIND("[",Tasks[[#This Row],[_Res3Text]]&amp;"[")-1)),res_Initials,0),0)))</f>
        <v/>
      </c>
      <c r="DR114" s="42">
        <f>IF(Tasks[[#This Row],[_Res4Text]]="",0,IFERROR(MATCH(TRIM(LEFT(Tasks[[#This Row],[_Res4Text]],FIND("[",Tasks[[#This Row],[_Res4Text]]&amp;"[")-1)),res_Name,0),IFERROR(MATCH(TRIM(LEFT(Tasks[[#This Row],[_Res4Text]],FIND("[",Tasks[[#This Row],[_Res4Text]]&amp;"[")-1)),res_Initials,0),0)))</f>
        <v/>
      </c>
      <c r="DS114" s="42">
        <f>IF(Tasks[[#This Row],[_Res1Text]]="","",IF(Tasks[[#This Row],[_Res1Row]]&gt;0,INDEX(res_Name,Tasks[[#This Row],[_Res1Row]]),TRIM(LEFT(Tasks[[#This Row],[_Res1Text]],FIND("[",Tasks[[#This Row],[_Res1Text]]&amp;"[")-1))))</f>
        <v/>
      </c>
      <c r="DT11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4" s="42">
        <f>IF(NOT(Tasks[[#This Row],[_IsLeaf]]=1),0,(Tasks[[#This Row],[_Resource1]]&lt;&gt;"")+(Tasks[[#This Row],[_Res2]]&lt;&gt;"")+(Tasks[[#This Row],[_Res3]]&lt;&gt;"")+(Tasks[[#This Row],[_Res4]]&lt;&gt;""))</f>
        <v/>
      </c>
      <c r="DV114" s="42">
        <f>IF(Tasks[[#This Row],[_Res2Text]]="","",IF(Tasks[[#This Row],[_Res2Row]]&gt;0,INDEX(res_Name,Tasks[[#This Row],[_Res2Row]]),TRIM(LEFT(Tasks[[#This Row],[_Res2Text]],FIND("[",Tasks[[#This Row],[_Res2Text]]&amp;"[")-1))))</f>
        <v/>
      </c>
      <c r="DW11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4" s="42">
        <f>IF(OR(NOT(Tasks[[#This Row],[_IsLeaf]]=1),Tasks[[#This Row],[_Res2Row]]=0),0,N(Tasks[[#This Row],[_Days]])*HoursPerDay*IF(Tasks[[#This Row],[_Res2Units]]="",DefaultUnits,Tasks[[#This Row],[_Res2Units]]))</f>
        <v/>
      </c>
      <c r="DY114" s="42">
        <f>IF(AND(AND(Tasks[[#This Row],[_IsLeaf]]=1,Tasks[[#This Row],[_LeafTotalWork]]&gt;0),Tasks[[#This Row],[_Res2Work]]&gt;0),Tasks[[#This Row],[_Res2Work]]/(Tasks[[#This Row],[_FinishWorkday]]-Tasks[[#This Row],[_StartWorkday]]+1),0)</f>
        <v/>
      </c>
      <c r="DZ114" s="42">
        <f>Tasks[[#This Row],[_Res2WorkPerWD]]*MAX(0,Tasks[[#This Row],[_StartWorkday]]-1)</f>
        <v/>
      </c>
      <c r="EA114" s="42">
        <f>Tasks[[#This Row],[_Res2Work]]*Tasks[[#This Row],[_LeafProgress]]</f>
        <v/>
      </c>
      <c r="EB114" s="42">
        <f>IF(Tasks[[#This Row],[_Res3Text]]="","",IF(Tasks[[#This Row],[_Res3Row]]&gt;0,INDEX(res_Name,Tasks[[#This Row],[_Res3Row]]),TRIM(LEFT(Tasks[[#This Row],[_Res3Text]],FIND("[",Tasks[[#This Row],[_Res3Text]]&amp;"[")-1))))</f>
        <v/>
      </c>
      <c r="EC11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4" s="42">
        <f>IF(OR(NOT(Tasks[[#This Row],[_IsLeaf]]=1),Tasks[[#This Row],[_Res3Row]]=0),0,N(Tasks[[#This Row],[_Days]])*HoursPerDay*IF(Tasks[[#This Row],[_Res3Units]]="",DefaultUnits,Tasks[[#This Row],[_Res3Units]]))</f>
        <v/>
      </c>
      <c r="EE114" s="42">
        <f>IF(AND(AND(Tasks[[#This Row],[_IsLeaf]]=1,Tasks[[#This Row],[_LeafTotalWork]]&gt;0),Tasks[[#This Row],[_Res3Work]]&gt;0),Tasks[[#This Row],[_Res3Work]]/(Tasks[[#This Row],[_FinishWorkday]]-Tasks[[#This Row],[_StartWorkday]]+1),0)</f>
        <v/>
      </c>
      <c r="EF114" s="42">
        <f>Tasks[[#This Row],[_Res3WorkPerWD]]*MAX(0,Tasks[[#This Row],[_StartWorkday]]-1)</f>
        <v/>
      </c>
      <c r="EG114" s="42">
        <f>Tasks[[#This Row],[_Res3Work]]*Tasks[[#This Row],[_LeafProgress]]</f>
        <v/>
      </c>
      <c r="EH114" s="42">
        <f>IF(Tasks[[#This Row],[_Res4Text]]="","",IF(Tasks[[#This Row],[_Res4Row]]&gt;0,INDEX(res_Name,Tasks[[#This Row],[_Res4Row]]),TRIM(LEFT(Tasks[[#This Row],[_Res4Text]],FIND("[",Tasks[[#This Row],[_Res4Text]]&amp;"[")-1))))</f>
        <v/>
      </c>
      <c r="EI11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4" s="42">
        <f>IF(OR(NOT(Tasks[[#This Row],[_IsLeaf]]=1),Tasks[[#This Row],[_Res4Row]]=0),0,N(Tasks[[#This Row],[_Days]])*HoursPerDay*IF(Tasks[[#This Row],[_Res4Units]]="",DefaultUnits,Tasks[[#This Row],[_Res4Units]]))</f>
        <v/>
      </c>
      <c r="EK114" s="42">
        <f>IF(AND(AND(Tasks[[#This Row],[_IsLeaf]]=1,Tasks[[#This Row],[_LeafTotalWork]]&gt;0),Tasks[[#This Row],[_Res4Work]]&gt;0),Tasks[[#This Row],[_Res4Work]]/(Tasks[[#This Row],[_FinishWorkday]]-Tasks[[#This Row],[_StartWorkday]]+1),0)</f>
        <v/>
      </c>
      <c r="EL114" s="42">
        <f>Tasks[[#This Row],[_Res4WorkPerWD]]*MAX(0,Tasks[[#This Row],[_StartWorkday]]-1)</f>
        <v/>
      </c>
      <c r="EM114" s="42">
        <f>Tasks[[#This Row],[_Res4Work]]*Tasks[[#This Row],[_LeafProgress]]</f>
        <v/>
      </c>
      <c r="EN114" s="42">
        <f>IF(ISNUMBER(Tasks[[#This Row],[% Complete]]),Tasks[[#This Row],[% Complete]],IF(Tasks[[#This Row],[Stage]]="",0,IFERROR(INDEX(stg_Pct,MATCH(Tasks[[#This Row],[Stage]],stg_Name,0)),0)))</f>
        <v/>
      </c>
      <c r="EO114" s="42">
        <f>IF(NOT(Tasks[[#This Row],[_IsLeaf]]=1),0,IF(N(Tasks[[#This Row],[Actual Finish]])&gt;0,1,MIN(1,Tasks[[#This Row],[_Pct]])))</f>
        <v/>
      </c>
      <c r="EP114" s="42">
        <f>IF(OR(NOT(Tasks[[#This Row],[_IsLeaf]]=1),Tasks[[#This Row],[_Res1Row]]=0),0,N(Tasks[[#This Row],[_Days]])*HoursPerDay*IF(Tasks[[#This Row],[_Units1]]="",DefaultUnits,Tasks[[#This Row],[_Units1]]))</f>
        <v/>
      </c>
      <c r="EQ114" s="42">
        <f>Tasks[[#This Row],[_LeafWork]]+Tasks[[#This Row],[_Res2Work]]+Tasks[[#This Row],[_Res3Work]]+Tasks[[#This Row],[_Res4Work]]</f>
        <v/>
      </c>
      <c r="ER11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4" s="42">
        <f>IF(NOT(Tasks[[#This Row],[_IsLeaf]]=1),0,MAX(_xlfn.MAXIFS(Tasks[_Row],Tasks[_Pred1UID],Tasks[[#This Row],[UID]]),_xlfn.MAXIFS(Tasks[_Row],Tasks[_Pred2UID],Tasks[[#This Row],[UID]]),_xlfn.MAXIFS(Tasks[_Row],Tasks[_Pred3UID],Tasks[[#This Row],[UID]]),_xlfn.MAXIFS(Tasks[_Row],Tasks[_Pred4UID],Tasks[[#This Row],[UID]])))</f>
        <v/>
      </c>
      <c r="FA11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4" s="88">
        <f>IF(NOT(Tasks[[#This Row],[_IsLeaf]]=1),"",IF(N(Tasks[[#This Row],[_Days]])&lt;=0,Tasks[[#This Row],[_LeafLateFinish]],WORKDAY.INTL(Tasks[[#This Row],[_LeafLateFinish]],-(Tasks[[#This Row],[_Days]]-1),WorkWeek,Holidays)))</f>
        <v/>
      </c>
      <c r="FD11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4" s="42">
        <f>AND(Tasks[[#This Row],[_IsLeaf]]=1,Tasks[[#This Row],[_LeafProgress]]&lt;1,N(Tasks[[#This Row],[_LeafTotalSlack]])&lt;=CriticalSlackDays)</f>
        <v/>
      </c>
      <c r="FF114" s="42">
        <f>IF(AND(Tasks[[#This Row],[_IsLeaf]]=1,Tasks[[#This Row],[_ConstraintCode]]=1,Tasks[[#This Row],[Mode]]&lt;&gt;"Manual",N(Tasks[[#This Row],[Actual Start]])=0),MAX(0,N(Tasks[[#This Row],[Free Slack]])),0)</f>
        <v/>
      </c>
      <c r="FG114" s="88">
        <f>IF(NOT(Tasks[[#This Row],[_IsLeaf]]=1),"",IF(Tasks[[#This Row],[_AlapShift]]=0,Tasks[[#This Row],[_LeafCalcStart]],WORKDAY.INTL(Tasks[[#This Row],[_LeafCalcStart]],Tasks[[#This Row],[_AlapShift]],WorkWeek,Holidays)))</f>
        <v/>
      </c>
      <c r="FH114" s="88">
        <f>IF(NOT(Tasks[[#This Row],[_IsLeaf]]=1),"",IF(Tasks[[#This Row],[_AlapShift]]=0,Tasks[[#This Row],[_LeafCalcFinish]],WORKDAY.INTL(Tasks[[#This Row],[_LeafCalcFinish]],Tasks[[#This Row],[_AlapShift]],WorkWeek,Holidays)))</f>
        <v/>
      </c>
      <c r="FI114" s="88">
        <f>IF(NOT(Tasks[[#This Row],[_IsLeaf]]=1),"",IF(Tasks[[#This Row],[_AlapShift]]=0,Tasks[[#This Row],[_LeafFcstStart]],WORKDAY.INTL(Tasks[[#This Row],[_LeafFcstStart]],Tasks[[#This Row],[_AlapShift]],WorkWeek,Holidays)))</f>
        <v/>
      </c>
      <c r="FJ114" s="88">
        <f>IF(NOT(Tasks[[#This Row],[_IsLeaf]]=1),"",IF(Tasks[[#This Row],[_AlapShift]]=0,Tasks[[#This Row],[_LeafFcstFinish]],WORKDAY.INTL(Tasks[[#This Row],[_LeafFcstFinish]],Tasks[[#This Row],[_AlapShift]],WorkWeek,Holidays)))</f>
        <v/>
      </c>
      <c r="FK114" s="88">
        <f>IF(Tasks[[#This Row],[Task Name]]="","",IF(Tasks[[#This Row],[_IsSummary]],MIN(INDEX(Tasks[_ShownCalcStart],Tasks[[#This Row],[_Row]]+1):INDEX(Tasks[_ShownCalcStart],Tasks[[#This Row],[_Row]]+Tasks[[#This Row],[_Descendants]])),Tasks[[#This Row],[_ShownCalcStart]]))</f>
        <v/>
      </c>
      <c r="FL114" s="88">
        <f>IF(Tasks[[#This Row],[Task Name]]="","",IF(Tasks[[#This Row],[_IsSummary]],MAX(INDEX(Tasks[_ShownCalcFinish],Tasks[[#This Row],[_Row]]+1):INDEX(Tasks[_ShownCalcFinish],Tasks[[#This Row],[_Row]]+Tasks[[#This Row],[_Descendants]])),Tasks[[#This Row],[_ShownCalcFinish]]))</f>
        <v/>
      </c>
      <c r="FM11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4" s="42">
        <f>IF(AND(Tasks[[#This Row],[_IsLeaf]]=1,Tasks[[#This Row],[_LeafTotalWork]]&gt;0),NETWORKDAYS.INTL(ProjectStart,Tasks[[#This Row],[_ShownFcstStart]],WorkWeek,Holidays),0)</f>
        <v/>
      </c>
      <c r="FZ114" s="42">
        <f>IF(AND(Tasks[[#This Row],[_IsLeaf]]=1,Tasks[[#This Row],[_LeafTotalWork]]&gt;0),MAX(Tasks[[#This Row],[_StartWorkday]],NETWORKDAYS.INTL(ProjectStart,Tasks[[#This Row],[_ShownFcstFinish]],WorkWeek,Holidays)),0)</f>
        <v/>
      </c>
      <c r="GA114" s="42">
        <f>IF(AND(Tasks[[#This Row],[_IsLeaf]]=1,Tasks[[#This Row],[_LeafTotalWork]]&gt;0),Tasks[[#This Row],[_LeafWork]]/(Tasks[[#This Row],[_FinishWorkday]]-Tasks[[#This Row],[_StartWorkday]]+1),0)</f>
        <v/>
      </c>
      <c r="GB114" s="42">
        <f>Tasks[[#This Row],[_WorkPerWorkday]]*(Tasks[[#This Row],[_StartWorkday]]-1)</f>
        <v/>
      </c>
      <c r="GC114" s="42">
        <f>IF(Tasks[[#This Row],[_IsLeaf]]=1,MAX(N(Tasks[[#This Row],[_Days]]),0.1),0)</f>
        <v/>
      </c>
      <c r="GD114" s="42">
        <f>Tasks[[#This Row],[_WeightDur]]*Tasks[[#This Row],[_LeafProgress]]</f>
        <v/>
      </c>
      <c r="GE114" s="42">
        <f>Tasks[[#This Row],[_WeightDur]]*Tasks[[#This Row],[_PlannedPct]]</f>
        <v/>
      </c>
      <c r="GF11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4" s="42">
        <f>IF(AND(Tasks[[#This Row],[_IsLeaf]]=1,N(Tasks[[#This Row],[_Days]])=0,Tasks[[#This Row],[_LeafProgress]]&lt;1),Tasks[[#This Row],[_ShownFcstFinish]]+Tasks[[#This Row],[_Row]]/100000,"")</f>
        <v/>
      </c>
      <c r="GH11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4" s="42">
        <f>IF(Tasks[[#This Row],[Task Name]]="","",LEFT(Tasks[[#This Row],[WBS]],FIND(".",Tasks[[#This Row],[WBS]]&amp;".")-1))</f>
        <v/>
      </c>
      <c r="GJ114" s="42">
        <f>IF(AND(Tasks[[#This Row],[Task Name]]&lt;&gt;"",Tasks[[#This Row],[_Level]]=1),Tasks[[#This Row],[_Row]],"")</f>
        <v/>
      </c>
      <c r="GK114" s="42">
        <f>IF(AND(Tasks[[#This Row],[_IsLeaf]]=1,N(Tasks[[#This Row],[_Days]])=0),Tasks[[#This Row],[Planned Finish]]+Tasks[[#This Row],[_Row]]/100000,"")</f>
        <v/>
      </c>
      <c r="GL114" s="42">
        <f>IF(AND(Tasks[[#This Row],[_IsLeaf]]=1,Tasks[[#This Row],[_LeafProgress]]&lt;1,OR(N(Tasks[[#This Row],[Finish Var]])&gt;0,Tasks[[#This Row],[Status]]="Late Start")),MAX(0,Tasks[[#This Row],[Finish Var]])+1-Tasks[[#This Row],[_Row]]/1000000,"")</f>
        <v/>
      </c>
      <c r="GM114" s="42">
        <f>IF(AND(Tasks[[#This Row],[_IsLeaf]]=1,N(Tasks[[#This Row],[Actual Start]])=0,Tasks[[#This Row],[_ShownFcstStart]]&gt;=StatusDate,Tasks[[#This Row],[_ShownFcstStart]]&lt;=LookaheadEnd),Tasks[[#This Row],[_ShownFcstStart]]+Tasks[[#This Row],[_Row]]/100000,"")</f>
        <v/>
      </c>
      <c r="GN114" s="42">
        <f>IF(AND(Tasks[[#This Row],[_IsLeaf]]=1,Tasks[[#This Row],[_LeafProgress]]&lt;1,Tasks[[#This Row],[_ShownFcstFinish]]&gt;=StatusDate,Tasks[[#This Row],[_ShownFcstFinish]]&lt;=LookaheadEnd),Tasks[[#This Row],[_ShownFcstFinish]]+Tasks[[#This Row],[_Row]]/100000,"")</f>
        <v/>
      </c>
      <c r="GO114" s="42">
        <f>IF(Tasks[[#This Row],[_LeafCritical]],Tasks[[#This Row],[_ShownFcstStart]]+Tasks[[#This Row],[_Row]]/100000,"")</f>
        <v/>
      </c>
      <c r="GP114" s="42">
        <f>Tasks[[#This Row],[_LeafWork]]*Tasks[[#This Row],[_LeafProgress]]</f>
        <v/>
      </c>
      <c r="GQ114" s="88">
        <f>IF(AND(Tasks[[#This Row],[_IsLeaf]]=1,Tasks[[#This Row],[_LeafProgress]]&gt;=1),IF(N(Tasks[[#This Row],[Actual Finish]])&gt;0,Tasks[[#This Row],[Actual Finish]],Tasks[[#This Row],[_ShownFcstFinish]]),"")</f>
        <v/>
      </c>
      <c r="GR114" s="42">
        <f>IF(Tasks[[#This Row],[_IsLeaf]]=1,N(Tasks[[#This Row],[Story Points]]),0)</f>
        <v/>
      </c>
      <c r="GS114" s="42">
        <f>""</f>
        <v/>
      </c>
      <c r="GT114" s="42">
        <f>IF(Tasks[[#This Row],[Task Name]]="",FALSE(),AND(Tasks[[#This Row],[_IsLeaf]]=1,N(Tasks[[#This Row],[_Days]])=0))</f>
        <v/>
      </c>
      <c r="GU114" s="88">
        <f>IF(Tasks[[#This Row],[Task Name]]="",0,IF(AND(Tasks[[#This Row],[_IsLeaf]]=1,NOT(Tasks[[#This Row],[_IsMilestone]]),N(Tasks[[#This Row],[Progress]])&gt;0),Tasks[[#This Row],[Start]],0))</f>
        <v/>
      </c>
      <c r="GV114" s="88">
        <f>IF(Tasks[[#This Row],[_DoneFrom]]=0,0,IF(Tasks[[#This Row],[Progress]]&gt;=1,Tasks[[#This Row],[Finish]],MAX(Tasks[[#This Row],[_DoneFrom]],Tasks[[#This Row],[Start]]+ROUND((Tasks[[#This Row],[Finish]]-Tasks[[#This Row],[Start]]+1)*Tasks[[#This Row],[Progress]],0)-1)))</f>
        <v/>
      </c>
      <c r="GW114" s="88">
        <f>IF(Tasks[[#This Row],[Task Name]]="",0,IF(OR(NOT(Tasks[[#This Row],[_IsLeaf]]=1),Tasks[[#This Row],[_IsMilestone]],N(Tasks[[#This Row],[Progress]])&gt;=1),0,IF(Tasks[[#This Row],[_DoneTo]]&gt;0,Tasks[[#This Row],[_DoneTo]]+1,Tasks[[#This Row],[Start]])))</f>
        <v/>
      </c>
      <c r="GX114" s="88">
        <f>IF(Tasks[[#This Row],[_RemFrom]]=0,0,Tasks[[#This Row],[Finish]])</f>
        <v/>
      </c>
      <c r="GY114" s="42">
        <f>IF(Tasks[[#This Row],[Task Name]]="",FALSE(),OR(NOT(BaselineSet),N(Tasks[[#This Row],[Baseline Start]])&gt;0))</f>
        <v/>
      </c>
      <c r="GZ114" s="42">
        <f>IF(AND(Sandbox="Yes",L_PARSE_DURATION(Tasks[[#This Row],[Sandbox Duration]])&lt;&gt;""),L_PARSE_DURATION(Tasks[[#This Row],[Sandbox Duration]]),L_PARSE_DURATION(Tasks[[#This Row],[Duration]]))</f>
        <v/>
      </c>
      <c r="HA11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4" s="42">
        <f>IF(Tasks[[#This Row],[_IsLeaf]]=1,Tasks[[#This Row],[_Row]],"")</f>
        <v/>
      </c>
      <c r="HD114" s="42">
        <f>IFERROR(INDEX(Tasks[UID],SMALL(Tasks[_PickKey],Tasks[[#This Row],[_Row]]))&amp;" "&amp;INDEX(Tasks[Task Name],SMALL(Tasks[_PickKey],Tasks[[#This Row],[_Row]])),"")</f>
        <v/>
      </c>
      <c r="HE114" s="42">
        <f>IF(Tasks[[#This Row],[Task Name]]="","",IF(Tasks[[#This Row],[_IsSummary]],NETWORKDAYS.INTL(Tasks[[#This Row],[Start]],Tasks[[#This Row],[Finish]],WorkWeek,Holidays),N(Tasks[[#This Row],[_Days]])))</f>
        <v/>
      </c>
      <c r="HF114" s="42">
        <f>IF(Tasks[[#This Row],[Expected]]="",0,((Tasks[[#This Row],[Pessimistic]]-Tasks[[#This Row],[Optimistic]])/6)^2)</f>
        <v/>
      </c>
      <c r="HG114" s="42">
        <f>IF(Tasks[[#This Row],[Expected]]="",0,Tasks[[#This Row],[Expected]]-N(Tasks[[#This Row],[_Days]]))</f>
        <v/>
      </c>
    </row>
    <row r="115">
      <c r="A115" s="21">
        <f>IF(Tasks[[#This Row],[Task Name]]="","",COUNTA(Tasks[[#Headers],[Task Name]]:Tasks[[#This Row],[Task Name]])-1)</f>
        <v/>
      </c>
      <c r="B115" s="22" t="n">
        <v>123</v>
      </c>
      <c r="C115" s="22" t="n"/>
      <c r="D115" s="23" t="n"/>
      <c r="E115" s="22" t="n"/>
      <c r="F115" s="23" t="n"/>
      <c r="G115" s="22" t="n"/>
      <c r="H115" s="22" t="n"/>
      <c r="I115" s="23" t="n"/>
      <c r="J115" s="22" t="n"/>
      <c r="K115" s="22" t="n"/>
      <c r="L115" s="23" t="n"/>
      <c r="M115" s="22" t="n"/>
      <c r="N115" s="22" t="n"/>
      <c r="O115" s="23" t="n"/>
      <c r="P115" s="22" t="n"/>
      <c r="Q115" s="22" t="n"/>
      <c r="R115" s="23" t="n"/>
      <c r="S115" s="23" t="n"/>
      <c r="T115" s="82" t="n"/>
      <c r="U115" s="23" t="n"/>
      <c r="V115" s="82" t="n"/>
      <c r="W115" s="23" t="n"/>
      <c r="X115" s="82" t="n"/>
      <c r="Y115" s="23" t="n"/>
      <c r="Z115" s="82" t="n"/>
      <c r="AA115" s="23" t="n"/>
      <c r="AB115" s="23" t="n"/>
      <c r="AC115" s="7" t="n"/>
      <c r="AD115" s="7" t="n"/>
      <c r="AE115" s="61">
        <f>IF(Tasks[[#This Row],[Task Name]]="","",IF(Tasks[[#This Row],[_IsSummary]],MIN(INDEX(Tasks[_ShownFcstStart],Tasks[[#This Row],[_Row]]+1):INDEX(Tasks[_ShownFcstStart],Tasks[[#This Row],[_Row]]+Tasks[[#This Row],[_Descendants]])),Tasks[[#This Row],[_ShownFcstStart]]))</f>
        <v/>
      </c>
      <c r="AF115" s="61">
        <f>IF(Tasks[[#This Row],[Task Name]]="","",IF(Tasks[[#This Row],[_IsSummary]],MAX(INDEX(Tasks[_ShownFcstFinish],Tasks[[#This Row],[_Row]]+1):INDEX(Tasks[_ShownFcstFinish],Tasks[[#This Row],[_Row]]+Tasks[[#This Row],[_Descendants]])),Tasks[[#This Row],[_ShownFcstFinish]]))</f>
        <v/>
      </c>
      <c r="AG115" s="21">
        <f>""</f>
        <v/>
      </c>
      <c r="AH115" s="23" t="n"/>
      <c r="AI11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5" s="7" t="n"/>
      <c r="AK115" s="22" t="n"/>
      <c r="AL115" s="23" t="n"/>
      <c r="AM115" s="7" t="n"/>
      <c r="AN115" s="21">
        <f>IF(Tasks[[#This Row],[Task Name]]="","",IF(Tasks[[#This Row],[Finish]]&gt;=Tasks[[#This Row],[Planned Finish]],NETWORKDAYS.INTL(Tasks[[#This Row],[Planned Finish]],Tasks[[#This Row],[Finish]],WorkWeek,Holidays)-1,1-NETWORKDAYS.INTL(Tasks[[#This Row],[Finish]],Tasks[[#This Row],[Planned Finish]],WorkWeek,Holidays)))</f>
        <v/>
      </c>
      <c r="AO115" s="21">
        <f>IF(Tasks[[#This Row],[Task Name]]="","",IF(Tasks[[#This Row],[Progress]]&gt;=1,"Complete",IF(OR(N(Tasks[[#This Row],[Actual Start]])&gt;0,Tasks[[#This Row],[Progress]]&gt;0),IF(Tasks[[#This Row],[Finish Var]]&gt;0,"Behind","In Progress"),IF(Tasks[[#This Row],[Planned Start]]&lt;StatusDate,"Late Start","Not Started"))))</f>
        <v/>
      </c>
      <c r="AP115" s="21">
        <f>IF(Tasks[[#This Row],[Task Name]]="","",IF(IF(Tasks[[#This Row],[_IsSummary]],COUNTIF(INDEX(Tasks[_LeafCritical],Tasks[[#This Row],[_Row]]+1):INDEX(Tasks[_LeafCritical],Tasks[[#This Row],[_Row]]+Tasks[[#This Row],[_Descendants]]),TRUE())&gt;0,Tasks[[#This Row],[_LeafCritical]]),"Yes",""))</f>
        <v/>
      </c>
      <c r="AQ115" s="61">
        <f>IF(Tasks[[#This Row],[Task Name]]="","",IF(N(Tasks[[#This Row],[Baseline Start]])&gt;0,Tasks[[#This Row],[Baseline Start]],Tasks[[#This Row],[_CalcStart]]))</f>
        <v/>
      </c>
      <c r="AR115" s="61">
        <f>IF(Tasks[[#This Row],[Task Name]]="","",IF(N(Tasks[[#This Row],[Baseline Finish]])&gt;0,Tasks[[#This Row],[Baseline Finish]],Tasks[[#This Row],[_CalcFinish]]))</f>
        <v/>
      </c>
      <c r="AS115" s="21">
        <f>IF(Tasks[[#This Row],[Task Name]]="","",IF(Tasks[[#This Row],[Start]]&gt;=Tasks[[#This Row],[Planned Start]],NETWORKDAYS.INTL(Tasks[[#This Row],[Planned Start]],Tasks[[#This Row],[Start]],WorkWeek,Holidays)-1,1-NETWORKDAYS.INTL(Tasks[[#This Row],[Start]],Tasks[[#This Row],[Planned Start]],WorkWeek,Holidays)))</f>
        <v/>
      </c>
      <c r="AT115" s="61">
        <f>IF(Tasks[[#This Row],[Task Name]]="","",IF(Tasks[[#This Row],[_IsSummary]],MIN(INDEX(Tasks[_LeafLateStart],Tasks[[#This Row],[_Row]]+1):INDEX(Tasks[_LeafLateStart],Tasks[[#This Row],[_Row]]+Tasks[[#This Row],[_Descendants]])),Tasks[[#This Row],[_LeafLateStart]]))</f>
        <v/>
      </c>
      <c r="AU115" s="61">
        <f>IF(Tasks[[#This Row],[Task Name]]="","",IF(Tasks[[#This Row],[_IsSummary]],MAX(INDEX(Tasks[_LeafLateFinish],Tasks[[#This Row],[_Row]]+1):INDEX(Tasks[_LeafLateFinish],Tasks[[#This Row],[_Row]]+Tasks[[#This Row],[_Descendants]])),Tasks[[#This Row],[_LeafLateFinish]]))</f>
        <v/>
      </c>
      <c r="AV115" s="21">
        <f>IF(Tasks[[#This Row],[Task Name]]="","",IF(Tasks[[#This Row],[_IsSummary]],MIN(INDEX(Tasks[_LeafTotalSlack],Tasks[[#This Row],[_Row]]+1):INDEX(Tasks[_LeafTotalSlack],Tasks[[#This Row],[_Row]]+Tasks[[#This Row],[_Descendants]])),Tasks[[#This Row],[_LeafTotalSlack]]))</f>
        <v/>
      </c>
      <c r="AW11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3" t="n"/>
      <c r="BA11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f>IF(Tasks[[#This Row],[Task Name]]="","",IF(Tasks[[#This Row],[_Level]]&lt;=OutlineShowLevel,"Yes","No"))</f>
        <v/>
      </c>
      <c r="BE115" s="84">
        <f>IF(Tasks[[#This Row],[Task Name]]="","",IF(Tasks[[#This Row],[_IsSummary]],SUM(INDEX(Tasks[_LeafTotalWork],Tasks[[#This Row],[_Row]]+1):INDEX(Tasks[_LeafTotalWork],Tasks[[#This Row],[_Row]]+Tasks[[#This Row],[_Descendants]])),Tasks[[#This Row],[_LeafTotalWork]]))</f>
        <v/>
      </c>
      <c r="BF115" s="23" t="n"/>
      <c r="BG11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f>""</f>
        <v/>
      </c>
      <c r="BI115" s="85" t="n"/>
      <c r="BJ115" s="22" t="n"/>
      <c r="BK115" s="21">
        <f>IF(OR(Tasks[[#This Row],[Task Name]]="",Tasks[[#This Row],[Baseline Duration]]=""),"",Tasks[[#This Row],[_SpanDays]]-N(Tasks[[#This Row],[Baseline Duration]]))</f>
        <v/>
      </c>
      <c r="BL115" s="84">
        <f>IF(OR(Tasks[[#This Row],[Task Name]]="",Tasks[[#This Row],[Baseline Work]]=""),"",Tasks[[#This Row],[Work]]-N(Tasks[[#This Row],[Baseline Work]]))</f>
        <v/>
      </c>
      <c r="BM115" s="61">
        <f>IF(Tasks[[#This Row],[Task Name]]="","",IF(OR(TakeBaseline="Yes",N(Tasks[[#This Row],[Baseline Start]])=0),Tasks[[#This Row],[Start]],Tasks[[#This Row],[Baseline Start]]))</f>
        <v/>
      </c>
      <c r="BN115" s="61">
        <f>IF(Tasks[[#This Row],[Task Name]]="","",IF(OR(TakeBaseline="Yes",N(Tasks[[#This Row],[Baseline Finish]])=0),Tasks[[#This Row],[Finish]],Tasks[[#This Row],[Baseline Finish]]))</f>
        <v/>
      </c>
      <c r="BO115" s="21">
        <f>IF(Tasks[[#This Row],[Task Name]]="","",IF(OR(TakeBaseline="Yes",N(Tasks[[#This Row],[Baseline Duration]])=0),Tasks[[#This Row],[_SpanDays]],Tasks[[#This Row],[Baseline Duration]]))</f>
        <v/>
      </c>
      <c r="BP115" s="84">
        <f>IF(Tasks[[#This Row],[Task Name]]="","",IF(OR(TakeBaseline="Yes",N(Tasks[[#This Row],[Baseline Work]])=0),Tasks[[#This Row],[Work]],Tasks[[#This Row],[Baseline Work]]))</f>
        <v/>
      </c>
      <c r="BQ115" s="7" t="n"/>
      <c r="BR115" s="7" t="n"/>
      <c r="BS115" s="22" t="n"/>
      <c r="BT115" s="86" t="n"/>
      <c r="BU115" s="23" t="n"/>
      <c r="BV115" s="23" t="n"/>
      <c r="BW115" s="23" t="n"/>
      <c r="BX115" s="87">
        <f>IF(AND(Tasks[[#This Row],[_IsLeaf]]=1,ISNUMBER(Tasks[[#This Row],[Optimistic]]),ISNUMBER(Tasks[[#This Row],[Pessimistic]])),ROUND((Tasks[[#This Row],[Optimistic]]+4*N(Tasks[[#This Row],[_Days]])+Tasks[[#This Row],[Pessimistic]])/6,1),"")</f>
        <v/>
      </c>
      <c r="BY115" s="85" t="n"/>
      <c r="BZ115" s="85" t="n"/>
      <c r="CA115" s="22" t="n"/>
      <c r="CB115" s="42">
        <f>IF(Tasks[[#This Row],[Task Name]]="","",MAX(1,N(Tasks[[#This Row],[Level]])))</f>
        <v/>
      </c>
      <c r="CC115" s="42">
        <f>ROW()-ROW(Tasks[[#Headers],[ID]])</f>
        <v/>
      </c>
      <c r="CD115" s="42">
        <f>IF(OR(Tasks[[#This Row],[Task Name]]="",Tasks[[#This Row],[_Level]]&lt;=1),0,IFERROR(LOOKUP(2,1/(Tasks[[#Headers],[_Level]]:Tasks[[#This Row],[_Level]]=Tasks[[#This Row],[_Level]]-1),ROW(Tasks[[#Headers],[_Level]]:Tasks[[#This Row],[_Level]])),0))</f>
        <v/>
      </c>
      <c r="CE115" s="42">
        <f>IFERROR(N(INDEX(Tasks[_Level],Tasks[[#This Row],[_Row]]+1)),0)</f>
        <v/>
      </c>
      <c r="CF115" s="42">
        <f>AND(Tasks[[#This Row],[Task Name]]&lt;&gt;"",Tasks[[#This Row],[_NextLevel]]&gt;Tasks[[#This Row],[_Level]])</f>
        <v/>
      </c>
      <c r="CG115" s="42">
        <f>IF(Tasks[[#This Row],[_IsSummary]],COUNTIF(Tasks[WBS],Tasks[[#This Row],[WBS]]&amp;".*"),0)</f>
        <v/>
      </c>
      <c r="CH115" s="42">
        <f>IF(AND(Tasks[[#This Row],[Task Name]]&lt;&gt;"",NOT(Tasks[[#This Row],[_IsSummary]])),1,0)</f>
        <v/>
      </c>
      <c r="CI115" s="42">
        <f>IF(N(Tasks[[#This Row],[_Pred1UID]])=0,0,IFERROR(MATCH(Tasks[[#This Row],[_Pred1UID]],Tasks[UID],0),-1))</f>
        <v/>
      </c>
      <c r="CJ115" s="42">
        <f>IF(N(Tasks[[#This Row],[_Pred2UID]])=0,0,IFERROR(MATCH(Tasks[[#This Row],[_Pred2UID]],Tasks[UID],0),-1))</f>
        <v/>
      </c>
      <c r="CK115" s="42">
        <f>IF(N(Tasks[[#This Row],[_Pred3UID]])=0,0,IFERROR(MATCH(Tasks[[#This Row],[_Pred3UID]],Tasks[UID],0),-1))</f>
        <v/>
      </c>
      <c r="CL115" s="42">
        <f>IF(N(Tasks[[#This Row],[_Pred4UID]])=0,0,IFERROR(MATCH(Tasks[[#This Row],[_Pred4UID]],Tasks[UID],0),-1))</f>
        <v/>
      </c>
      <c r="CM11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5" s="88">
        <f>IF(N(Tasks[[#This Row],[Constraint Date]])=0,0,IF(AND(OR(Tasks[[#This Row],[_ConstraintCode]]=3,Tasks[[#This Row],[_ConstraintCode]]=6,Tasks[[#This Row],[_ConstraintCode]]=7),N(Tasks[[#This Row],[_Days]])&gt;1),WORKDAY.INTL(N(Tasks[[#This Row],[Constraint Date]]),-(N(Tasks[[#This Row],[_Days]])-1),WorkWeek,Holidays),N(Tasks[[#This Row],[Constraint Date]])))</f>
        <v/>
      </c>
      <c r="CO115" s="88">
        <f>IF(OR(Tasks[[#This Row],[_ConstraintCode]]=2,Tasks[[#This Row],[_ConstraintCode]]=3,Tasks[[#This Row],[_ConstraintCode]]=4,Tasks[[#This Row],[_ConstraintCode]]=6),Tasks[[#This Row],[_ConstraintStart]],0)</f>
        <v/>
      </c>
      <c r="CP115" s="88">
        <f>IF(OR(Tasks[[#This Row],[_ConstraintCode]]=2,Tasks[[#This Row],[_ConstraintCode]]=3,Tasks[[#This Row],[_ConstraintCode]]=5,Tasks[[#This Row],[_ConstraintCode]]=7),Tasks[[#This Row],[_ConstraintStart]],2958465)</f>
        <v/>
      </c>
      <c r="CQ11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5" s="88">
        <f>IF(NOT(Tasks[[#This Row],[_IsLeaf]]=1),"",IF(N(Tasks[[#This Row],[_Days]])&lt;=0,Tasks[[#This Row],[_LeafCalcStart]],WORKDAY.INTL(Tasks[[#This Row],[_LeafCalcStart]],Tasks[[#This Row],[_Days]]-1,WorkWeek,Holidays)))</f>
        <v/>
      </c>
      <c r="CS11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5" s="42">
        <f>IF(Tasks[[#This Row],[_Predecessors]]="","",TRIM(MID(SUBSTITUTE(SUBSTITUTE(SUBSTITUTE(UPPER(Tasks[[#This Row],[_Predecessors]]),";",",")," ",""),",",REPT(" ",99)),1,99)))</f>
        <v/>
      </c>
      <c r="CV115" s="42">
        <f>IF(Tasks[[#This Row],[_Pred1Text]]="","",IFERROR(VALUE(LEFT(Tasks[[#This Row],[_Pred1Text]],MIN(FIND("F",Tasks[[#This Row],[_Pred1Text]]&amp;"F"),FIND("S",Tasks[[#This Row],[_Pred1Text]]&amp;"S"),FIND("+",Tasks[[#This Row],[_Pred1Text]]&amp;"+"),FIND("-",Tasks[[#This Row],[_Pred1Text]]&amp;"-"))-1)),""))</f>
        <v/>
      </c>
      <c r="CW11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5" s="42">
        <f>IF(Tasks[[#This Row],[_Pred1Text]]="","",TRIM(MID(SUBSTITUTE(SUBSTITUTE(SUBSTITUTE(UPPER(Tasks[[#This Row],[_Predecessors]]),";",",")," ",""),",",REPT(" ",99)),100,99)))</f>
        <v/>
      </c>
      <c r="CZ115" s="42">
        <f>IF(Tasks[[#This Row],[_Pred2Text]]="","",IFERROR(VALUE(LEFT(Tasks[[#This Row],[_Pred2Text]],MIN(FIND("F",Tasks[[#This Row],[_Pred2Text]]&amp;"F"),FIND("S",Tasks[[#This Row],[_Pred2Text]]&amp;"S"),FIND("+",Tasks[[#This Row],[_Pred2Text]]&amp;"+"),FIND("-",Tasks[[#This Row],[_Pred2Text]]&amp;"-"))-1)),""))</f>
        <v/>
      </c>
      <c r="DA11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5" s="42">
        <f>IF(Tasks[[#This Row],[_Pred2Text]]="","",TRIM(MID(SUBSTITUTE(SUBSTITUTE(SUBSTITUTE(UPPER(Tasks[[#This Row],[_Predecessors]]),";",",")," ",""),",",REPT(" ",99)),199,99)))</f>
        <v/>
      </c>
      <c r="DD115" s="42">
        <f>IF(Tasks[[#This Row],[_Pred3Text]]="","",IFERROR(VALUE(LEFT(Tasks[[#This Row],[_Pred3Text]],MIN(FIND("F",Tasks[[#This Row],[_Pred3Text]]&amp;"F"),FIND("S",Tasks[[#This Row],[_Pred3Text]]&amp;"S"),FIND("+",Tasks[[#This Row],[_Pred3Text]]&amp;"+"),FIND("-",Tasks[[#This Row],[_Pred3Text]]&amp;"-"))-1)),""))</f>
        <v/>
      </c>
      <c r="DE11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5" s="42">
        <f>IF(Tasks[[#This Row],[_Pred3Text]]="","",TRIM(MID(SUBSTITUTE(SUBSTITUTE(SUBSTITUTE(UPPER(Tasks[[#This Row],[_Predecessors]]),";",",")," ",""),",",REPT(" ",99)),298,99)))</f>
        <v/>
      </c>
      <c r="DH115" s="42">
        <f>IF(Tasks[[#This Row],[_Pred4Text]]="","",IFERROR(VALUE(LEFT(Tasks[[#This Row],[_Pred4Text]],MIN(FIND("F",Tasks[[#This Row],[_Pred4Text]]&amp;"F"),FIND("S",Tasks[[#This Row],[_Pred4Text]]&amp;"S"),FIND("+",Tasks[[#This Row],[_Pred4Text]]&amp;"+"),FIND("-",Tasks[[#This Row],[_Pred4Text]]&amp;"-"))-1)),""))</f>
        <v/>
      </c>
      <c r="DI11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5" s="42">
        <f>IF(OR(Tasks[[#This Row],[Task Name]]="",Tasks[[#This Row],[_Resources]]=""),"",TRIM(MID(SUBSTITUTE(Tasks[[#This Row],[_Resources]],",",REPT(" ",99)),1,99)))</f>
        <v/>
      </c>
      <c r="DL115" s="42">
        <f>IF(Tasks[[#This Row],[_Res1Text]]="","",TRIM(MID(SUBSTITUTE(Tasks[[#This Row],[_Resources]],",",REPT(" ",99)),100,99)))</f>
        <v/>
      </c>
      <c r="DM115" s="42">
        <f>IF(Tasks[[#This Row],[_Res2Text]]="","",TRIM(MID(SUBSTITUTE(Tasks[[#This Row],[_Resources]],",",REPT(" ",99)),199,99)))</f>
        <v/>
      </c>
      <c r="DN115" s="42">
        <f>IF(Tasks[[#This Row],[_Res3Text]]="","",TRIM(MID(SUBSTITUTE(Tasks[[#This Row],[_Resources]],",",REPT(" ",99)),298,99)))</f>
        <v/>
      </c>
      <c r="DO115" s="42">
        <f>IF(Tasks[[#This Row],[_Res1Text]]="",0,IFERROR(MATCH(TRIM(LEFT(Tasks[[#This Row],[_Res1Text]],FIND("[",Tasks[[#This Row],[_Res1Text]]&amp;"[")-1)),res_Name,0),IFERROR(MATCH(TRIM(LEFT(Tasks[[#This Row],[_Res1Text]],FIND("[",Tasks[[#This Row],[_Res1Text]]&amp;"[")-1)),res_Initials,0),0)))</f>
        <v/>
      </c>
      <c r="DP115" s="42">
        <f>IF(Tasks[[#This Row],[_Res2Text]]="",0,IFERROR(MATCH(TRIM(LEFT(Tasks[[#This Row],[_Res2Text]],FIND("[",Tasks[[#This Row],[_Res2Text]]&amp;"[")-1)),res_Name,0),IFERROR(MATCH(TRIM(LEFT(Tasks[[#This Row],[_Res2Text]],FIND("[",Tasks[[#This Row],[_Res2Text]]&amp;"[")-1)),res_Initials,0),0)))</f>
        <v/>
      </c>
      <c r="DQ115" s="42">
        <f>IF(Tasks[[#This Row],[_Res3Text]]="",0,IFERROR(MATCH(TRIM(LEFT(Tasks[[#This Row],[_Res3Text]],FIND("[",Tasks[[#This Row],[_Res3Text]]&amp;"[")-1)),res_Name,0),IFERROR(MATCH(TRIM(LEFT(Tasks[[#This Row],[_Res3Text]],FIND("[",Tasks[[#This Row],[_Res3Text]]&amp;"[")-1)),res_Initials,0),0)))</f>
        <v/>
      </c>
      <c r="DR115" s="42">
        <f>IF(Tasks[[#This Row],[_Res4Text]]="",0,IFERROR(MATCH(TRIM(LEFT(Tasks[[#This Row],[_Res4Text]],FIND("[",Tasks[[#This Row],[_Res4Text]]&amp;"[")-1)),res_Name,0),IFERROR(MATCH(TRIM(LEFT(Tasks[[#This Row],[_Res4Text]],FIND("[",Tasks[[#This Row],[_Res4Text]]&amp;"[")-1)),res_Initials,0),0)))</f>
        <v/>
      </c>
      <c r="DS115" s="42">
        <f>IF(Tasks[[#This Row],[_Res1Text]]="","",IF(Tasks[[#This Row],[_Res1Row]]&gt;0,INDEX(res_Name,Tasks[[#This Row],[_Res1Row]]),TRIM(LEFT(Tasks[[#This Row],[_Res1Text]],FIND("[",Tasks[[#This Row],[_Res1Text]]&amp;"[")-1))))</f>
        <v/>
      </c>
      <c r="DT11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5" s="42">
        <f>IF(NOT(Tasks[[#This Row],[_IsLeaf]]=1),0,(Tasks[[#This Row],[_Resource1]]&lt;&gt;"")+(Tasks[[#This Row],[_Res2]]&lt;&gt;"")+(Tasks[[#This Row],[_Res3]]&lt;&gt;"")+(Tasks[[#This Row],[_Res4]]&lt;&gt;""))</f>
        <v/>
      </c>
      <c r="DV115" s="42">
        <f>IF(Tasks[[#This Row],[_Res2Text]]="","",IF(Tasks[[#This Row],[_Res2Row]]&gt;0,INDEX(res_Name,Tasks[[#This Row],[_Res2Row]]),TRIM(LEFT(Tasks[[#This Row],[_Res2Text]],FIND("[",Tasks[[#This Row],[_Res2Text]]&amp;"[")-1))))</f>
        <v/>
      </c>
      <c r="DW11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5" s="42">
        <f>IF(OR(NOT(Tasks[[#This Row],[_IsLeaf]]=1),Tasks[[#This Row],[_Res2Row]]=0),0,N(Tasks[[#This Row],[_Days]])*HoursPerDay*IF(Tasks[[#This Row],[_Res2Units]]="",DefaultUnits,Tasks[[#This Row],[_Res2Units]]))</f>
        <v/>
      </c>
      <c r="DY115" s="42">
        <f>IF(AND(AND(Tasks[[#This Row],[_IsLeaf]]=1,Tasks[[#This Row],[_LeafTotalWork]]&gt;0),Tasks[[#This Row],[_Res2Work]]&gt;0),Tasks[[#This Row],[_Res2Work]]/(Tasks[[#This Row],[_FinishWorkday]]-Tasks[[#This Row],[_StartWorkday]]+1),0)</f>
        <v/>
      </c>
      <c r="DZ115" s="42">
        <f>Tasks[[#This Row],[_Res2WorkPerWD]]*MAX(0,Tasks[[#This Row],[_StartWorkday]]-1)</f>
        <v/>
      </c>
      <c r="EA115" s="42">
        <f>Tasks[[#This Row],[_Res2Work]]*Tasks[[#This Row],[_LeafProgress]]</f>
        <v/>
      </c>
      <c r="EB115" s="42">
        <f>IF(Tasks[[#This Row],[_Res3Text]]="","",IF(Tasks[[#This Row],[_Res3Row]]&gt;0,INDEX(res_Name,Tasks[[#This Row],[_Res3Row]]),TRIM(LEFT(Tasks[[#This Row],[_Res3Text]],FIND("[",Tasks[[#This Row],[_Res3Text]]&amp;"[")-1))))</f>
        <v/>
      </c>
      <c r="EC11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5" s="42">
        <f>IF(OR(NOT(Tasks[[#This Row],[_IsLeaf]]=1),Tasks[[#This Row],[_Res3Row]]=0),0,N(Tasks[[#This Row],[_Days]])*HoursPerDay*IF(Tasks[[#This Row],[_Res3Units]]="",DefaultUnits,Tasks[[#This Row],[_Res3Units]]))</f>
        <v/>
      </c>
      <c r="EE115" s="42">
        <f>IF(AND(AND(Tasks[[#This Row],[_IsLeaf]]=1,Tasks[[#This Row],[_LeafTotalWork]]&gt;0),Tasks[[#This Row],[_Res3Work]]&gt;0),Tasks[[#This Row],[_Res3Work]]/(Tasks[[#This Row],[_FinishWorkday]]-Tasks[[#This Row],[_StartWorkday]]+1),0)</f>
        <v/>
      </c>
      <c r="EF115" s="42">
        <f>Tasks[[#This Row],[_Res3WorkPerWD]]*MAX(0,Tasks[[#This Row],[_StartWorkday]]-1)</f>
        <v/>
      </c>
      <c r="EG115" s="42">
        <f>Tasks[[#This Row],[_Res3Work]]*Tasks[[#This Row],[_LeafProgress]]</f>
        <v/>
      </c>
      <c r="EH115" s="42">
        <f>IF(Tasks[[#This Row],[_Res4Text]]="","",IF(Tasks[[#This Row],[_Res4Row]]&gt;0,INDEX(res_Name,Tasks[[#This Row],[_Res4Row]]),TRIM(LEFT(Tasks[[#This Row],[_Res4Text]],FIND("[",Tasks[[#This Row],[_Res4Text]]&amp;"[")-1))))</f>
        <v/>
      </c>
      <c r="EI11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5" s="42">
        <f>IF(OR(NOT(Tasks[[#This Row],[_IsLeaf]]=1),Tasks[[#This Row],[_Res4Row]]=0),0,N(Tasks[[#This Row],[_Days]])*HoursPerDay*IF(Tasks[[#This Row],[_Res4Units]]="",DefaultUnits,Tasks[[#This Row],[_Res4Units]]))</f>
        <v/>
      </c>
      <c r="EK115" s="42">
        <f>IF(AND(AND(Tasks[[#This Row],[_IsLeaf]]=1,Tasks[[#This Row],[_LeafTotalWork]]&gt;0),Tasks[[#This Row],[_Res4Work]]&gt;0),Tasks[[#This Row],[_Res4Work]]/(Tasks[[#This Row],[_FinishWorkday]]-Tasks[[#This Row],[_StartWorkday]]+1),0)</f>
        <v/>
      </c>
      <c r="EL115" s="42">
        <f>Tasks[[#This Row],[_Res4WorkPerWD]]*MAX(0,Tasks[[#This Row],[_StartWorkday]]-1)</f>
        <v/>
      </c>
      <c r="EM115" s="42">
        <f>Tasks[[#This Row],[_Res4Work]]*Tasks[[#This Row],[_LeafProgress]]</f>
        <v/>
      </c>
      <c r="EN115" s="42">
        <f>IF(ISNUMBER(Tasks[[#This Row],[% Complete]]),Tasks[[#This Row],[% Complete]],IF(Tasks[[#This Row],[Stage]]="",0,IFERROR(INDEX(stg_Pct,MATCH(Tasks[[#This Row],[Stage]],stg_Name,0)),0)))</f>
        <v/>
      </c>
      <c r="EO115" s="42">
        <f>IF(NOT(Tasks[[#This Row],[_IsLeaf]]=1),0,IF(N(Tasks[[#This Row],[Actual Finish]])&gt;0,1,MIN(1,Tasks[[#This Row],[_Pct]])))</f>
        <v/>
      </c>
      <c r="EP115" s="42">
        <f>IF(OR(NOT(Tasks[[#This Row],[_IsLeaf]]=1),Tasks[[#This Row],[_Res1Row]]=0),0,N(Tasks[[#This Row],[_Days]])*HoursPerDay*IF(Tasks[[#This Row],[_Units1]]="",DefaultUnits,Tasks[[#This Row],[_Units1]]))</f>
        <v/>
      </c>
      <c r="EQ115" s="42">
        <f>Tasks[[#This Row],[_LeafWork]]+Tasks[[#This Row],[_Res2Work]]+Tasks[[#This Row],[_Res3Work]]+Tasks[[#This Row],[_Res4Work]]</f>
        <v/>
      </c>
      <c r="ER11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5" s="42">
        <f>IF(NOT(Tasks[[#This Row],[_IsLeaf]]=1),0,MAX(_xlfn.MAXIFS(Tasks[_Row],Tasks[_Pred1UID],Tasks[[#This Row],[UID]]),_xlfn.MAXIFS(Tasks[_Row],Tasks[_Pred2UID],Tasks[[#This Row],[UID]]),_xlfn.MAXIFS(Tasks[_Row],Tasks[_Pred3UID],Tasks[[#This Row],[UID]]),_xlfn.MAXIFS(Tasks[_Row],Tasks[_Pred4UID],Tasks[[#This Row],[UID]])))</f>
        <v/>
      </c>
      <c r="FA11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5" s="88">
        <f>IF(NOT(Tasks[[#This Row],[_IsLeaf]]=1),"",IF(N(Tasks[[#This Row],[_Days]])&lt;=0,Tasks[[#This Row],[_LeafLateFinish]],WORKDAY.INTL(Tasks[[#This Row],[_LeafLateFinish]],-(Tasks[[#This Row],[_Days]]-1),WorkWeek,Holidays)))</f>
        <v/>
      </c>
      <c r="FD11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5" s="42">
        <f>AND(Tasks[[#This Row],[_IsLeaf]]=1,Tasks[[#This Row],[_LeafProgress]]&lt;1,N(Tasks[[#This Row],[_LeafTotalSlack]])&lt;=CriticalSlackDays)</f>
        <v/>
      </c>
      <c r="FF115" s="42">
        <f>IF(AND(Tasks[[#This Row],[_IsLeaf]]=1,Tasks[[#This Row],[_ConstraintCode]]=1,Tasks[[#This Row],[Mode]]&lt;&gt;"Manual",N(Tasks[[#This Row],[Actual Start]])=0),MAX(0,N(Tasks[[#This Row],[Free Slack]])),0)</f>
        <v/>
      </c>
      <c r="FG115" s="88">
        <f>IF(NOT(Tasks[[#This Row],[_IsLeaf]]=1),"",IF(Tasks[[#This Row],[_AlapShift]]=0,Tasks[[#This Row],[_LeafCalcStart]],WORKDAY.INTL(Tasks[[#This Row],[_LeafCalcStart]],Tasks[[#This Row],[_AlapShift]],WorkWeek,Holidays)))</f>
        <v/>
      </c>
      <c r="FH115" s="88">
        <f>IF(NOT(Tasks[[#This Row],[_IsLeaf]]=1),"",IF(Tasks[[#This Row],[_AlapShift]]=0,Tasks[[#This Row],[_LeafCalcFinish]],WORKDAY.INTL(Tasks[[#This Row],[_LeafCalcFinish]],Tasks[[#This Row],[_AlapShift]],WorkWeek,Holidays)))</f>
        <v/>
      </c>
      <c r="FI115" s="88">
        <f>IF(NOT(Tasks[[#This Row],[_IsLeaf]]=1),"",IF(Tasks[[#This Row],[_AlapShift]]=0,Tasks[[#This Row],[_LeafFcstStart]],WORKDAY.INTL(Tasks[[#This Row],[_LeafFcstStart]],Tasks[[#This Row],[_AlapShift]],WorkWeek,Holidays)))</f>
        <v/>
      </c>
      <c r="FJ115" s="88">
        <f>IF(NOT(Tasks[[#This Row],[_IsLeaf]]=1),"",IF(Tasks[[#This Row],[_AlapShift]]=0,Tasks[[#This Row],[_LeafFcstFinish]],WORKDAY.INTL(Tasks[[#This Row],[_LeafFcstFinish]],Tasks[[#This Row],[_AlapShift]],WorkWeek,Holidays)))</f>
        <v/>
      </c>
      <c r="FK115" s="88">
        <f>IF(Tasks[[#This Row],[Task Name]]="","",IF(Tasks[[#This Row],[_IsSummary]],MIN(INDEX(Tasks[_ShownCalcStart],Tasks[[#This Row],[_Row]]+1):INDEX(Tasks[_ShownCalcStart],Tasks[[#This Row],[_Row]]+Tasks[[#This Row],[_Descendants]])),Tasks[[#This Row],[_ShownCalcStart]]))</f>
        <v/>
      </c>
      <c r="FL115" s="88">
        <f>IF(Tasks[[#This Row],[Task Name]]="","",IF(Tasks[[#This Row],[_IsSummary]],MAX(INDEX(Tasks[_ShownCalcFinish],Tasks[[#This Row],[_Row]]+1):INDEX(Tasks[_ShownCalcFinish],Tasks[[#This Row],[_Row]]+Tasks[[#This Row],[_Descendants]])),Tasks[[#This Row],[_ShownCalcFinish]]))</f>
        <v/>
      </c>
      <c r="FM11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5" s="42">
        <f>IF(AND(Tasks[[#This Row],[_IsLeaf]]=1,Tasks[[#This Row],[_LeafTotalWork]]&gt;0),NETWORKDAYS.INTL(ProjectStart,Tasks[[#This Row],[_ShownFcstStart]],WorkWeek,Holidays),0)</f>
        <v/>
      </c>
      <c r="FZ115" s="42">
        <f>IF(AND(Tasks[[#This Row],[_IsLeaf]]=1,Tasks[[#This Row],[_LeafTotalWork]]&gt;0),MAX(Tasks[[#This Row],[_StartWorkday]],NETWORKDAYS.INTL(ProjectStart,Tasks[[#This Row],[_ShownFcstFinish]],WorkWeek,Holidays)),0)</f>
        <v/>
      </c>
      <c r="GA115" s="42">
        <f>IF(AND(Tasks[[#This Row],[_IsLeaf]]=1,Tasks[[#This Row],[_LeafTotalWork]]&gt;0),Tasks[[#This Row],[_LeafWork]]/(Tasks[[#This Row],[_FinishWorkday]]-Tasks[[#This Row],[_StartWorkday]]+1),0)</f>
        <v/>
      </c>
      <c r="GB115" s="42">
        <f>Tasks[[#This Row],[_WorkPerWorkday]]*(Tasks[[#This Row],[_StartWorkday]]-1)</f>
        <v/>
      </c>
      <c r="GC115" s="42">
        <f>IF(Tasks[[#This Row],[_IsLeaf]]=1,MAX(N(Tasks[[#This Row],[_Days]]),0.1),0)</f>
        <v/>
      </c>
      <c r="GD115" s="42">
        <f>Tasks[[#This Row],[_WeightDur]]*Tasks[[#This Row],[_LeafProgress]]</f>
        <v/>
      </c>
      <c r="GE115" s="42">
        <f>Tasks[[#This Row],[_WeightDur]]*Tasks[[#This Row],[_PlannedPct]]</f>
        <v/>
      </c>
      <c r="GF11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5" s="42">
        <f>IF(AND(Tasks[[#This Row],[_IsLeaf]]=1,N(Tasks[[#This Row],[_Days]])=0,Tasks[[#This Row],[_LeafProgress]]&lt;1),Tasks[[#This Row],[_ShownFcstFinish]]+Tasks[[#This Row],[_Row]]/100000,"")</f>
        <v/>
      </c>
      <c r="GH11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5" s="42">
        <f>IF(Tasks[[#This Row],[Task Name]]="","",LEFT(Tasks[[#This Row],[WBS]],FIND(".",Tasks[[#This Row],[WBS]]&amp;".")-1))</f>
        <v/>
      </c>
      <c r="GJ115" s="42">
        <f>IF(AND(Tasks[[#This Row],[Task Name]]&lt;&gt;"",Tasks[[#This Row],[_Level]]=1),Tasks[[#This Row],[_Row]],"")</f>
        <v/>
      </c>
      <c r="GK115" s="42">
        <f>IF(AND(Tasks[[#This Row],[_IsLeaf]]=1,N(Tasks[[#This Row],[_Days]])=0),Tasks[[#This Row],[Planned Finish]]+Tasks[[#This Row],[_Row]]/100000,"")</f>
        <v/>
      </c>
      <c r="GL115" s="42">
        <f>IF(AND(Tasks[[#This Row],[_IsLeaf]]=1,Tasks[[#This Row],[_LeafProgress]]&lt;1,OR(N(Tasks[[#This Row],[Finish Var]])&gt;0,Tasks[[#This Row],[Status]]="Late Start")),MAX(0,Tasks[[#This Row],[Finish Var]])+1-Tasks[[#This Row],[_Row]]/1000000,"")</f>
        <v/>
      </c>
      <c r="GM115" s="42">
        <f>IF(AND(Tasks[[#This Row],[_IsLeaf]]=1,N(Tasks[[#This Row],[Actual Start]])=0,Tasks[[#This Row],[_ShownFcstStart]]&gt;=StatusDate,Tasks[[#This Row],[_ShownFcstStart]]&lt;=LookaheadEnd),Tasks[[#This Row],[_ShownFcstStart]]+Tasks[[#This Row],[_Row]]/100000,"")</f>
        <v/>
      </c>
      <c r="GN115" s="42">
        <f>IF(AND(Tasks[[#This Row],[_IsLeaf]]=1,Tasks[[#This Row],[_LeafProgress]]&lt;1,Tasks[[#This Row],[_ShownFcstFinish]]&gt;=StatusDate,Tasks[[#This Row],[_ShownFcstFinish]]&lt;=LookaheadEnd),Tasks[[#This Row],[_ShownFcstFinish]]+Tasks[[#This Row],[_Row]]/100000,"")</f>
        <v/>
      </c>
      <c r="GO115" s="42">
        <f>IF(Tasks[[#This Row],[_LeafCritical]],Tasks[[#This Row],[_ShownFcstStart]]+Tasks[[#This Row],[_Row]]/100000,"")</f>
        <v/>
      </c>
      <c r="GP115" s="42">
        <f>Tasks[[#This Row],[_LeafWork]]*Tasks[[#This Row],[_LeafProgress]]</f>
        <v/>
      </c>
      <c r="GQ115" s="88">
        <f>IF(AND(Tasks[[#This Row],[_IsLeaf]]=1,Tasks[[#This Row],[_LeafProgress]]&gt;=1),IF(N(Tasks[[#This Row],[Actual Finish]])&gt;0,Tasks[[#This Row],[Actual Finish]],Tasks[[#This Row],[_ShownFcstFinish]]),"")</f>
        <v/>
      </c>
      <c r="GR115" s="42">
        <f>IF(Tasks[[#This Row],[_IsLeaf]]=1,N(Tasks[[#This Row],[Story Points]]),0)</f>
        <v/>
      </c>
      <c r="GS115" s="42">
        <f>""</f>
        <v/>
      </c>
      <c r="GT115" s="42">
        <f>IF(Tasks[[#This Row],[Task Name]]="",FALSE(),AND(Tasks[[#This Row],[_IsLeaf]]=1,N(Tasks[[#This Row],[_Days]])=0))</f>
        <v/>
      </c>
      <c r="GU115" s="88">
        <f>IF(Tasks[[#This Row],[Task Name]]="",0,IF(AND(Tasks[[#This Row],[_IsLeaf]]=1,NOT(Tasks[[#This Row],[_IsMilestone]]),N(Tasks[[#This Row],[Progress]])&gt;0),Tasks[[#This Row],[Start]],0))</f>
        <v/>
      </c>
      <c r="GV115" s="88">
        <f>IF(Tasks[[#This Row],[_DoneFrom]]=0,0,IF(Tasks[[#This Row],[Progress]]&gt;=1,Tasks[[#This Row],[Finish]],MAX(Tasks[[#This Row],[_DoneFrom]],Tasks[[#This Row],[Start]]+ROUND((Tasks[[#This Row],[Finish]]-Tasks[[#This Row],[Start]]+1)*Tasks[[#This Row],[Progress]],0)-1)))</f>
        <v/>
      </c>
      <c r="GW115" s="88">
        <f>IF(Tasks[[#This Row],[Task Name]]="",0,IF(OR(NOT(Tasks[[#This Row],[_IsLeaf]]=1),Tasks[[#This Row],[_IsMilestone]],N(Tasks[[#This Row],[Progress]])&gt;=1),0,IF(Tasks[[#This Row],[_DoneTo]]&gt;0,Tasks[[#This Row],[_DoneTo]]+1,Tasks[[#This Row],[Start]])))</f>
        <v/>
      </c>
      <c r="GX115" s="88">
        <f>IF(Tasks[[#This Row],[_RemFrom]]=0,0,Tasks[[#This Row],[Finish]])</f>
        <v/>
      </c>
      <c r="GY115" s="42">
        <f>IF(Tasks[[#This Row],[Task Name]]="",FALSE(),OR(NOT(BaselineSet),N(Tasks[[#This Row],[Baseline Start]])&gt;0))</f>
        <v/>
      </c>
      <c r="GZ115" s="42">
        <f>IF(AND(Sandbox="Yes",L_PARSE_DURATION(Tasks[[#This Row],[Sandbox Duration]])&lt;&gt;""),L_PARSE_DURATION(Tasks[[#This Row],[Sandbox Duration]]),L_PARSE_DURATION(Tasks[[#This Row],[Duration]]))</f>
        <v/>
      </c>
      <c r="HA11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5" s="42">
        <f>IF(Tasks[[#This Row],[_IsLeaf]]=1,Tasks[[#This Row],[_Row]],"")</f>
        <v/>
      </c>
      <c r="HD115" s="42">
        <f>IFERROR(INDEX(Tasks[UID],SMALL(Tasks[_PickKey],Tasks[[#This Row],[_Row]]))&amp;" "&amp;INDEX(Tasks[Task Name],SMALL(Tasks[_PickKey],Tasks[[#This Row],[_Row]])),"")</f>
        <v/>
      </c>
      <c r="HE115" s="42">
        <f>IF(Tasks[[#This Row],[Task Name]]="","",IF(Tasks[[#This Row],[_IsSummary]],NETWORKDAYS.INTL(Tasks[[#This Row],[Start]],Tasks[[#This Row],[Finish]],WorkWeek,Holidays),N(Tasks[[#This Row],[_Days]])))</f>
        <v/>
      </c>
      <c r="HF115" s="42">
        <f>IF(Tasks[[#This Row],[Expected]]="",0,((Tasks[[#This Row],[Pessimistic]]-Tasks[[#This Row],[Optimistic]])/6)^2)</f>
        <v/>
      </c>
      <c r="HG115" s="42">
        <f>IF(Tasks[[#This Row],[Expected]]="",0,Tasks[[#This Row],[Expected]]-N(Tasks[[#This Row],[_Days]]))</f>
        <v/>
      </c>
    </row>
    <row r="116">
      <c r="A116" s="21">
        <f>IF(Tasks[[#This Row],[Task Name]]="","",COUNTA(Tasks[[#Headers],[Task Name]]:Tasks[[#This Row],[Task Name]])-1)</f>
        <v/>
      </c>
      <c r="B116" s="22" t="n">
        <v>124</v>
      </c>
      <c r="C116" s="22" t="n"/>
      <c r="D116" s="23" t="n"/>
      <c r="E116" s="22" t="n"/>
      <c r="F116" s="23" t="n"/>
      <c r="G116" s="22" t="n"/>
      <c r="H116" s="22" t="n"/>
      <c r="I116" s="23" t="n"/>
      <c r="J116" s="22" t="n"/>
      <c r="K116" s="22" t="n"/>
      <c r="L116" s="23" t="n"/>
      <c r="M116" s="22" t="n"/>
      <c r="N116" s="22" t="n"/>
      <c r="O116" s="23" t="n"/>
      <c r="P116" s="22" t="n"/>
      <c r="Q116" s="22" t="n"/>
      <c r="R116" s="23" t="n"/>
      <c r="S116" s="23" t="n"/>
      <c r="T116" s="82" t="n"/>
      <c r="U116" s="23" t="n"/>
      <c r="V116" s="82" t="n"/>
      <c r="W116" s="23" t="n"/>
      <c r="X116" s="82" t="n"/>
      <c r="Y116" s="23" t="n"/>
      <c r="Z116" s="82" t="n"/>
      <c r="AA116" s="23" t="n"/>
      <c r="AB116" s="23" t="n"/>
      <c r="AC116" s="7" t="n"/>
      <c r="AD116" s="7" t="n"/>
      <c r="AE116" s="61">
        <f>IF(Tasks[[#This Row],[Task Name]]="","",IF(Tasks[[#This Row],[_IsSummary]],MIN(INDEX(Tasks[_ShownFcstStart],Tasks[[#This Row],[_Row]]+1):INDEX(Tasks[_ShownFcstStart],Tasks[[#This Row],[_Row]]+Tasks[[#This Row],[_Descendants]])),Tasks[[#This Row],[_ShownFcstStart]]))</f>
        <v/>
      </c>
      <c r="AF116" s="61">
        <f>IF(Tasks[[#This Row],[Task Name]]="","",IF(Tasks[[#This Row],[_IsSummary]],MAX(INDEX(Tasks[_ShownFcstFinish],Tasks[[#This Row],[_Row]]+1):INDEX(Tasks[_ShownFcstFinish],Tasks[[#This Row],[_Row]]+Tasks[[#This Row],[_Descendants]])),Tasks[[#This Row],[_ShownFcstFinish]]))</f>
        <v/>
      </c>
      <c r="AG116" s="21">
        <f>""</f>
        <v/>
      </c>
      <c r="AH116" s="23" t="n"/>
      <c r="AI11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6" s="7" t="n"/>
      <c r="AK116" s="22" t="n"/>
      <c r="AL116" s="23" t="n"/>
      <c r="AM116" s="7" t="n"/>
      <c r="AN116" s="21">
        <f>IF(Tasks[[#This Row],[Task Name]]="","",IF(Tasks[[#This Row],[Finish]]&gt;=Tasks[[#This Row],[Planned Finish]],NETWORKDAYS.INTL(Tasks[[#This Row],[Planned Finish]],Tasks[[#This Row],[Finish]],WorkWeek,Holidays)-1,1-NETWORKDAYS.INTL(Tasks[[#This Row],[Finish]],Tasks[[#This Row],[Planned Finish]],WorkWeek,Holidays)))</f>
        <v/>
      </c>
      <c r="AO116" s="21">
        <f>IF(Tasks[[#This Row],[Task Name]]="","",IF(Tasks[[#This Row],[Progress]]&gt;=1,"Complete",IF(OR(N(Tasks[[#This Row],[Actual Start]])&gt;0,Tasks[[#This Row],[Progress]]&gt;0),IF(Tasks[[#This Row],[Finish Var]]&gt;0,"Behind","In Progress"),IF(Tasks[[#This Row],[Planned Start]]&lt;StatusDate,"Late Start","Not Started"))))</f>
        <v/>
      </c>
      <c r="AP116" s="21">
        <f>IF(Tasks[[#This Row],[Task Name]]="","",IF(IF(Tasks[[#This Row],[_IsSummary]],COUNTIF(INDEX(Tasks[_LeafCritical],Tasks[[#This Row],[_Row]]+1):INDEX(Tasks[_LeafCritical],Tasks[[#This Row],[_Row]]+Tasks[[#This Row],[_Descendants]]),TRUE())&gt;0,Tasks[[#This Row],[_LeafCritical]]),"Yes",""))</f>
        <v/>
      </c>
      <c r="AQ116" s="61">
        <f>IF(Tasks[[#This Row],[Task Name]]="","",IF(N(Tasks[[#This Row],[Baseline Start]])&gt;0,Tasks[[#This Row],[Baseline Start]],Tasks[[#This Row],[_CalcStart]]))</f>
        <v/>
      </c>
      <c r="AR116" s="61">
        <f>IF(Tasks[[#This Row],[Task Name]]="","",IF(N(Tasks[[#This Row],[Baseline Finish]])&gt;0,Tasks[[#This Row],[Baseline Finish]],Tasks[[#This Row],[_CalcFinish]]))</f>
        <v/>
      </c>
      <c r="AS116" s="21">
        <f>IF(Tasks[[#This Row],[Task Name]]="","",IF(Tasks[[#This Row],[Start]]&gt;=Tasks[[#This Row],[Planned Start]],NETWORKDAYS.INTL(Tasks[[#This Row],[Planned Start]],Tasks[[#This Row],[Start]],WorkWeek,Holidays)-1,1-NETWORKDAYS.INTL(Tasks[[#This Row],[Start]],Tasks[[#This Row],[Planned Start]],WorkWeek,Holidays)))</f>
        <v/>
      </c>
      <c r="AT116" s="61">
        <f>IF(Tasks[[#This Row],[Task Name]]="","",IF(Tasks[[#This Row],[_IsSummary]],MIN(INDEX(Tasks[_LeafLateStart],Tasks[[#This Row],[_Row]]+1):INDEX(Tasks[_LeafLateStart],Tasks[[#This Row],[_Row]]+Tasks[[#This Row],[_Descendants]])),Tasks[[#This Row],[_LeafLateStart]]))</f>
        <v/>
      </c>
      <c r="AU116" s="61">
        <f>IF(Tasks[[#This Row],[Task Name]]="","",IF(Tasks[[#This Row],[_IsSummary]],MAX(INDEX(Tasks[_LeafLateFinish],Tasks[[#This Row],[_Row]]+1):INDEX(Tasks[_LeafLateFinish],Tasks[[#This Row],[_Row]]+Tasks[[#This Row],[_Descendants]])),Tasks[[#This Row],[_LeafLateFinish]]))</f>
        <v/>
      </c>
      <c r="AV116" s="21">
        <f>IF(Tasks[[#This Row],[Task Name]]="","",IF(Tasks[[#This Row],[_IsSummary]],MIN(INDEX(Tasks[_LeafTotalSlack],Tasks[[#This Row],[_Row]]+1):INDEX(Tasks[_LeafTotalSlack],Tasks[[#This Row],[_Row]]+Tasks[[#This Row],[_Descendants]])),Tasks[[#This Row],[_LeafTotalSlack]]))</f>
        <v/>
      </c>
      <c r="AW11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3" t="n"/>
      <c r="BA11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f>IF(Tasks[[#This Row],[Task Name]]="","",IF(Tasks[[#This Row],[_Level]]&lt;=OutlineShowLevel,"Yes","No"))</f>
        <v/>
      </c>
      <c r="BE116" s="84">
        <f>IF(Tasks[[#This Row],[Task Name]]="","",IF(Tasks[[#This Row],[_IsSummary]],SUM(INDEX(Tasks[_LeafTotalWork],Tasks[[#This Row],[_Row]]+1):INDEX(Tasks[_LeafTotalWork],Tasks[[#This Row],[_Row]]+Tasks[[#This Row],[_Descendants]])),Tasks[[#This Row],[_LeafTotalWork]]))</f>
        <v/>
      </c>
      <c r="BF116" s="23" t="n"/>
      <c r="BG11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f>""</f>
        <v/>
      </c>
      <c r="BI116" s="85" t="n"/>
      <c r="BJ116" s="22" t="n"/>
      <c r="BK116" s="21">
        <f>IF(OR(Tasks[[#This Row],[Task Name]]="",Tasks[[#This Row],[Baseline Duration]]=""),"",Tasks[[#This Row],[_SpanDays]]-N(Tasks[[#This Row],[Baseline Duration]]))</f>
        <v/>
      </c>
      <c r="BL116" s="84">
        <f>IF(OR(Tasks[[#This Row],[Task Name]]="",Tasks[[#This Row],[Baseline Work]]=""),"",Tasks[[#This Row],[Work]]-N(Tasks[[#This Row],[Baseline Work]]))</f>
        <v/>
      </c>
      <c r="BM116" s="61">
        <f>IF(Tasks[[#This Row],[Task Name]]="","",IF(OR(TakeBaseline="Yes",N(Tasks[[#This Row],[Baseline Start]])=0),Tasks[[#This Row],[Start]],Tasks[[#This Row],[Baseline Start]]))</f>
        <v/>
      </c>
      <c r="BN116" s="61">
        <f>IF(Tasks[[#This Row],[Task Name]]="","",IF(OR(TakeBaseline="Yes",N(Tasks[[#This Row],[Baseline Finish]])=0),Tasks[[#This Row],[Finish]],Tasks[[#This Row],[Baseline Finish]]))</f>
        <v/>
      </c>
      <c r="BO116" s="21">
        <f>IF(Tasks[[#This Row],[Task Name]]="","",IF(OR(TakeBaseline="Yes",N(Tasks[[#This Row],[Baseline Duration]])=0),Tasks[[#This Row],[_SpanDays]],Tasks[[#This Row],[Baseline Duration]]))</f>
        <v/>
      </c>
      <c r="BP116" s="84">
        <f>IF(Tasks[[#This Row],[Task Name]]="","",IF(OR(TakeBaseline="Yes",N(Tasks[[#This Row],[Baseline Work]])=0),Tasks[[#This Row],[Work]],Tasks[[#This Row],[Baseline Work]]))</f>
        <v/>
      </c>
      <c r="BQ116" s="7" t="n"/>
      <c r="BR116" s="7" t="n"/>
      <c r="BS116" s="22" t="n"/>
      <c r="BT116" s="86" t="n"/>
      <c r="BU116" s="23" t="n"/>
      <c r="BV116" s="23" t="n"/>
      <c r="BW116" s="23" t="n"/>
      <c r="BX116" s="87">
        <f>IF(AND(Tasks[[#This Row],[_IsLeaf]]=1,ISNUMBER(Tasks[[#This Row],[Optimistic]]),ISNUMBER(Tasks[[#This Row],[Pessimistic]])),ROUND((Tasks[[#This Row],[Optimistic]]+4*N(Tasks[[#This Row],[_Days]])+Tasks[[#This Row],[Pessimistic]])/6,1),"")</f>
        <v/>
      </c>
      <c r="BY116" s="85" t="n"/>
      <c r="BZ116" s="85" t="n"/>
      <c r="CA116" s="22" t="n"/>
      <c r="CB116" s="42">
        <f>IF(Tasks[[#This Row],[Task Name]]="","",MAX(1,N(Tasks[[#This Row],[Level]])))</f>
        <v/>
      </c>
      <c r="CC116" s="42">
        <f>ROW()-ROW(Tasks[[#Headers],[ID]])</f>
        <v/>
      </c>
      <c r="CD116" s="42">
        <f>IF(OR(Tasks[[#This Row],[Task Name]]="",Tasks[[#This Row],[_Level]]&lt;=1),0,IFERROR(LOOKUP(2,1/(Tasks[[#Headers],[_Level]]:Tasks[[#This Row],[_Level]]=Tasks[[#This Row],[_Level]]-1),ROW(Tasks[[#Headers],[_Level]]:Tasks[[#This Row],[_Level]])),0))</f>
        <v/>
      </c>
      <c r="CE116" s="42">
        <f>IFERROR(N(INDEX(Tasks[_Level],Tasks[[#This Row],[_Row]]+1)),0)</f>
        <v/>
      </c>
      <c r="CF116" s="42">
        <f>AND(Tasks[[#This Row],[Task Name]]&lt;&gt;"",Tasks[[#This Row],[_NextLevel]]&gt;Tasks[[#This Row],[_Level]])</f>
        <v/>
      </c>
      <c r="CG116" s="42">
        <f>IF(Tasks[[#This Row],[_IsSummary]],COUNTIF(Tasks[WBS],Tasks[[#This Row],[WBS]]&amp;".*"),0)</f>
        <v/>
      </c>
      <c r="CH116" s="42">
        <f>IF(AND(Tasks[[#This Row],[Task Name]]&lt;&gt;"",NOT(Tasks[[#This Row],[_IsSummary]])),1,0)</f>
        <v/>
      </c>
      <c r="CI116" s="42">
        <f>IF(N(Tasks[[#This Row],[_Pred1UID]])=0,0,IFERROR(MATCH(Tasks[[#This Row],[_Pred1UID]],Tasks[UID],0),-1))</f>
        <v/>
      </c>
      <c r="CJ116" s="42">
        <f>IF(N(Tasks[[#This Row],[_Pred2UID]])=0,0,IFERROR(MATCH(Tasks[[#This Row],[_Pred2UID]],Tasks[UID],0),-1))</f>
        <v/>
      </c>
      <c r="CK116" s="42">
        <f>IF(N(Tasks[[#This Row],[_Pred3UID]])=0,0,IFERROR(MATCH(Tasks[[#This Row],[_Pred3UID]],Tasks[UID],0),-1))</f>
        <v/>
      </c>
      <c r="CL116" s="42">
        <f>IF(N(Tasks[[#This Row],[_Pred4UID]])=0,0,IFERROR(MATCH(Tasks[[#This Row],[_Pred4UID]],Tasks[UID],0),-1))</f>
        <v/>
      </c>
      <c r="CM11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6" s="88">
        <f>IF(N(Tasks[[#This Row],[Constraint Date]])=0,0,IF(AND(OR(Tasks[[#This Row],[_ConstraintCode]]=3,Tasks[[#This Row],[_ConstraintCode]]=6,Tasks[[#This Row],[_ConstraintCode]]=7),N(Tasks[[#This Row],[_Days]])&gt;1),WORKDAY.INTL(N(Tasks[[#This Row],[Constraint Date]]),-(N(Tasks[[#This Row],[_Days]])-1),WorkWeek,Holidays),N(Tasks[[#This Row],[Constraint Date]])))</f>
        <v/>
      </c>
      <c r="CO116" s="88">
        <f>IF(OR(Tasks[[#This Row],[_ConstraintCode]]=2,Tasks[[#This Row],[_ConstraintCode]]=3,Tasks[[#This Row],[_ConstraintCode]]=4,Tasks[[#This Row],[_ConstraintCode]]=6),Tasks[[#This Row],[_ConstraintStart]],0)</f>
        <v/>
      </c>
      <c r="CP116" s="88">
        <f>IF(OR(Tasks[[#This Row],[_ConstraintCode]]=2,Tasks[[#This Row],[_ConstraintCode]]=3,Tasks[[#This Row],[_ConstraintCode]]=5,Tasks[[#This Row],[_ConstraintCode]]=7),Tasks[[#This Row],[_ConstraintStart]],2958465)</f>
        <v/>
      </c>
      <c r="CQ11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6" s="88">
        <f>IF(NOT(Tasks[[#This Row],[_IsLeaf]]=1),"",IF(N(Tasks[[#This Row],[_Days]])&lt;=0,Tasks[[#This Row],[_LeafCalcStart]],WORKDAY.INTL(Tasks[[#This Row],[_LeafCalcStart]],Tasks[[#This Row],[_Days]]-1,WorkWeek,Holidays)))</f>
        <v/>
      </c>
      <c r="CS11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6" s="42">
        <f>IF(Tasks[[#This Row],[_Predecessors]]="","",TRIM(MID(SUBSTITUTE(SUBSTITUTE(SUBSTITUTE(UPPER(Tasks[[#This Row],[_Predecessors]]),";",",")," ",""),",",REPT(" ",99)),1,99)))</f>
        <v/>
      </c>
      <c r="CV116" s="42">
        <f>IF(Tasks[[#This Row],[_Pred1Text]]="","",IFERROR(VALUE(LEFT(Tasks[[#This Row],[_Pred1Text]],MIN(FIND("F",Tasks[[#This Row],[_Pred1Text]]&amp;"F"),FIND("S",Tasks[[#This Row],[_Pred1Text]]&amp;"S"),FIND("+",Tasks[[#This Row],[_Pred1Text]]&amp;"+"),FIND("-",Tasks[[#This Row],[_Pred1Text]]&amp;"-"))-1)),""))</f>
        <v/>
      </c>
      <c r="CW11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6" s="42">
        <f>IF(Tasks[[#This Row],[_Pred1Text]]="","",TRIM(MID(SUBSTITUTE(SUBSTITUTE(SUBSTITUTE(UPPER(Tasks[[#This Row],[_Predecessors]]),";",",")," ",""),",",REPT(" ",99)),100,99)))</f>
        <v/>
      </c>
      <c r="CZ116" s="42">
        <f>IF(Tasks[[#This Row],[_Pred2Text]]="","",IFERROR(VALUE(LEFT(Tasks[[#This Row],[_Pred2Text]],MIN(FIND("F",Tasks[[#This Row],[_Pred2Text]]&amp;"F"),FIND("S",Tasks[[#This Row],[_Pred2Text]]&amp;"S"),FIND("+",Tasks[[#This Row],[_Pred2Text]]&amp;"+"),FIND("-",Tasks[[#This Row],[_Pred2Text]]&amp;"-"))-1)),""))</f>
        <v/>
      </c>
      <c r="DA11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6" s="42">
        <f>IF(Tasks[[#This Row],[_Pred2Text]]="","",TRIM(MID(SUBSTITUTE(SUBSTITUTE(SUBSTITUTE(UPPER(Tasks[[#This Row],[_Predecessors]]),";",",")," ",""),",",REPT(" ",99)),199,99)))</f>
        <v/>
      </c>
      <c r="DD116" s="42">
        <f>IF(Tasks[[#This Row],[_Pred3Text]]="","",IFERROR(VALUE(LEFT(Tasks[[#This Row],[_Pred3Text]],MIN(FIND("F",Tasks[[#This Row],[_Pred3Text]]&amp;"F"),FIND("S",Tasks[[#This Row],[_Pred3Text]]&amp;"S"),FIND("+",Tasks[[#This Row],[_Pred3Text]]&amp;"+"),FIND("-",Tasks[[#This Row],[_Pred3Text]]&amp;"-"))-1)),""))</f>
        <v/>
      </c>
      <c r="DE11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6" s="42">
        <f>IF(Tasks[[#This Row],[_Pred3Text]]="","",TRIM(MID(SUBSTITUTE(SUBSTITUTE(SUBSTITUTE(UPPER(Tasks[[#This Row],[_Predecessors]]),";",",")," ",""),",",REPT(" ",99)),298,99)))</f>
        <v/>
      </c>
      <c r="DH116" s="42">
        <f>IF(Tasks[[#This Row],[_Pred4Text]]="","",IFERROR(VALUE(LEFT(Tasks[[#This Row],[_Pred4Text]],MIN(FIND("F",Tasks[[#This Row],[_Pred4Text]]&amp;"F"),FIND("S",Tasks[[#This Row],[_Pred4Text]]&amp;"S"),FIND("+",Tasks[[#This Row],[_Pred4Text]]&amp;"+"),FIND("-",Tasks[[#This Row],[_Pred4Text]]&amp;"-"))-1)),""))</f>
        <v/>
      </c>
      <c r="DI11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6" s="42">
        <f>IF(OR(Tasks[[#This Row],[Task Name]]="",Tasks[[#This Row],[_Resources]]=""),"",TRIM(MID(SUBSTITUTE(Tasks[[#This Row],[_Resources]],",",REPT(" ",99)),1,99)))</f>
        <v/>
      </c>
      <c r="DL116" s="42">
        <f>IF(Tasks[[#This Row],[_Res1Text]]="","",TRIM(MID(SUBSTITUTE(Tasks[[#This Row],[_Resources]],",",REPT(" ",99)),100,99)))</f>
        <v/>
      </c>
      <c r="DM116" s="42">
        <f>IF(Tasks[[#This Row],[_Res2Text]]="","",TRIM(MID(SUBSTITUTE(Tasks[[#This Row],[_Resources]],",",REPT(" ",99)),199,99)))</f>
        <v/>
      </c>
      <c r="DN116" s="42">
        <f>IF(Tasks[[#This Row],[_Res3Text]]="","",TRIM(MID(SUBSTITUTE(Tasks[[#This Row],[_Resources]],",",REPT(" ",99)),298,99)))</f>
        <v/>
      </c>
      <c r="DO116" s="42">
        <f>IF(Tasks[[#This Row],[_Res1Text]]="",0,IFERROR(MATCH(TRIM(LEFT(Tasks[[#This Row],[_Res1Text]],FIND("[",Tasks[[#This Row],[_Res1Text]]&amp;"[")-1)),res_Name,0),IFERROR(MATCH(TRIM(LEFT(Tasks[[#This Row],[_Res1Text]],FIND("[",Tasks[[#This Row],[_Res1Text]]&amp;"[")-1)),res_Initials,0),0)))</f>
        <v/>
      </c>
      <c r="DP116" s="42">
        <f>IF(Tasks[[#This Row],[_Res2Text]]="",0,IFERROR(MATCH(TRIM(LEFT(Tasks[[#This Row],[_Res2Text]],FIND("[",Tasks[[#This Row],[_Res2Text]]&amp;"[")-1)),res_Name,0),IFERROR(MATCH(TRIM(LEFT(Tasks[[#This Row],[_Res2Text]],FIND("[",Tasks[[#This Row],[_Res2Text]]&amp;"[")-1)),res_Initials,0),0)))</f>
        <v/>
      </c>
      <c r="DQ116" s="42">
        <f>IF(Tasks[[#This Row],[_Res3Text]]="",0,IFERROR(MATCH(TRIM(LEFT(Tasks[[#This Row],[_Res3Text]],FIND("[",Tasks[[#This Row],[_Res3Text]]&amp;"[")-1)),res_Name,0),IFERROR(MATCH(TRIM(LEFT(Tasks[[#This Row],[_Res3Text]],FIND("[",Tasks[[#This Row],[_Res3Text]]&amp;"[")-1)),res_Initials,0),0)))</f>
        <v/>
      </c>
      <c r="DR116" s="42">
        <f>IF(Tasks[[#This Row],[_Res4Text]]="",0,IFERROR(MATCH(TRIM(LEFT(Tasks[[#This Row],[_Res4Text]],FIND("[",Tasks[[#This Row],[_Res4Text]]&amp;"[")-1)),res_Name,0),IFERROR(MATCH(TRIM(LEFT(Tasks[[#This Row],[_Res4Text]],FIND("[",Tasks[[#This Row],[_Res4Text]]&amp;"[")-1)),res_Initials,0),0)))</f>
        <v/>
      </c>
      <c r="DS116" s="42">
        <f>IF(Tasks[[#This Row],[_Res1Text]]="","",IF(Tasks[[#This Row],[_Res1Row]]&gt;0,INDEX(res_Name,Tasks[[#This Row],[_Res1Row]]),TRIM(LEFT(Tasks[[#This Row],[_Res1Text]],FIND("[",Tasks[[#This Row],[_Res1Text]]&amp;"[")-1))))</f>
        <v/>
      </c>
      <c r="DT11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6" s="42">
        <f>IF(NOT(Tasks[[#This Row],[_IsLeaf]]=1),0,(Tasks[[#This Row],[_Resource1]]&lt;&gt;"")+(Tasks[[#This Row],[_Res2]]&lt;&gt;"")+(Tasks[[#This Row],[_Res3]]&lt;&gt;"")+(Tasks[[#This Row],[_Res4]]&lt;&gt;""))</f>
        <v/>
      </c>
      <c r="DV116" s="42">
        <f>IF(Tasks[[#This Row],[_Res2Text]]="","",IF(Tasks[[#This Row],[_Res2Row]]&gt;0,INDEX(res_Name,Tasks[[#This Row],[_Res2Row]]),TRIM(LEFT(Tasks[[#This Row],[_Res2Text]],FIND("[",Tasks[[#This Row],[_Res2Text]]&amp;"[")-1))))</f>
        <v/>
      </c>
      <c r="DW11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6" s="42">
        <f>IF(OR(NOT(Tasks[[#This Row],[_IsLeaf]]=1),Tasks[[#This Row],[_Res2Row]]=0),0,N(Tasks[[#This Row],[_Days]])*HoursPerDay*IF(Tasks[[#This Row],[_Res2Units]]="",DefaultUnits,Tasks[[#This Row],[_Res2Units]]))</f>
        <v/>
      </c>
      <c r="DY116" s="42">
        <f>IF(AND(AND(Tasks[[#This Row],[_IsLeaf]]=1,Tasks[[#This Row],[_LeafTotalWork]]&gt;0),Tasks[[#This Row],[_Res2Work]]&gt;0),Tasks[[#This Row],[_Res2Work]]/(Tasks[[#This Row],[_FinishWorkday]]-Tasks[[#This Row],[_StartWorkday]]+1),0)</f>
        <v/>
      </c>
      <c r="DZ116" s="42">
        <f>Tasks[[#This Row],[_Res2WorkPerWD]]*MAX(0,Tasks[[#This Row],[_StartWorkday]]-1)</f>
        <v/>
      </c>
      <c r="EA116" s="42">
        <f>Tasks[[#This Row],[_Res2Work]]*Tasks[[#This Row],[_LeafProgress]]</f>
        <v/>
      </c>
      <c r="EB116" s="42">
        <f>IF(Tasks[[#This Row],[_Res3Text]]="","",IF(Tasks[[#This Row],[_Res3Row]]&gt;0,INDEX(res_Name,Tasks[[#This Row],[_Res3Row]]),TRIM(LEFT(Tasks[[#This Row],[_Res3Text]],FIND("[",Tasks[[#This Row],[_Res3Text]]&amp;"[")-1))))</f>
        <v/>
      </c>
      <c r="EC11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6" s="42">
        <f>IF(OR(NOT(Tasks[[#This Row],[_IsLeaf]]=1),Tasks[[#This Row],[_Res3Row]]=0),0,N(Tasks[[#This Row],[_Days]])*HoursPerDay*IF(Tasks[[#This Row],[_Res3Units]]="",DefaultUnits,Tasks[[#This Row],[_Res3Units]]))</f>
        <v/>
      </c>
      <c r="EE116" s="42">
        <f>IF(AND(AND(Tasks[[#This Row],[_IsLeaf]]=1,Tasks[[#This Row],[_LeafTotalWork]]&gt;0),Tasks[[#This Row],[_Res3Work]]&gt;0),Tasks[[#This Row],[_Res3Work]]/(Tasks[[#This Row],[_FinishWorkday]]-Tasks[[#This Row],[_StartWorkday]]+1),0)</f>
        <v/>
      </c>
      <c r="EF116" s="42">
        <f>Tasks[[#This Row],[_Res3WorkPerWD]]*MAX(0,Tasks[[#This Row],[_StartWorkday]]-1)</f>
        <v/>
      </c>
      <c r="EG116" s="42">
        <f>Tasks[[#This Row],[_Res3Work]]*Tasks[[#This Row],[_LeafProgress]]</f>
        <v/>
      </c>
      <c r="EH116" s="42">
        <f>IF(Tasks[[#This Row],[_Res4Text]]="","",IF(Tasks[[#This Row],[_Res4Row]]&gt;0,INDEX(res_Name,Tasks[[#This Row],[_Res4Row]]),TRIM(LEFT(Tasks[[#This Row],[_Res4Text]],FIND("[",Tasks[[#This Row],[_Res4Text]]&amp;"[")-1))))</f>
        <v/>
      </c>
      <c r="EI11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6" s="42">
        <f>IF(OR(NOT(Tasks[[#This Row],[_IsLeaf]]=1),Tasks[[#This Row],[_Res4Row]]=0),0,N(Tasks[[#This Row],[_Days]])*HoursPerDay*IF(Tasks[[#This Row],[_Res4Units]]="",DefaultUnits,Tasks[[#This Row],[_Res4Units]]))</f>
        <v/>
      </c>
      <c r="EK116" s="42">
        <f>IF(AND(AND(Tasks[[#This Row],[_IsLeaf]]=1,Tasks[[#This Row],[_LeafTotalWork]]&gt;0),Tasks[[#This Row],[_Res4Work]]&gt;0),Tasks[[#This Row],[_Res4Work]]/(Tasks[[#This Row],[_FinishWorkday]]-Tasks[[#This Row],[_StartWorkday]]+1),0)</f>
        <v/>
      </c>
      <c r="EL116" s="42">
        <f>Tasks[[#This Row],[_Res4WorkPerWD]]*MAX(0,Tasks[[#This Row],[_StartWorkday]]-1)</f>
        <v/>
      </c>
      <c r="EM116" s="42">
        <f>Tasks[[#This Row],[_Res4Work]]*Tasks[[#This Row],[_LeafProgress]]</f>
        <v/>
      </c>
      <c r="EN116" s="42">
        <f>IF(ISNUMBER(Tasks[[#This Row],[% Complete]]),Tasks[[#This Row],[% Complete]],IF(Tasks[[#This Row],[Stage]]="",0,IFERROR(INDEX(stg_Pct,MATCH(Tasks[[#This Row],[Stage]],stg_Name,0)),0)))</f>
        <v/>
      </c>
      <c r="EO116" s="42">
        <f>IF(NOT(Tasks[[#This Row],[_IsLeaf]]=1),0,IF(N(Tasks[[#This Row],[Actual Finish]])&gt;0,1,MIN(1,Tasks[[#This Row],[_Pct]])))</f>
        <v/>
      </c>
      <c r="EP116" s="42">
        <f>IF(OR(NOT(Tasks[[#This Row],[_IsLeaf]]=1),Tasks[[#This Row],[_Res1Row]]=0),0,N(Tasks[[#This Row],[_Days]])*HoursPerDay*IF(Tasks[[#This Row],[_Units1]]="",DefaultUnits,Tasks[[#This Row],[_Units1]]))</f>
        <v/>
      </c>
      <c r="EQ116" s="42">
        <f>Tasks[[#This Row],[_LeafWork]]+Tasks[[#This Row],[_Res2Work]]+Tasks[[#This Row],[_Res3Work]]+Tasks[[#This Row],[_Res4Work]]</f>
        <v/>
      </c>
      <c r="ER11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6" s="42">
        <f>IF(NOT(Tasks[[#This Row],[_IsLeaf]]=1),0,MAX(_xlfn.MAXIFS(Tasks[_Row],Tasks[_Pred1UID],Tasks[[#This Row],[UID]]),_xlfn.MAXIFS(Tasks[_Row],Tasks[_Pred2UID],Tasks[[#This Row],[UID]]),_xlfn.MAXIFS(Tasks[_Row],Tasks[_Pred3UID],Tasks[[#This Row],[UID]]),_xlfn.MAXIFS(Tasks[_Row],Tasks[_Pred4UID],Tasks[[#This Row],[UID]])))</f>
        <v/>
      </c>
      <c r="FA11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6" s="88">
        <f>IF(NOT(Tasks[[#This Row],[_IsLeaf]]=1),"",IF(N(Tasks[[#This Row],[_Days]])&lt;=0,Tasks[[#This Row],[_LeafLateFinish]],WORKDAY.INTL(Tasks[[#This Row],[_LeafLateFinish]],-(Tasks[[#This Row],[_Days]]-1),WorkWeek,Holidays)))</f>
        <v/>
      </c>
      <c r="FD11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6" s="42">
        <f>AND(Tasks[[#This Row],[_IsLeaf]]=1,Tasks[[#This Row],[_LeafProgress]]&lt;1,N(Tasks[[#This Row],[_LeafTotalSlack]])&lt;=CriticalSlackDays)</f>
        <v/>
      </c>
      <c r="FF116" s="42">
        <f>IF(AND(Tasks[[#This Row],[_IsLeaf]]=1,Tasks[[#This Row],[_ConstraintCode]]=1,Tasks[[#This Row],[Mode]]&lt;&gt;"Manual",N(Tasks[[#This Row],[Actual Start]])=0),MAX(0,N(Tasks[[#This Row],[Free Slack]])),0)</f>
        <v/>
      </c>
      <c r="FG116" s="88">
        <f>IF(NOT(Tasks[[#This Row],[_IsLeaf]]=1),"",IF(Tasks[[#This Row],[_AlapShift]]=0,Tasks[[#This Row],[_LeafCalcStart]],WORKDAY.INTL(Tasks[[#This Row],[_LeafCalcStart]],Tasks[[#This Row],[_AlapShift]],WorkWeek,Holidays)))</f>
        <v/>
      </c>
      <c r="FH116" s="88">
        <f>IF(NOT(Tasks[[#This Row],[_IsLeaf]]=1),"",IF(Tasks[[#This Row],[_AlapShift]]=0,Tasks[[#This Row],[_LeafCalcFinish]],WORKDAY.INTL(Tasks[[#This Row],[_LeafCalcFinish]],Tasks[[#This Row],[_AlapShift]],WorkWeek,Holidays)))</f>
        <v/>
      </c>
      <c r="FI116" s="88">
        <f>IF(NOT(Tasks[[#This Row],[_IsLeaf]]=1),"",IF(Tasks[[#This Row],[_AlapShift]]=0,Tasks[[#This Row],[_LeafFcstStart]],WORKDAY.INTL(Tasks[[#This Row],[_LeafFcstStart]],Tasks[[#This Row],[_AlapShift]],WorkWeek,Holidays)))</f>
        <v/>
      </c>
      <c r="FJ116" s="88">
        <f>IF(NOT(Tasks[[#This Row],[_IsLeaf]]=1),"",IF(Tasks[[#This Row],[_AlapShift]]=0,Tasks[[#This Row],[_LeafFcstFinish]],WORKDAY.INTL(Tasks[[#This Row],[_LeafFcstFinish]],Tasks[[#This Row],[_AlapShift]],WorkWeek,Holidays)))</f>
        <v/>
      </c>
      <c r="FK116" s="88">
        <f>IF(Tasks[[#This Row],[Task Name]]="","",IF(Tasks[[#This Row],[_IsSummary]],MIN(INDEX(Tasks[_ShownCalcStart],Tasks[[#This Row],[_Row]]+1):INDEX(Tasks[_ShownCalcStart],Tasks[[#This Row],[_Row]]+Tasks[[#This Row],[_Descendants]])),Tasks[[#This Row],[_ShownCalcStart]]))</f>
        <v/>
      </c>
      <c r="FL116" s="88">
        <f>IF(Tasks[[#This Row],[Task Name]]="","",IF(Tasks[[#This Row],[_IsSummary]],MAX(INDEX(Tasks[_ShownCalcFinish],Tasks[[#This Row],[_Row]]+1):INDEX(Tasks[_ShownCalcFinish],Tasks[[#This Row],[_Row]]+Tasks[[#This Row],[_Descendants]])),Tasks[[#This Row],[_ShownCalcFinish]]))</f>
        <v/>
      </c>
      <c r="FM11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6" s="42">
        <f>IF(AND(Tasks[[#This Row],[_IsLeaf]]=1,Tasks[[#This Row],[_LeafTotalWork]]&gt;0),NETWORKDAYS.INTL(ProjectStart,Tasks[[#This Row],[_ShownFcstStart]],WorkWeek,Holidays),0)</f>
        <v/>
      </c>
      <c r="FZ116" s="42">
        <f>IF(AND(Tasks[[#This Row],[_IsLeaf]]=1,Tasks[[#This Row],[_LeafTotalWork]]&gt;0),MAX(Tasks[[#This Row],[_StartWorkday]],NETWORKDAYS.INTL(ProjectStart,Tasks[[#This Row],[_ShownFcstFinish]],WorkWeek,Holidays)),0)</f>
        <v/>
      </c>
      <c r="GA116" s="42">
        <f>IF(AND(Tasks[[#This Row],[_IsLeaf]]=1,Tasks[[#This Row],[_LeafTotalWork]]&gt;0),Tasks[[#This Row],[_LeafWork]]/(Tasks[[#This Row],[_FinishWorkday]]-Tasks[[#This Row],[_StartWorkday]]+1),0)</f>
        <v/>
      </c>
      <c r="GB116" s="42">
        <f>Tasks[[#This Row],[_WorkPerWorkday]]*(Tasks[[#This Row],[_StartWorkday]]-1)</f>
        <v/>
      </c>
      <c r="GC116" s="42">
        <f>IF(Tasks[[#This Row],[_IsLeaf]]=1,MAX(N(Tasks[[#This Row],[_Days]]),0.1),0)</f>
        <v/>
      </c>
      <c r="GD116" s="42">
        <f>Tasks[[#This Row],[_WeightDur]]*Tasks[[#This Row],[_LeafProgress]]</f>
        <v/>
      </c>
      <c r="GE116" s="42">
        <f>Tasks[[#This Row],[_WeightDur]]*Tasks[[#This Row],[_PlannedPct]]</f>
        <v/>
      </c>
      <c r="GF11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6" s="42">
        <f>IF(AND(Tasks[[#This Row],[_IsLeaf]]=1,N(Tasks[[#This Row],[_Days]])=0,Tasks[[#This Row],[_LeafProgress]]&lt;1),Tasks[[#This Row],[_ShownFcstFinish]]+Tasks[[#This Row],[_Row]]/100000,"")</f>
        <v/>
      </c>
      <c r="GH11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6" s="42">
        <f>IF(Tasks[[#This Row],[Task Name]]="","",LEFT(Tasks[[#This Row],[WBS]],FIND(".",Tasks[[#This Row],[WBS]]&amp;".")-1))</f>
        <v/>
      </c>
      <c r="GJ116" s="42">
        <f>IF(AND(Tasks[[#This Row],[Task Name]]&lt;&gt;"",Tasks[[#This Row],[_Level]]=1),Tasks[[#This Row],[_Row]],"")</f>
        <v/>
      </c>
      <c r="GK116" s="42">
        <f>IF(AND(Tasks[[#This Row],[_IsLeaf]]=1,N(Tasks[[#This Row],[_Days]])=0),Tasks[[#This Row],[Planned Finish]]+Tasks[[#This Row],[_Row]]/100000,"")</f>
        <v/>
      </c>
      <c r="GL116" s="42">
        <f>IF(AND(Tasks[[#This Row],[_IsLeaf]]=1,Tasks[[#This Row],[_LeafProgress]]&lt;1,OR(N(Tasks[[#This Row],[Finish Var]])&gt;0,Tasks[[#This Row],[Status]]="Late Start")),MAX(0,Tasks[[#This Row],[Finish Var]])+1-Tasks[[#This Row],[_Row]]/1000000,"")</f>
        <v/>
      </c>
      <c r="GM116" s="42">
        <f>IF(AND(Tasks[[#This Row],[_IsLeaf]]=1,N(Tasks[[#This Row],[Actual Start]])=0,Tasks[[#This Row],[_ShownFcstStart]]&gt;=StatusDate,Tasks[[#This Row],[_ShownFcstStart]]&lt;=LookaheadEnd),Tasks[[#This Row],[_ShownFcstStart]]+Tasks[[#This Row],[_Row]]/100000,"")</f>
        <v/>
      </c>
      <c r="GN116" s="42">
        <f>IF(AND(Tasks[[#This Row],[_IsLeaf]]=1,Tasks[[#This Row],[_LeafProgress]]&lt;1,Tasks[[#This Row],[_ShownFcstFinish]]&gt;=StatusDate,Tasks[[#This Row],[_ShownFcstFinish]]&lt;=LookaheadEnd),Tasks[[#This Row],[_ShownFcstFinish]]+Tasks[[#This Row],[_Row]]/100000,"")</f>
        <v/>
      </c>
      <c r="GO116" s="42">
        <f>IF(Tasks[[#This Row],[_LeafCritical]],Tasks[[#This Row],[_ShownFcstStart]]+Tasks[[#This Row],[_Row]]/100000,"")</f>
        <v/>
      </c>
      <c r="GP116" s="42">
        <f>Tasks[[#This Row],[_LeafWork]]*Tasks[[#This Row],[_LeafProgress]]</f>
        <v/>
      </c>
      <c r="GQ116" s="88">
        <f>IF(AND(Tasks[[#This Row],[_IsLeaf]]=1,Tasks[[#This Row],[_LeafProgress]]&gt;=1),IF(N(Tasks[[#This Row],[Actual Finish]])&gt;0,Tasks[[#This Row],[Actual Finish]],Tasks[[#This Row],[_ShownFcstFinish]]),"")</f>
        <v/>
      </c>
      <c r="GR116" s="42">
        <f>IF(Tasks[[#This Row],[_IsLeaf]]=1,N(Tasks[[#This Row],[Story Points]]),0)</f>
        <v/>
      </c>
      <c r="GS116" s="42">
        <f>""</f>
        <v/>
      </c>
      <c r="GT116" s="42">
        <f>IF(Tasks[[#This Row],[Task Name]]="",FALSE(),AND(Tasks[[#This Row],[_IsLeaf]]=1,N(Tasks[[#This Row],[_Days]])=0))</f>
        <v/>
      </c>
      <c r="GU116" s="88">
        <f>IF(Tasks[[#This Row],[Task Name]]="",0,IF(AND(Tasks[[#This Row],[_IsLeaf]]=1,NOT(Tasks[[#This Row],[_IsMilestone]]),N(Tasks[[#This Row],[Progress]])&gt;0),Tasks[[#This Row],[Start]],0))</f>
        <v/>
      </c>
      <c r="GV116" s="88">
        <f>IF(Tasks[[#This Row],[_DoneFrom]]=0,0,IF(Tasks[[#This Row],[Progress]]&gt;=1,Tasks[[#This Row],[Finish]],MAX(Tasks[[#This Row],[_DoneFrom]],Tasks[[#This Row],[Start]]+ROUND((Tasks[[#This Row],[Finish]]-Tasks[[#This Row],[Start]]+1)*Tasks[[#This Row],[Progress]],0)-1)))</f>
        <v/>
      </c>
      <c r="GW116" s="88">
        <f>IF(Tasks[[#This Row],[Task Name]]="",0,IF(OR(NOT(Tasks[[#This Row],[_IsLeaf]]=1),Tasks[[#This Row],[_IsMilestone]],N(Tasks[[#This Row],[Progress]])&gt;=1),0,IF(Tasks[[#This Row],[_DoneTo]]&gt;0,Tasks[[#This Row],[_DoneTo]]+1,Tasks[[#This Row],[Start]])))</f>
        <v/>
      </c>
      <c r="GX116" s="88">
        <f>IF(Tasks[[#This Row],[_RemFrom]]=0,0,Tasks[[#This Row],[Finish]])</f>
        <v/>
      </c>
      <c r="GY116" s="42">
        <f>IF(Tasks[[#This Row],[Task Name]]="",FALSE(),OR(NOT(BaselineSet),N(Tasks[[#This Row],[Baseline Start]])&gt;0))</f>
        <v/>
      </c>
      <c r="GZ116" s="42">
        <f>IF(AND(Sandbox="Yes",L_PARSE_DURATION(Tasks[[#This Row],[Sandbox Duration]])&lt;&gt;""),L_PARSE_DURATION(Tasks[[#This Row],[Sandbox Duration]]),L_PARSE_DURATION(Tasks[[#This Row],[Duration]]))</f>
        <v/>
      </c>
      <c r="HA11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6" s="42">
        <f>IF(Tasks[[#This Row],[_IsLeaf]]=1,Tasks[[#This Row],[_Row]],"")</f>
        <v/>
      </c>
      <c r="HD116" s="42">
        <f>IFERROR(INDEX(Tasks[UID],SMALL(Tasks[_PickKey],Tasks[[#This Row],[_Row]]))&amp;" "&amp;INDEX(Tasks[Task Name],SMALL(Tasks[_PickKey],Tasks[[#This Row],[_Row]])),"")</f>
        <v/>
      </c>
      <c r="HE116" s="42">
        <f>IF(Tasks[[#This Row],[Task Name]]="","",IF(Tasks[[#This Row],[_IsSummary]],NETWORKDAYS.INTL(Tasks[[#This Row],[Start]],Tasks[[#This Row],[Finish]],WorkWeek,Holidays),N(Tasks[[#This Row],[_Days]])))</f>
        <v/>
      </c>
      <c r="HF116" s="42">
        <f>IF(Tasks[[#This Row],[Expected]]="",0,((Tasks[[#This Row],[Pessimistic]]-Tasks[[#This Row],[Optimistic]])/6)^2)</f>
        <v/>
      </c>
      <c r="HG116" s="42">
        <f>IF(Tasks[[#This Row],[Expected]]="",0,Tasks[[#This Row],[Expected]]-N(Tasks[[#This Row],[_Days]]))</f>
        <v/>
      </c>
    </row>
    <row r="117">
      <c r="A117" s="21">
        <f>IF(Tasks[[#This Row],[Task Name]]="","",COUNTA(Tasks[[#Headers],[Task Name]]:Tasks[[#This Row],[Task Name]])-1)</f>
        <v/>
      </c>
      <c r="B117" s="22" t="n">
        <v>125</v>
      </c>
      <c r="C117" s="22" t="n"/>
      <c r="D117" s="23" t="n"/>
      <c r="E117" s="22" t="n"/>
      <c r="F117" s="23" t="n"/>
      <c r="G117" s="22" t="n"/>
      <c r="H117" s="22" t="n"/>
      <c r="I117" s="23" t="n"/>
      <c r="J117" s="22" t="n"/>
      <c r="K117" s="22" t="n"/>
      <c r="L117" s="23" t="n"/>
      <c r="M117" s="22" t="n"/>
      <c r="N117" s="22" t="n"/>
      <c r="O117" s="23" t="n"/>
      <c r="P117" s="22" t="n"/>
      <c r="Q117" s="22" t="n"/>
      <c r="R117" s="23" t="n"/>
      <c r="S117" s="23" t="n"/>
      <c r="T117" s="82" t="n"/>
      <c r="U117" s="23" t="n"/>
      <c r="V117" s="82" t="n"/>
      <c r="W117" s="23" t="n"/>
      <c r="X117" s="82" t="n"/>
      <c r="Y117" s="23" t="n"/>
      <c r="Z117" s="82" t="n"/>
      <c r="AA117" s="23" t="n"/>
      <c r="AB117" s="23" t="n"/>
      <c r="AC117" s="7" t="n"/>
      <c r="AD117" s="7" t="n"/>
      <c r="AE117" s="61">
        <f>IF(Tasks[[#This Row],[Task Name]]="","",IF(Tasks[[#This Row],[_IsSummary]],MIN(INDEX(Tasks[_ShownFcstStart],Tasks[[#This Row],[_Row]]+1):INDEX(Tasks[_ShownFcstStart],Tasks[[#This Row],[_Row]]+Tasks[[#This Row],[_Descendants]])),Tasks[[#This Row],[_ShownFcstStart]]))</f>
        <v/>
      </c>
      <c r="AF117" s="61">
        <f>IF(Tasks[[#This Row],[Task Name]]="","",IF(Tasks[[#This Row],[_IsSummary]],MAX(INDEX(Tasks[_ShownFcstFinish],Tasks[[#This Row],[_Row]]+1):INDEX(Tasks[_ShownFcstFinish],Tasks[[#This Row],[_Row]]+Tasks[[#This Row],[_Descendants]])),Tasks[[#This Row],[_ShownFcstFinish]]))</f>
        <v/>
      </c>
      <c r="AG117" s="21">
        <f>""</f>
        <v/>
      </c>
      <c r="AH117" s="23" t="n"/>
      <c r="AI11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7" s="7" t="n"/>
      <c r="AK117" s="22" t="n"/>
      <c r="AL117" s="23" t="n"/>
      <c r="AM117" s="7" t="n"/>
      <c r="AN117" s="21">
        <f>IF(Tasks[[#This Row],[Task Name]]="","",IF(Tasks[[#This Row],[Finish]]&gt;=Tasks[[#This Row],[Planned Finish]],NETWORKDAYS.INTL(Tasks[[#This Row],[Planned Finish]],Tasks[[#This Row],[Finish]],WorkWeek,Holidays)-1,1-NETWORKDAYS.INTL(Tasks[[#This Row],[Finish]],Tasks[[#This Row],[Planned Finish]],WorkWeek,Holidays)))</f>
        <v/>
      </c>
      <c r="AO117" s="21">
        <f>IF(Tasks[[#This Row],[Task Name]]="","",IF(Tasks[[#This Row],[Progress]]&gt;=1,"Complete",IF(OR(N(Tasks[[#This Row],[Actual Start]])&gt;0,Tasks[[#This Row],[Progress]]&gt;0),IF(Tasks[[#This Row],[Finish Var]]&gt;0,"Behind","In Progress"),IF(Tasks[[#This Row],[Planned Start]]&lt;StatusDate,"Late Start","Not Started"))))</f>
        <v/>
      </c>
      <c r="AP117" s="21">
        <f>IF(Tasks[[#This Row],[Task Name]]="","",IF(IF(Tasks[[#This Row],[_IsSummary]],COUNTIF(INDEX(Tasks[_LeafCritical],Tasks[[#This Row],[_Row]]+1):INDEX(Tasks[_LeafCritical],Tasks[[#This Row],[_Row]]+Tasks[[#This Row],[_Descendants]]),TRUE())&gt;0,Tasks[[#This Row],[_LeafCritical]]),"Yes",""))</f>
        <v/>
      </c>
      <c r="AQ117" s="61">
        <f>IF(Tasks[[#This Row],[Task Name]]="","",IF(N(Tasks[[#This Row],[Baseline Start]])&gt;0,Tasks[[#This Row],[Baseline Start]],Tasks[[#This Row],[_CalcStart]]))</f>
        <v/>
      </c>
      <c r="AR117" s="61">
        <f>IF(Tasks[[#This Row],[Task Name]]="","",IF(N(Tasks[[#This Row],[Baseline Finish]])&gt;0,Tasks[[#This Row],[Baseline Finish]],Tasks[[#This Row],[_CalcFinish]]))</f>
        <v/>
      </c>
      <c r="AS117" s="21">
        <f>IF(Tasks[[#This Row],[Task Name]]="","",IF(Tasks[[#This Row],[Start]]&gt;=Tasks[[#This Row],[Planned Start]],NETWORKDAYS.INTL(Tasks[[#This Row],[Planned Start]],Tasks[[#This Row],[Start]],WorkWeek,Holidays)-1,1-NETWORKDAYS.INTL(Tasks[[#This Row],[Start]],Tasks[[#This Row],[Planned Start]],WorkWeek,Holidays)))</f>
        <v/>
      </c>
      <c r="AT117" s="61">
        <f>IF(Tasks[[#This Row],[Task Name]]="","",IF(Tasks[[#This Row],[_IsSummary]],MIN(INDEX(Tasks[_LeafLateStart],Tasks[[#This Row],[_Row]]+1):INDEX(Tasks[_LeafLateStart],Tasks[[#This Row],[_Row]]+Tasks[[#This Row],[_Descendants]])),Tasks[[#This Row],[_LeafLateStart]]))</f>
        <v/>
      </c>
      <c r="AU117" s="61">
        <f>IF(Tasks[[#This Row],[Task Name]]="","",IF(Tasks[[#This Row],[_IsSummary]],MAX(INDEX(Tasks[_LeafLateFinish],Tasks[[#This Row],[_Row]]+1):INDEX(Tasks[_LeafLateFinish],Tasks[[#This Row],[_Row]]+Tasks[[#This Row],[_Descendants]])),Tasks[[#This Row],[_LeafLateFinish]]))</f>
        <v/>
      </c>
      <c r="AV117" s="21">
        <f>IF(Tasks[[#This Row],[Task Name]]="","",IF(Tasks[[#This Row],[_IsSummary]],MIN(INDEX(Tasks[_LeafTotalSlack],Tasks[[#This Row],[_Row]]+1):INDEX(Tasks[_LeafTotalSlack],Tasks[[#This Row],[_Row]]+Tasks[[#This Row],[_Descendants]])),Tasks[[#This Row],[_LeafTotalSlack]]))</f>
        <v/>
      </c>
      <c r="AW11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3" t="n"/>
      <c r="BA11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f>IF(Tasks[[#This Row],[Task Name]]="","",IF(Tasks[[#This Row],[_Level]]&lt;=OutlineShowLevel,"Yes","No"))</f>
        <v/>
      </c>
      <c r="BE117" s="84">
        <f>IF(Tasks[[#This Row],[Task Name]]="","",IF(Tasks[[#This Row],[_IsSummary]],SUM(INDEX(Tasks[_LeafTotalWork],Tasks[[#This Row],[_Row]]+1):INDEX(Tasks[_LeafTotalWork],Tasks[[#This Row],[_Row]]+Tasks[[#This Row],[_Descendants]])),Tasks[[#This Row],[_LeafTotalWork]]))</f>
        <v/>
      </c>
      <c r="BF117" s="23" t="n"/>
      <c r="BG11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f>""</f>
        <v/>
      </c>
      <c r="BI117" s="85" t="n"/>
      <c r="BJ117" s="22" t="n"/>
      <c r="BK117" s="21">
        <f>IF(OR(Tasks[[#This Row],[Task Name]]="",Tasks[[#This Row],[Baseline Duration]]=""),"",Tasks[[#This Row],[_SpanDays]]-N(Tasks[[#This Row],[Baseline Duration]]))</f>
        <v/>
      </c>
      <c r="BL117" s="84">
        <f>IF(OR(Tasks[[#This Row],[Task Name]]="",Tasks[[#This Row],[Baseline Work]]=""),"",Tasks[[#This Row],[Work]]-N(Tasks[[#This Row],[Baseline Work]]))</f>
        <v/>
      </c>
      <c r="BM117" s="61">
        <f>IF(Tasks[[#This Row],[Task Name]]="","",IF(OR(TakeBaseline="Yes",N(Tasks[[#This Row],[Baseline Start]])=0),Tasks[[#This Row],[Start]],Tasks[[#This Row],[Baseline Start]]))</f>
        <v/>
      </c>
      <c r="BN117" s="61">
        <f>IF(Tasks[[#This Row],[Task Name]]="","",IF(OR(TakeBaseline="Yes",N(Tasks[[#This Row],[Baseline Finish]])=0),Tasks[[#This Row],[Finish]],Tasks[[#This Row],[Baseline Finish]]))</f>
        <v/>
      </c>
      <c r="BO117" s="21">
        <f>IF(Tasks[[#This Row],[Task Name]]="","",IF(OR(TakeBaseline="Yes",N(Tasks[[#This Row],[Baseline Duration]])=0),Tasks[[#This Row],[_SpanDays]],Tasks[[#This Row],[Baseline Duration]]))</f>
        <v/>
      </c>
      <c r="BP117" s="84">
        <f>IF(Tasks[[#This Row],[Task Name]]="","",IF(OR(TakeBaseline="Yes",N(Tasks[[#This Row],[Baseline Work]])=0),Tasks[[#This Row],[Work]],Tasks[[#This Row],[Baseline Work]]))</f>
        <v/>
      </c>
      <c r="BQ117" s="7" t="n"/>
      <c r="BR117" s="7" t="n"/>
      <c r="BS117" s="22" t="n"/>
      <c r="BT117" s="86" t="n"/>
      <c r="BU117" s="23" t="n"/>
      <c r="BV117" s="23" t="n"/>
      <c r="BW117" s="23" t="n"/>
      <c r="BX117" s="87">
        <f>IF(AND(Tasks[[#This Row],[_IsLeaf]]=1,ISNUMBER(Tasks[[#This Row],[Optimistic]]),ISNUMBER(Tasks[[#This Row],[Pessimistic]])),ROUND((Tasks[[#This Row],[Optimistic]]+4*N(Tasks[[#This Row],[_Days]])+Tasks[[#This Row],[Pessimistic]])/6,1),"")</f>
        <v/>
      </c>
      <c r="BY117" s="85" t="n"/>
      <c r="BZ117" s="85" t="n"/>
      <c r="CA117" s="22" t="n"/>
      <c r="CB117" s="42">
        <f>IF(Tasks[[#This Row],[Task Name]]="","",MAX(1,N(Tasks[[#This Row],[Level]])))</f>
        <v/>
      </c>
      <c r="CC117" s="42">
        <f>ROW()-ROW(Tasks[[#Headers],[ID]])</f>
        <v/>
      </c>
      <c r="CD117" s="42">
        <f>IF(OR(Tasks[[#This Row],[Task Name]]="",Tasks[[#This Row],[_Level]]&lt;=1),0,IFERROR(LOOKUP(2,1/(Tasks[[#Headers],[_Level]]:Tasks[[#This Row],[_Level]]=Tasks[[#This Row],[_Level]]-1),ROW(Tasks[[#Headers],[_Level]]:Tasks[[#This Row],[_Level]])),0))</f>
        <v/>
      </c>
      <c r="CE117" s="42">
        <f>IFERROR(N(INDEX(Tasks[_Level],Tasks[[#This Row],[_Row]]+1)),0)</f>
        <v/>
      </c>
      <c r="CF117" s="42">
        <f>AND(Tasks[[#This Row],[Task Name]]&lt;&gt;"",Tasks[[#This Row],[_NextLevel]]&gt;Tasks[[#This Row],[_Level]])</f>
        <v/>
      </c>
      <c r="CG117" s="42">
        <f>IF(Tasks[[#This Row],[_IsSummary]],COUNTIF(Tasks[WBS],Tasks[[#This Row],[WBS]]&amp;".*"),0)</f>
        <v/>
      </c>
      <c r="CH117" s="42">
        <f>IF(AND(Tasks[[#This Row],[Task Name]]&lt;&gt;"",NOT(Tasks[[#This Row],[_IsSummary]])),1,0)</f>
        <v/>
      </c>
      <c r="CI117" s="42">
        <f>IF(N(Tasks[[#This Row],[_Pred1UID]])=0,0,IFERROR(MATCH(Tasks[[#This Row],[_Pred1UID]],Tasks[UID],0),-1))</f>
        <v/>
      </c>
      <c r="CJ117" s="42">
        <f>IF(N(Tasks[[#This Row],[_Pred2UID]])=0,0,IFERROR(MATCH(Tasks[[#This Row],[_Pred2UID]],Tasks[UID],0),-1))</f>
        <v/>
      </c>
      <c r="CK117" s="42">
        <f>IF(N(Tasks[[#This Row],[_Pred3UID]])=0,0,IFERROR(MATCH(Tasks[[#This Row],[_Pred3UID]],Tasks[UID],0),-1))</f>
        <v/>
      </c>
      <c r="CL117" s="42">
        <f>IF(N(Tasks[[#This Row],[_Pred4UID]])=0,0,IFERROR(MATCH(Tasks[[#This Row],[_Pred4UID]],Tasks[UID],0),-1))</f>
        <v/>
      </c>
      <c r="CM11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7" s="88">
        <f>IF(N(Tasks[[#This Row],[Constraint Date]])=0,0,IF(AND(OR(Tasks[[#This Row],[_ConstraintCode]]=3,Tasks[[#This Row],[_ConstraintCode]]=6,Tasks[[#This Row],[_ConstraintCode]]=7),N(Tasks[[#This Row],[_Days]])&gt;1),WORKDAY.INTL(N(Tasks[[#This Row],[Constraint Date]]),-(N(Tasks[[#This Row],[_Days]])-1),WorkWeek,Holidays),N(Tasks[[#This Row],[Constraint Date]])))</f>
        <v/>
      </c>
      <c r="CO117" s="88">
        <f>IF(OR(Tasks[[#This Row],[_ConstraintCode]]=2,Tasks[[#This Row],[_ConstraintCode]]=3,Tasks[[#This Row],[_ConstraintCode]]=4,Tasks[[#This Row],[_ConstraintCode]]=6),Tasks[[#This Row],[_ConstraintStart]],0)</f>
        <v/>
      </c>
      <c r="CP117" s="88">
        <f>IF(OR(Tasks[[#This Row],[_ConstraintCode]]=2,Tasks[[#This Row],[_ConstraintCode]]=3,Tasks[[#This Row],[_ConstraintCode]]=5,Tasks[[#This Row],[_ConstraintCode]]=7),Tasks[[#This Row],[_ConstraintStart]],2958465)</f>
        <v/>
      </c>
      <c r="CQ11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7" s="88">
        <f>IF(NOT(Tasks[[#This Row],[_IsLeaf]]=1),"",IF(N(Tasks[[#This Row],[_Days]])&lt;=0,Tasks[[#This Row],[_LeafCalcStart]],WORKDAY.INTL(Tasks[[#This Row],[_LeafCalcStart]],Tasks[[#This Row],[_Days]]-1,WorkWeek,Holidays)))</f>
        <v/>
      </c>
      <c r="CS11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7" s="42">
        <f>IF(Tasks[[#This Row],[_Predecessors]]="","",TRIM(MID(SUBSTITUTE(SUBSTITUTE(SUBSTITUTE(UPPER(Tasks[[#This Row],[_Predecessors]]),";",",")," ",""),",",REPT(" ",99)),1,99)))</f>
        <v/>
      </c>
      <c r="CV117" s="42">
        <f>IF(Tasks[[#This Row],[_Pred1Text]]="","",IFERROR(VALUE(LEFT(Tasks[[#This Row],[_Pred1Text]],MIN(FIND("F",Tasks[[#This Row],[_Pred1Text]]&amp;"F"),FIND("S",Tasks[[#This Row],[_Pred1Text]]&amp;"S"),FIND("+",Tasks[[#This Row],[_Pred1Text]]&amp;"+"),FIND("-",Tasks[[#This Row],[_Pred1Text]]&amp;"-"))-1)),""))</f>
        <v/>
      </c>
      <c r="CW11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7" s="42">
        <f>IF(Tasks[[#This Row],[_Pred1Text]]="","",TRIM(MID(SUBSTITUTE(SUBSTITUTE(SUBSTITUTE(UPPER(Tasks[[#This Row],[_Predecessors]]),";",",")," ",""),",",REPT(" ",99)),100,99)))</f>
        <v/>
      </c>
      <c r="CZ117" s="42">
        <f>IF(Tasks[[#This Row],[_Pred2Text]]="","",IFERROR(VALUE(LEFT(Tasks[[#This Row],[_Pred2Text]],MIN(FIND("F",Tasks[[#This Row],[_Pred2Text]]&amp;"F"),FIND("S",Tasks[[#This Row],[_Pred2Text]]&amp;"S"),FIND("+",Tasks[[#This Row],[_Pred2Text]]&amp;"+"),FIND("-",Tasks[[#This Row],[_Pred2Text]]&amp;"-"))-1)),""))</f>
        <v/>
      </c>
      <c r="DA11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7" s="42">
        <f>IF(Tasks[[#This Row],[_Pred2Text]]="","",TRIM(MID(SUBSTITUTE(SUBSTITUTE(SUBSTITUTE(UPPER(Tasks[[#This Row],[_Predecessors]]),";",",")," ",""),",",REPT(" ",99)),199,99)))</f>
        <v/>
      </c>
      <c r="DD117" s="42">
        <f>IF(Tasks[[#This Row],[_Pred3Text]]="","",IFERROR(VALUE(LEFT(Tasks[[#This Row],[_Pred3Text]],MIN(FIND("F",Tasks[[#This Row],[_Pred3Text]]&amp;"F"),FIND("S",Tasks[[#This Row],[_Pred3Text]]&amp;"S"),FIND("+",Tasks[[#This Row],[_Pred3Text]]&amp;"+"),FIND("-",Tasks[[#This Row],[_Pred3Text]]&amp;"-"))-1)),""))</f>
        <v/>
      </c>
      <c r="DE11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7" s="42">
        <f>IF(Tasks[[#This Row],[_Pred3Text]]="","",TRIM(MID(SUBSTITUTE(SUBSTITUTE(SUBSTITUTE(UPPER(Tasks[[#This Row],[_Predecessors]]),";",",")," ",""),",",REPT(" ",99)),298,99)))</f>
        <v/>
      </c>
      <c r="DH117" s="42">
        <f>IF(Tasks[[#This Row],[_Pred4Text]]="","",IFERROR(VALUE(LEFT(Tasks[[#This Row],[_Pred4Text]],MIN(FIND("F",Tasks[[#This Row],[_Pred4Text]]&amp;"F"),FIND("S",Tasks[[#This Row],[_Pred4Text]]&amp;"S"),FIND("+",Tasks[[#This Row],[_Pred4Text]]&amp;"+"),FIND("-",Tasks[[#This Row],[_Pred4Text]]&amp;"-"))-1)),""))</f>
        <v/>
      </c>
      <c r="DI11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7" s="42">
        <f>IF(OR(Tasks[[#This Row],[Task Name]]="",Tasks[[#This Row],[_Resources]]=""),"",TRIM(MID(SUBSTITUTE(Tasks[[#This Row],[_Resources]],",",REPT(" ",99)),1,99)))</f>
        <v/>
      </c>
      <c r="DL117" s="42">
        <f>IF(Tasks[[#This Row],[_Res1Text]]="","",TRIM(MID(SUBSTITUTE(Tasks[[#This Row],[_Resources]],",",REPT(" ",99)),100,99)))</f>
        <v/>
      </c>
      <c r="DM117" s="42">
        <f>IF(Tasks[[#This Row],[_Res2Text]]="","",TRIM(MID(SUBSTITUTE(Tasks[[#This Row],[_Resources]],",",REPT(" ",99)),199,99)))</f>
        <v/>
      </c>
      <c r="DN117" s="42">
        <f>IF(Tasks[[#This Row],[_Res3Text]]="","",TRIM(MID(SUBSTITUTE(Tasks[[#This Row],[_Resources]],",",REPT(" ",99)),298,99)))</f>
        <v/>
      </c>
      <c r="DO117" s="42">
        <f>IF(Tasks[[#This Row],[_Res1Text]]="",0,IFERROR(MATCH(TRIM(LEFT(Tasks[[#This Row],[_Res1Text]],FIND("[",Tasks[[#This Row],[_Res1Text]]&amp;"[")-1)),res_Name,0),IFERROR(MATCH(TRIM(LEFT(Tasks[[#This Row],[_Res1Text]],FIND("[",Tasks[[#This Row],[_Res1Text]]&amp;"[")-1)),res_Initials,0),0)))</f>
        <v/>
      </c>
      <c r="DP117" s="42">
        <f>IF(Tasks[[#This Row],[_Res2Text]]="",0,IFERROR(MATCH(TRIM(LEFT(Tasks[[#This Row],[_Res2Text]],FIND("[",Tasks[[#This Row],[_Res2Text]]&amp;"[")-1)),res_Name,0),IFERROR(MATCH(TRIM(LEFT(Tasks[[#This Row],[_Res2Text]],FIND("[",Tasks[[#This Row],[_Res2Text]]&amp;"[")-1)),res_Initials,0),0)))</f>
        <v/>
      </c>
      <c r="DQ117" s="42">
        <f>IF(Tasks[[#This Row],[_Res3Text]]="",0,IFERROR(MATCH(TRIM(LEFT(Tasks[[#This Row],[_Res3Text]],FIND("[",Tasks[[#This Row],[_Res3Text]]&amp;"[")-1)),res_Name,0),IFERROR(MATCH(TRIM(LEFT(Tasks[[#This Row],[_Res3Text]],FIND("[",Tasks[[#This Row],[_Res3Text]]&amp;"[")-1)),res_Initials,0),0)))</f>
        <v/>
      </c>
      <c r="DR117" s="42">
        <f>IF(Tasks[[#This Row],[_Res4Text]]="",0,IFERROR(MATCH(TRIM(LEFT(Tasks[[#This Row],[_Res4Text]],FIND("[",Tasks[[#This Row],[_Res4Text]]&amp;"[")-1)),res_Name,0),IFERROR(MATCH(TRIM(LEFT(Tasks[[#This Row],[_Res4Text]],FIND("[",Tasks[[#This Row],[_Res4Text]]&amp;"[")-1)),res_Initials,0),0)))</f>
        <v/>
      </c>
      <c r="DS117" s="42">
        <f>IF(Tasks[[#This Row],[_Res1Text]]="","",IF(Tasks[[#This Row],[_Res1Row]]&gt;0,INDEX(res_Name,Tasks[[#This Row],[_Res1Row]]),TRIM(LEFT(Tasks[[#This Row],[_Res1Text]],FIND("[",Tasks[[#This Row],[_Res1Text]]&amp;"[")-1))))</f>
        <v/>
      </c>
      <c r="DT11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7" s="42">
        <f>IF(NOT(Tasks[[#This Row],[_IsLeaf]]=1),0,(Tasks[[#This Row],[_Resource1]]&lt;&gt;"")+(Tasks[[#This Row],[_Res2]]&lt;&gt;"")+(Tasks[[#This Row],[_Res3]]&lt;&gt;"")+(Tasks[[#This Row],[_Res4]]&lt;&gt;""))</f>
        <v/>
      </c>
      <c r="DV117" s="42">
        <f>IF(Tasks[[#This Row],[_Res2Text]]="","",IF(Tasks[[#This Row],[_Res2Row]]&gt;0,INDEX(res_Name,Tasks[[#This Row],[_Res2Row]]),TRIM(LEFT(Tasks[[#This Row],[_Res2Text]],FIND("[",Tasks[[#This Row],[_Res2Text]]&amp;"[")-1))))</f>
        <v/>
      </c>
      <c r="DW11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7" s="42">
        <f>IF(OR(NOT(Tasks[[#This Row],[_IsLeaf]]=1),Tasks[[#This Row],[_Res2Row]]=0),0,N(Tasks[[#This Row],[_Days]])*HoursPerDay*IF(Tasks[[#This Row],[_Res2Units]]="",DefaultUnits,Tasks[[#This Row],[_Res2Units]]))</f>
        <v/>
      </c>
      <c r="DY117" s="42">
        <f>IF(AND(AND(Tasks[[#This Row],[_IsLeaf]]=1,Tasks[[#This Row],[_LeafTotalWork]]&gt;0),Tasks[[#This Row],[_Res2Work]]&gt;0),Tasks[[#This Row],[_Res2Work]]/(Tasks[[#This Row],[_FinishWorkday]]-Tasks[[#This Row],[_StartWorkday]]+1),0)</f>
        <v/>
      </c>
      <c r="DZ117" s="42">
        <f>Tasks[[#This Row],[_Res2WorkPerWD]]*MAX(0,Tasks[[#This Row],[_StartWorkday]]-1)</f>
        <v/>
      </c>
      <c r="EA117" s="42">
        <f>Tasks[[#This Row],[_Res2Work]]*Tasks[[#This Row],[_LeafProgress]]</f>
        <v/>
      </c>
      <c r="EB117" s="42">
        <f>IF(Tasks[[#This Row],[_Res3Text]]="","",IF(Tasks[[#This Row],[_Res3Row]]&gt;0,INDEX(res_Name,Tasks[[#This Row],[_Res3Row]]),TRIM(LEFT(Tasks[[#This Row],[_Res3Text]],FIND("[",Tasks[[#This Row],[_Res3Text]]&amp;"[")-1))))</f>
        <v/>
      </c>
      <c r="EC11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7" s="42">
        <f>IF(OR(NOT(Tasks[[#This Row],[_IsLeaf]]=1),Tasks[[#This Row],[_Res3Row]]=0),0,N(Tasks[[#This Row],[_Days]])*HoursPerDay*IF(Tasks[[#This Row],[_Res3Units]]="",DefaultUnits,Tasks[[#This Row],[_Res3Units]]))</f>
        <v/>
      </c>
      <c r="EE117" s="42">
        <f>IF(AND(AND(Tasks[[#This Row],[_IsLeaf]]=1,Tasks[[#This Row],[_LeafTotalWork]]&gt;0),Tasks[[#This Row],[_Res3Work]]&gt;0),Tasks[[#This Row],[_Res3Work]]/(Tasks[[#This Row],[_FinishWorkday]]-Tasks[[#This Row],[_StartWorkday]]+1),0)</f>
        <v/>
      </c>
      <c r="EF117" s="42">
        <f>Tasks[[#This Row],[_Res3WorkPerWD]]*MAX(0,Tasks[[#This Row],[_StartWorkday]]-1)</f>
        <v/>
      </c>
      <c r="EG117" s="42">
        <f>Tasks[[#This Row],[_Res3Work]]*Tasks[[#This Row],[_LeafProgress]]</f>
        <v/>
      </c>
      <c r="EH117" s="42">
        <f>IF(Tasks[[#This Row],[_Res4Text]]="","",IF(Tasks[[#This Row],[_Res4Row]]&gt;0,INDEX(res_Name,Tasks[[#This Row],[_Res4Row]]),TRIM(LEFT(Tasks[[#This Row],[_Res4Text]],FIND("[",Tasks[[#This Row],[_Res4Text]]&amp;"[")-1))))</f>
        <v/>
      </c>
      <c r="EI11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7" s="42">
        <f>IF(OR(NOT(Tasks[[#This Row],[_IsLeaf]]=1),Tasks[[#This Row],[_Res4Row]]=0),0,N(Tasks[[#This Row],[_Days]])*HoursPerDay*IF(Tasks[[#This Row],[_Res4Units]]="",DefaultUnits,Tasks[[#This Row],[_Res4Units]]))</f>
        <v/>
      </c>
      <c r="EK117" s="42">
        <f>IF(AND(AND(Tasks[[#This Row],[_IsLeaf]]=1,Tasks[[#This Row],[_LeafTotalWork]]&gt;0),Tasks[[#This Row],[_Res4Work]]&gt;0),Tasks[[#This Row],[_Res4Work]]/(Tasks[[#This Row],[_FinishWorkday]]-Tasks[[#This Row],[_StartWorkday]]+1),0)</f>
        <v/>
      </c>
      <c r="EL117" s="42">
        <f>Tasks[[#This Row],[_Res4WorkPerWD]]*MAX(0,Tasks[[#This Row],[_StartWorkday]]-1)</f>
        <v/>
      </c>
      <c r="EM117" s="42">
        <f>Tasks[[#This Row],[_Res4Work]]*Tasks[[#This Row],[_LeafProgress]]</f>
        <v/>
      </c>
      <c r="EN117" s="42">
        <f>IF(ISNUMBER(Tasks[[#This Row],[% Complete]]),Tasks[[#This Row],[% Complete]],IF(Tasks[[#This Row],[Stage]]="",0,IFERROR(INDEX(stg_Pct,MATCH(Tasks[[#This Row],[Stage]],stg_Name,0)),0)))</f>
        <v/>
      </c>
      <c r="EO117" s="42">
        <f>IF(NOT(Tasks[[#This Row],[_IsLeaf]]=1),0,IF(N(Tasks[[#This Row],[Actual Finish]])&gt;0,1,MIN(1,Tasks[[#This Row],[_Pct]])))</f>
        <v/>
      </c>
      <c r="EP117" s="42">
        <f>IF(OR(NOT(Tasks[[#This Row],[_IsLeaf]]=1),Tasks[[#This Row],[_Res1Row]]=0),0,N(Tasks[[#This Row],[_Days]])*HoursPerDay*IF(Tasks[[#This Row],[_Units1]]="",DefaultUnits,Tasks[[#This Row],[_Units1]]))</f>
        <v/>
      </c>
      <c r="EQ117" s="42">
        <f>Tasks[[#This Row],[_LeafWork]]+Tasks[[#This Row],[_Res2Work]]+Tasks[[#This Row],[_Res3Work]]+Tasks[[#This Row],[_Res4Work]]</f>
        <v/>
      </c>
      <c r="ER11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7" s="42">
        <f>IF(NOT(Tasks[[#This Row],[_IsLeaf]]=1),0,MAX(_xlfn.MAXIFS(Tasks[_Row],Tasks[_Pred1UID],Tasks[[#This Row],[UID]]),_xlfn.MAXIFS(Tasks[_Row],Tasks[_Pred2UID],Tasks[[#This Row],[UID]]),_xlfn.MAXIFS(Tasks[_Row],Tasks[_Pred3UID],Tasks[[#This Row],[UID]]),_xlfn.MAXIFS(Tasks[_Row],Tasks[_Pred4UID],Tasks[[#This Row],[UID]])))</f>
        <v/>
      </c>
      <c r="FA11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7" s="88">
        <f>IF(NOT(Tasks[[#This Row],[_IsLeaf]]=1),"",IF(N(Tasks[[#This Row],[_Days]])&lt;=0,Tasks[[#This Row],[_LeafLateFinish]],WORKDAY.INTL(Tasks[[#This Row],[_LeafLateFinish]],-(Tasks[[#This Row],[_Days]]-1),WorkWeek,Holidays)))</f>
        <v/>
      </c>
      <c r="FD11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7" s="42">
        <f>AND(Tasks[[#This Row],[_IsLeaf]]=1,Tasks[[#This Row],[_LeafProgress]]&lt;1,N(Tasks[[#This Row],[_LeafTotalSlack]])&lt;=CriticalSlackDays)</f>
        <v/>
      </c>
      <c r="FF117" s="42">
        <f>IF(AND(Tasks[[#This Row],[_IsLeaf]]=1,Tasks[[#This Row],[_ConstraintCode]]=1,Tasks[[#This Row],[Mode]]&lt;&gt;"Manual",N(Tasks[[#This Row],[Actual Start]])=0),MAX(0,N(Tasks[[#This Row],[Free Slack]])),0)</f>
        <v/>
      </c>
      <c r="FG117" s="88">
        <f>IF(NOT(Tasks[[#This Row],[_IsLeaf]]=1),"",IF(Tasks[[#This Row],[_AlapShift]]=0,Tasks[[#This Row],[_LeafCalcStart]],WORKDAY.INTL(Tasks[[#This Row],[_LeafCalcStart]],Tasks[[#This Row],[_AlapShift]],WorkWeek,Holidays)))</f>
        <v/>
      </c>
      <c r="FH117" s="88">
        <f>IF(NOT(Tasks[[#This Row],[_IsLeaf]]=1),"",IF(Tasks[[#This Row],[_AlapShift]]=0,Tasks[[#This Row],[_LeafCalcFinish]],WORKDAY.INTL(Tasks[[#This Row],[_LeafCalcFinish]],Tasks[[#This Row],[_AlapShift]],WorkWeek,Holidays)))</f>
        <v/>
      </c>
      <c r="FI117" s="88">
        <f>IF(NOT(Tasks[[#This Row],[_IsLeaf]]=1),"",IF(Tasks[[#This Row],[_AlapShift]]=0,Tasks[[#This Row],[_LeafFcstStart]],WORKDAY.INTL(Tasks[[#This Row],[_LeafFcstStart]],Tasks[[#This Row],[_AlapShift]],WorkWeek,Holidays)))</f>
        <v/>
      </c>
      <c r="FJ117" s="88">
        <f>IF(NOT(Tasks[[#This Row],[_IsLeaf]]=1),"",IF(Tasks[[#This Row],[_AlapShift]]=0,Tasks[[#This Row],[_LeafFcstFinish]],WORKDAY.INTL(Tasks[[#This Row],[_LeafFcstFinish]],Tasks[[#This Row],[_AlapShift]],WorkWeek,Holidays)))</f>
        <v/>
      </c>
      <c r="FK117" s="88">
        <f>IF(Tasks[[#This Row],[Task Name]]="","",IF(Tasks[[#This Row],[_IsSummary]],MIN(INDEX(Tasks[_ShownCalcStart],Tasks[[#This Row],[_Row]]+1):INDEX(Tasks[_ShownCalcStart],Tasks[[#This Row],[_Row]]+Tasks[[#This Row],[_Descendants]])),Tasks[[#This Row],[_ShownCalcStart]]))</f>
        <v/>
      </c>
      <c r="FL117" s="88">
        <f>IF(Tasks[[#This Row],[Task Name]]="","",IF(Tasks[[#This Row],[_IsSummary]],MAX(INDEX(Tasks[_ShownCalcFinish],Tasks[[#This Row],[_Row]]+1):INDEX(Tasks[_ShownCalcFinish],Tasks[[#This Row],[_Row]]+Tasks[[#This Row],[_Descendants]])),Tasks[[#This Row],[_ShownCalcFinish]]))</f>
        <v/>
      </c>
      <c r="FM11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7" s="42">
        <f>IF(AND(Tasks[[#This Row],[_IsLeaf]]=1,Tasks[[#This Row],[_LeafTotalWork]]&gt;0),NETWORKDAYS.INTL(ProjectStart,Tasks[[#This Row],[_ShownFcstStart]],WorkWeek,Holidays),0)</f>
        <v/>
      </c>
      <c r="FZ117" s="42">
        <f>IF(AND(Tasks[[#This Row],[_IsLeaf]]=1,Tasks[[#This Row],[_LeafTotalWork]]&gt;0),MAX(Tasks[[#This Row],[_StartWorkday]],NETWORKDAYS.INTL(ProjectStart,Tasks[[#This Row],[_ShownFcstFinish]],WorkWeek,Holidays)),0)</f>
        <v/>
      </c>
      <c r="GA117" s="42">
        <f>IF(AND(Tasks[[#This Row],[_IsLeaf]]=1,Tasks[[#This Row],[_LeafTotalWork]]&gt;0),Tasks[[#This Row],[_LeafWork]]/(Tasks[[#This Row],[_FinishWorkday]]-Tasks[[#This Row],[_StartWorkday]]+1),0)</f>
        <v/>
      </c>
      <c r="GB117" s="42">
        <f>Tasks[[#This Row],[_WorkPerWorkday]]*(Tasks[[#This Row],[_StartWorkday]]-1)</f>
        <v/>
      </c>
      <c r="GC117" s="42">
        <f>IF(Tasks[[#This Row],[_IsLeaf]]=1,MAX(N(Tasks[[#This Row],[_Days]]),0.1),0)</f>
        <v/>
      </c>
      <c r="GD117" s="42">
        <f>Tasks[[#This Row],[_WeightDur]]*Tasks[[#This Row],[_LeafProgress]]</f>
        <v/>
      </c>
      <c r="GE117" s="42">
        <f>Tasks[[#This Row],[_WeightDur]]*Tasks[[#This Row],[_PlannedPct]]</f>
        <v/>
      </c>
      <c r="GF11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7" s="42">
        <f>IF(AND(Tasks[[#This Row],[_IsLeaf]]=1,N(Tasks[[#This Row],[_Days]])=0,Tasks[[#This Row],[_LeafProgress]]&lt;1),Tasks[[#This Row],[_ShownFcstFinish]]+Tasks[[#This Row],[_Row]]/100000,"")</f>
        <v/>
      </c>
      <c r="GH11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7" s="42">
        <f>IF(Tasks[[#This Row],[Task Name]]="","",LEFT(Tasks[[#This Row],[WBS]],FIND(".",Tasks[[#This Row],[WBS]]&amp;".")-1))</f>
        <v/>
      </c>
      <c r="GJ117" s="42">
        <f>IF(AND(Tasks[[#This Row],[Task Name]]&lt;&gt;"",Tasks[[#This Row],[_Level]]=1),Tasks[[#This Row],[_Row]],"")</f>
        <v/>
      </c>
      <c r="GK117" s="42">
        <f>IF(AND(Tasks[[#This Row],[_IsLeaf]]=1,N(Tasks[[#This Row],[_Days]])=0),Tasks[[#This Row],[Planned Finish]]+Tasks[[#This Row],[_Row]]/100000,"")</f>
        <v/>
      </c>
      <c r="GL117" s="42">
        <f>IF(AND(Tasks[[#This Row],[_IsLeaf]]=1,Tasks[[#This Row],[_LeafProgress]]&lt;1,OR(N(Tasks[[#This Row],[Finish Var]])&gt;0,Tasks[[#This Row],[Status]]="Late Start")),MAX(0,Tasks[[#This Row],[Finish Var]])+1-Tasks[[#This Row],[_Row]]/1000000,"")</f>
        <v/>
      </c>
      <c r="GM117" s="42">
        <f>IF(AND(Tasks[[#This Row],[_IsLeaf]]=1,N(Tasks[[#This Row],[Actual Start]])=0,Tasks[[#This Row],[_ShownFcstStart]]&gt;=StatusDate,Tasks[[#This Row],[_ShownFcstStart]]&lt;=LookaheadEnd),Tasks[[#This Row],[_ShownFcstStart]]+Tasks[[#This Row],[_Row]]/100000,"")</f>
        <v/>
      </c>
      <c r="GN117" s="42">
        <f>IF(AND(Tasks[[#This Row],[_IsLeaf]]=1,Tasks[[#This Row],[_LeafProgress]]&lt;1,Tasks[[#This Row],[_ShownFcstFinish]]&gt;=StatusDate,Tasks[[#This Row],[_ShownFcstFinish]]&lt;=LookaheadEnd),Tasks[[#This Row],[_ShownFcstFinish]]+Tasks[[#This Row],[_Row]]/100000,"")</f>
        <v/>
      </c>
      <c r="GO117" s="42">
        <f>IF(Tasks[[#This Row],[_LeafCritical]],Tasks[[#This Row],[_ShownFcstStart]]+Tasks[[#This Row],[_Row]]/100000,"")</f>
        <v/>
      </c>
      <c r="GP117" s="42">
        <f>Tasks[[#This Row],[_LeafWork]]*Tasks[[#This Row],[_LeafProgress]]</f>
        <v/>
      </c>
      <c r="GQ117" s="88">
        <f>IF(AND(Tasks[[#This Row],[_IsLeaf]]=1,Tasks[[#This Row],[_LeafProgress]]&gt;=1),IF(N(Tasks[[#This Row],[Actual Finish]])&gt;0,Tasks[[#This Row],[Actual Finish]],Tasks[[#This Row],[_ShownFcstFinish]]),"")</f>
        <v/>
      </c>
      <c r="GR117" s="42">
        <f>IF(Tasks[[#This Row],[_IsLeaf]]=1,N(Tasks[[#This Row],[Story Points]]),0)</f>
        <v/>
      </c>
      <c r="GS117" s="42">
        <f>""</f>
        <v/>
      </c>
      <c r="GT117" s="42">
        <f>IF(Tasks[[#This Row],[Task Name]]="",FALSE(),AND(Tasks[[#This Row],[_IsLeaf]]=1,N(Tasks[[#This Row],[_Days]])=0))</f>
        <v/>
      </c>
      <c r="GU117" s="88">
        <f>IF(Tasks[[#This Row],[Task Name]]="",0,IF(AND(Tasks[[#This Row],[_IsLeaf]]=1,NOT(Tasks[[#This Row],[_IsMilestone]]),N(Tasks[[#This Row],[Progress]])&gt;0),Tasks[[#This Row],[Start]],0))</f>
        <v/>
      </c>
      <c r="GV117" s="88">
        <f>IF(Tasks[[#This Row],[_DoneFrom]]=0,0,IF(Tasks[[#This Row],[Progress]]&gt;=1,Tasks[[#This Row],[Finish]],MAX(Tasks[[#This Row],[_DoneFrom]],Tasks[[#This Row],[Start]]+ROUND((Tasks[[#This Row],[Finish]]-Tasks[[#This Row],[Start]]+1)*Tasks[[#This Row],[Progress]],0)-1)))</f>
        <v/>
      </c>
      <c r="GW117" s="88">
        <f>IF(Tasks[[#This Row],[Task Name]]="",0,IF(OR(NOT(Tasks[[#This Row],[_IsLeaf]]=1),Tasks[[#This Row],[_IsMilestone]],N(Tasks[[#This Row],[Progress]])&gt;=1),0,IF(Tasks[[#This Row],[_DoneTo]]&gt;0,Tasks[[#This Row],[_DoneTo]]+1,Tasks[[#This Row],[Start]])))</f>
        <v/>
      </c>
      <c r="GX117" s="88">
        <f>IF(Tasks[[#This Row],[_RemFrom]]=0,0,Tasks[[#This Row],[Finish]])</f>
        <v/>
      </c>
      <c r="GY117" s="42">
        <f>IF(Tasks[[#This Row],[Task Name]]="",FALSE(),OR(NOT(BaselineSet),N(Tasks[[#This Row],[Baseline Start]])&gt;0))</f>
        <v/>
      </c>
      <c r="GZ117" s="42">
        <f>IF(AND(Sandbox="Yes",L_PARSE_DURATION(Tasks[[#This Row],[Sandbox Duration]])&lt;&gt;""),L_PARSE_DURATION(Tasks[[#This Row],[Sandbox Duration]]),L_PARSE_DURATION(Tasks[[#This Row],[Duration]]))</f>
        <v/>
      </c>
      <c r="HA11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7" s="42">
        <f>IF(Tasks[[#This Row],[_IsLeaf]]=1,Tasks[[#This Row],[_Row]],"")</f>
        <v/>
      </c>
      <c r="HD117" s="42">
        <f>IFERROR(INDEX(Tasks[UID],SMALL(Tasks[_PickKey],Tasks[[#This Row],[_Row]]))&amp;" "&amp;INDEX(Tasks[Task Name],SMALL(Tasks[_PickKey],Tasks[[#This Row],[_Row]])),"")</f>
        <v/>
      </c>
      <c r="HE117" s="42">
        <f>IF(Tasks[[#This Row],[Task Name]]="","",IF(Tasks[[#This Row],[_IsSummary]],NETWORKDAYS.INTL(Tasks[[#This Row],[Start]],Tasks[[#This Row],[Finish]],WorkWeek,Holidays),N(Tasks[[#This Row],[_Days]])))</f>
        <v/>
      </c>
      <c r="HF117" s="42">
        <f>IF(Tasks[[#This Row],[Expected]]="",0,((Tasks[[#This Row],[Pessimistic]]-Tasks[[#This Row],[Optimistic]])/6)^2)</f>
        <v/>
      </c>
      <c r="HG117" s="42">
        <f>IF(Tasks[[#This Row],[Expected]]="",0,Tasks[[#This Row],[Expected]]-N(Tasks[[#This Row],[_Days]]))</f>
        <v/>
      </c>
    </row>
    <row r="118">
      <c r="A118" s="21">
        <f>IF(Tasks[[#This Row],[Task Name]]="","",COUNTA(Tasks[[#Headers],[Task Name]]:Tasks[[#This Row],[Task Name]])-1)</f>
        <v/>
      </c>
      <c r="B118" s="22" t="n">
        <v>126</v>
      </c>
      <c r="C118" s="22" t="n"/>
      <c r="D118" s="23" t="n"/>
      <c r="E118" s="22" t="n"/>
      <c r="F118" s="23" t="n"/>
      <c r="G118" s="22" t="n"/>
      <c r="H118" s="22" t="n"/>
      <c r="I118" s="23" t="n"/>
      <c r="J118" s="22" t="n"/>
      <c r="K118" s="22" t="n"/>
      <c r="L118" s="23" t="n"/>
      <c r="M118" s="22" t="n"/>
      <c r="N118" s="22" t="n"/>
      <c r="O118" s="23" t="n"/>
      <c r="P118" s="22" t="n"/>
      <c r="Q118" s="22" t="n"/>
      <c r="R118" s="23" t="n"/>
      <c r="S118" s="23" t="n"/>
      <c r="T118" s="82" t="n"/>
      <c r="U118" s="23" t="n"/>
      <c r="V118" s="82" t="n"/>
      <c r="W118" s="23" t="n"/>
      <c r="X118" s="82" t="n"/>
      <c r="Y118" s="23" t="n"/>
      <c r="Z118" s="82" t="n"/>
      <c r="AA118" s="23" t="n"/>
      <c r="AB118" s="23" t="n"/>
      <c r="AC118" s="7" t="n"/>
      <c r="AD118" s="7" t="n"/>
      <c r="AE118" s="61">
        <f>IF(Tasks[[#This Row],[Task Name]]="","",IF(Tasks[[#This Row],[_IsSummary]],MIN(INDEX(Tasks[_ShownFcstStart],Tasks[[#This Row],[_Row]]+1):INDEX(Tasks[_ShownFcstStart],Tasks[[#This Row],[_Row]]+Tasks[[#This Row],[_Descendants]])),Tasks[[#This Row],[_ShownFcstStart]]))</f>
        <v/>
      </c>
      <c r="AF118" s="61">
        <f>IF(Tasks[[#This Row],[Task Name]]="","",IF(Tasks[[#This Row],[_IsSummary]],MAX(INDEX(Tasks[_ShownFcstFinish],Tasks[[#This Row],[_Row]]+1):INDEX(Tasks[_ShownFcstFinish],Tasks[[#This Row],[_Row]]+Tasks[[#This Row],[_Descendants]])),Tasks[[#This Row],[_ShownFcstFinish]]))</f>
        <v/>
      </c>
      <c r="AG118" s="21">
        <f>""</f>
        <v/>
      </c>
      <c r="AH118" s="23" t="n"/>
      <c r="AI11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8" s="7" t="n"/>
      <c r="AK118" s="22" t="n"/>
      <c r="AL118" s="23" t="n"/>
      <c r="AM118" s="7" t="n"/>
      <c r="AN118" s="21">
        <f>IF(Tasks[[#This Row],[Task Name]]="","",IF(Tasks[[#This Row],[Finish]]&gt;=Tasks[[#This Row],[Planned Finish]],NETWORKDAYS.INTL(Tasks[[#This Row],[Planned Finish]],Tasks[[#This Row],[Finish]],WorkWeek,Holidays)-1,1-NETWORKDAYS.INTL(Tasks[[#This Row],[Finish]],Tasks[[#This Row],[Planned Finish]],WorkWeek,Holidays)))</f>
        <v/>
      </c>
      <c r="AO118" s="21">
        <f>IF(Tasks[[#This Row],[Task Name]]="","",IF(Tasks[[#This Row],[Progress]]&gt;=1,"Complete",IF(OR(N(Tasks[[#This Row],[Actual Start]])&gt;0,Tasks[[#This Row],[Progress]]&gt;0),IF(Tasks[[#This Row],[Finish Var]]&gt;0,"Behind","In Progress"),IF(Tasks[[#This Row],[Planned Start]]&lt;StatusDate,"Late Start","Not Started"))))</f>
        <v/>
      </c>
      <c r="AP118" s="21">
        <f>IF(Tasks[[#This Row],[Task Name]]="","",IF(IF(Tasks[[#This Row],[_IsSummary]],COUNTIF(INDEX(Tasks[_LeafCritical],Tasks[[#This Row],[_Row]]+1):INDEX(Tasks[_LeafCritical],Tasks[[#This Row],[_Row]]+Tasks[[#This Row],[_Descendants]]),TRUE())&gt;0,Tasks[[#This Row],[_LeafCritical]]),"Yes",""))</f>
        <v/>
      </c>
      <c r="AQ118" s="61">
        <f>IF(Tasks[[#This Row],[Task Name]]="","",IF(N(Tasks[[#This Row],[Baseline Start]])&gt;0,Tasks[[#This Row],[Baseline Start]],Tasks[[#This Row],[_CalcStart]]))</f>
        <v/>
      </c>
      <c r="AR118" s="61">
        <f>IF(Tasks[[#This Row],[Task Name]]="","",IF(N(Tasks[[#This Row],[Baseline Finish]])&gt;0,Tasks[[#This Row],[Baseline Finish]],Tasks[[#This Row],[_CalcFinish]]))</f>
        <v/>
      </c>
      <c r="AS118" s="21">
        <f>IF(Tasks[[#This Row],[Task Name]]="","",IF(Tasks[[#This Row],[Start]]&gt;=Tasks[[#This Row],[Planned Start]],NETWORKDAYS.INTL(Tasks[[#This Row],[Planned Start]],Tasks[[#This Row],[Start]],WorkWeek,Holidays)-1,1-NETWORKDAYS.INTL(Tasks[[#This Row],[Start]],Tasks[[#This Row],[Planned Start]],WorkWeek,Holidays)))</f>
        <v/>
      </c>
      <c r="AT118" s="61">
        <f>IF(Tasks[[#This Row],[Task Name]]="","",IF(Tasks[[#This Row],[_IsSummary]],MIN(INDEX(Tasks[_LeafLateStart],Tasks[[#This Row],[_Row]]+1):INDEX(Tasks[_LeafLateStart],Tasks[[#This Row],[_Row]]+Tasks[[#This Row],[_Descendants]])),Tasks[[#This Row],[_LeafLateStart]]))</f>
        <v/>
      </c>
      <c r="AU118" s="61">
        <f>IF(Tasks[[#This Row],[Task Name]]="","",IF(Tasks[[#This Row],[_IsSummary]],MAX(INDEX(Tasks[_LeafLateFinish],Tasks[[#This Row],[_Row]]+1):INDEX(Tasks[_LeafLateFinish],Tasks[[#This Row],[_Row]]+Tasks[[#This Row],[_Descendants]])),Tasks[[#This Row],[_LeafLateFinish]]))</f>
        <v/>
      </c>
      <c r="AV118" s="21">
        <f>IF(Tasks[[#This Row],[Task Name]]="","",IF(Tasks[[#This Row],[_IsSummary]],MIN(INDEX(Tasks[_LeafTotalSlack],Tasks[[#This Row],[_Row]]+1):INDEX(Tasks[_LeafTotalSlack],Tasks[[#This Row],[_Row]]+Tasks[[#This Row],[_Descendants]])),Tasks[[#This Row],[_LeafTotalSlack]]))</f>
        <v/>
      </c>
      <c r="AW11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3" t="n"/>
      <c r="BA11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f>IF(Tasks[[#This Row],[Task Name]]="","",IF(Tasks[[#This Row],[_Level]]&lt;=OutlineShowLevel,"Yes","No"))</f>
        <v/>
      </c>
      <c r="BE118" s="84">
        <f>IF(Tasks[[#This Row],[Task Name]]="","",IF(Tasks[[#This Row],[_IsSummary]],SUM(INDEX(Tasks[_LeafTotalWork],Tasks[[#This Row],[_Row]]+1):INDEX(Tasks[_LeafTotalWork],Tasks[[#This Row],[_Row]]+Tasks[[#This Row],[_Descendants]])),Tasks[[#This Row],[_LeafTotalWork]]))</f>
        <v/>
      </c>
      <c r="BF118" s="23" t="n"/>
      <c r="BG11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f>""</f>
        <v/>
      </c>
      <c r="BI118" s="85" t="n"/>
      <c r="BJ118" s="22" t="n"/>
      <c r="BK118" s="21">
        <f>IF(OR(Tasks[[#This Row],[Task Name]]="",Tasks[[#This Row],[Baseline Duration]]=""),"",Tasks[[#This Row],[_SpanDays]]-N(Tasks[[#This Row],[Baseline Duration]]))</f>
        <v/>
      </c>
      <c r="BL118" s="84">
        <f>IF(OR(Tasks[[#This Row],[Task Name]]="",Tasks[[#This Row],[Baseline Work]]=""),"",Tasks[[#This Row],[Work]]-N(Tasks[[#This Row],[Baseline Work]]))</f>
        <v/>
      </c>
      <c r="BM118" s="61">
        <f>IF(Tasks[[#This Row],[Task Name]]="","",IF(OR(TakeBaseline="Yes",N(Tasks[[#This Row],[Baseline Start]])=0),Tasks[[#This Row],[Start]],Tasks[[#This Row],[Baseline Start]]))</f>
        <v/>
      </c>
      <c r="BN118" s="61">
        <f>IF(Tasks[[#This Row],[Task Name]]="","",IF(OR(TakeBaseline="Yes",N(Tasks[[#This Row],[Baseline Finish]])=0),Tasks[[#This Row],[Finish]],Tasks[[#This Row],[Baseline Finish]]))</f>
        <v/>
      </c>
      <c r="BO118" s="21">
        <f>IF(Tasks[[#This Row],[Task Name]]="","",IF(OR(TakeBaseline="Yes",N(Tasks[[#This Row],[Baseline Duration]])=0),Tasks[[#This Row],[_SpanDays]],Tasks[[#This Row],[Baseline Duration]]))</f>
        <v/>
      </c>
      <c r="BP118" s="84">
        <f>IF(Tasks[[#This Row],[Task Name]]="","",IF(OR(TakeBaseline="Yes",N(Tasks[[#This Row],[Baseline Work]])=0),Tasks[[#This Row],[Work]],Tasks[[#This Row],[Baseline Work]]))</f>
        <v/>
      </c>
      <c r="BQ118" s="7" t="n"/>
      <c r="BR118" s="7" t="n"/>
      <c r="BS118" s="22" t="n"/>
      <c r="BT118" s="86" t="n"/>
      <c r="BU118" s="23" t="n"/>
      <c r="BV118" s="23" t="n"/>
      <c r="BW118" s="23" t="n"/>
      <c r="BX118" s="87">
        <f>IF(AND(Tasks[[#This Row],[_IsLeaf]]=1,ISNUMBER(Tasks[[#This Row],[Optimistic]]),ISNUMBER(Tasks[[#This Row],[Pessimistic]])),ROUND((Tasks[[#This Row],[Optimistic]]+4*N(Tasks[[#This Row],[_Days]])+Tasks[[#This Row],[Pessimistic]])/6,1),"")</f>
        <v/>
      </c>
      <c r="BY118" s="85" t="n"/>
      <c r="BZ118" s="85" t="n"/>
      <c r="CA118" s="22" t="n"/>
      <c r="CB118" s="42">
        <f>IF(Tasks[[#This Row],[Task Name]]="","",MAX(1,N(Tasks[[#This Row],[Level]])))</f>
        <v/>
      </c>
      <c r="CC118" s="42">
        <f>ROW()-ROW(Tasks[[#Headers],[ID]])</f>
        <v/>
      </c>
      <c r="CD118" s="42">
        <f>IF(OR(Tasks[[#This Row],[Task Name]]="",Tasks[[#This Row],[_Level]]&lt;=1),0,IFERROR(LOOKUP(2,1/(Tasks[[#Headers],[_Level]]:Tasks[[#This Row],[_Level]]=Tasks[[#This Row],[_Level]]-1),ROW(Tasks[[#Headers],[_Level]]:Tasks[[#This Row],[_Level]])),0))</f>
        <v/>
      </c>
      <c r="CE118" s="42">
        <f>IFERROR(N(INDEX(Tasks[_Level],Tasks[[#This Row],[_Row]]+1)),0)</f>
        <v/>
      </c>
      <c r="CF118" s="42">
        <f>AND(Tasks[[#This Row],[Task Name]]&lt;&gt;"",Tasks[[#This Row],[_NextLevel]]&gt;Tasks[[#This Row],[_Level]])</f>
        <v/>
      </c>
      <c r="CG118" s="42">
        <f>IF(Tasks[[#This Row],[_IsSummary]],COUNTIF(Tasks[WBS],Tasks[[#This Row],[WBS]]&amp;".*"),0)</f>
        <v/>
      </c>
      <c r="CH118" s="42">
        <f>IF(AND(Tasks[[#This Row],[Task Name]]&lt;&gt;"",NOT(Tasks[[#This Row],[_IsSummary]])),1,0)</f>
        <v/>
      </c>
      <c r="CI118" s="42">
        <f>IF(N(Tasks[[#This Row],[_Pred1UID]])=0,0,IFERROR(MATCH(Tasks[[#This Row],[_Pred1UID]],Tasks[UID],0),-1))</f>
        <v/>
      </c>
      <c r="CJ118" s="42">
        <f>IF(N(Tasks[[#This Row],[_Pred2UID]])=0,0,IFERROR(MATCH(Tasks[[#This Row],[_Pred2UID]],Tasks[UID],0),-1))</f>
        <v/>
      </c>
      <c r="CK118" s="42">
        <f>IF(N(Tasks[[#This Row],[_Pred3UID]])=0,0,IFERROR(MATCH(Tasks[[#This Row],[_Pred3UID]],Tasks[UID],0),-1))</f>
        <v/>
      </c>
      <c r="CL118" s="42">
        <f>IF(N(Tasks[[#This Row],[_Pred4UID]])=0,0,IFERROR(MATCH(Tasks[[#This Row],[_Pred4UID]],Tasks[UID],0),-1))</f>
        <v/>
      </c>
      <c r="CM11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8" s="88">
        <f>IF(N(Tasks[[#This Row],[Constraint Date]])=0,0,IF(AND(OR(Tasks[[#This Row],[_ConstraintCode]]=3,Tasks[[#This Row],[_ConstraintCode]]=6,Tasks[[#This Row],[_ConstraintCode]]=7),N(Tasks[[#This Row],[_Days]])&gt;1),WORKDAY.INTL(N(Tasks[[#This Row],[Constraint Date]]),-(N(Tasks[[#This Row],[_Days]])-1),WorkWeek,Holidays),N(Tasks[[#This Row],[Constraint Date]])))</f>
        <v/>
      </c>
      <c r="CO118" s="88">
        <f>IF(OR(Tasks[[#This Row],[_ConstraintCode]]=2,Tasks[[#This Row],[_ConstraintCode]]=3,Tasks[[#This Row],[_ConstraintCode]]=4,Tasks[[#This Row],[_ConstraintCode]]=6),Tasks[[#This Row],[_ConstraintStart]],0)</f>
        <v/>
      </c>
      <c r="CP118" s="88">
        <f>IF(OR(Tasks[[#This Row],[_ConstraintCode]]=2,Tasks[[#This Row],[_ConstraintCode]]=3,Tasks[[#This Row],[_ConstraintCode]]=5,Tasks[[#This Row],[_ConstraintCode]]=7),Tasks[[#This Row],[_ConstraintStart]],2958465)</f>
        <v/>
      </c>
      <c r="CQ11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8" s="88">
        <f>IF(NOT(Tasks[[#This Row],[_IsLeaf]]=1),"",IF(N(Tasks[[#This Row],[_Days]])&lt;=0,Tasks[[#This Row],[_LeafCalcStart]],WORKDAY.INTL(Tasks[[#This Row],[_LeafCalcStart]],Tasks[[#This Row],[_Days]]-1,WorkWeek,Holidays)))</f>
        <v/>
      </c>
      <c r="CS11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8" s="42">
        <f>IF(Tasks[[#This Row],[_Predecessors]]="","",TRIM(MID(SUBSTITUTE(SUBSTITUTE(SUBSTITUTE(UPPER(Tasks[[#This Row],[_Predecessors]]),";",",")," ",""),",",REPT(" ",99)),1,99)))</f>
        <v/>
      </c>
      <c r="CV118" s="42">
        <f>IF(Tasks[[#This Row],[_Pred1Text]]="","",IFERROR(VALUE(LEFT(Tasks[[#This Row],[_Pred1Text]],MIN(FIND("F",Tasks[[#This Row],[_Pred1Text]]&amp;"F"),FIND("S",Tasks[[#This Row],[_Pred1Text]]&amp;"S"),FIND("+",Tasks[[#This Row],[_Pred1Text]]&amp;"+"),FIND("-",Tasks[[#This Row],[_Pred1Text]]&amp;"-"))-1)),""))</f>
        <v/>
      </c>
      <c r="CW11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8" s="42">
        <f>IF(Tasks[[#This Row],[_Pred1Text]]="","",TRIM(MID(SUBSTITUTE(SUBSTITUTE(SUBSTITUTE(UPPER(Tasks[[#This Row],[_Predecessors]]),";",",")," ",""),",",REPT(" ",99)),100,99)))</f>
        <v/>
      </c>
      <c r="CZ118" s="42">
        <f>IF(Tasks[[#This Row],[_Pred2Text]]="","",IFERROR(VALUE(LEFT(Tasks[[#This Row],[_Pred2Text]],MIN(FIND("F",Tasks[[#This Row],[_Pred2Text]]&amp;"F"),FIND("S",Tasks[[#This Row],[_Pred2Text]]&amp;"S"),FIND("+",Tasks[[#This Row],[_Pred2Text]]&amp;"+"),FIND("-",Tasks[[#This Row],[_Pred2Text]]&amp;"-"))-1)),""))</f>
        <v/>
      </c>
      <c r="DA11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8" s="42">
        <f>IF(Tasks[[#This Row],[_Pred2Text]]="","",TRIM(MID(SUBSTITUTE(SUBSTITUTE(SUBSTITUTE(UPPER(Tasks[[#This Row],[_Predecessors]]),";",",")," ",""),",",REPT(" ",99)),199,99)))</f>
        <v/>
      </c>
      <c r="DD118" s="42">
        <f>IF(Tasks[[#This Row],[_Pred3Text]]="","",IFERROR(VALUE(LEFT(Tasks[[#This Row],[_Pred3Text]],MIN(FIND("F",Tasks[[#This Row],[_Pred3Text]]&amp;"F"),FIND("S",Tasks[[#This Row],[_Pred3Text]]&amp;"S"),FIND("+",Tasks[[#This Row],[_Pred3Text]]&amp;"+"),FIND("-",Tasks[[#This Row],[_Pred3Text]]&amp;"-"))-1)),""))</f>
        <v/>
      </c>
      <c r="DE11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8" s="42">
        <f>IF(Tasks[[#This Row],[_Pred3Text]]="","",TRIM(MID(SUBSTITUTE(SUBSTITUTE(SUBSTITUTE(UPPER(Tasks[[#This Row],[_Predecessors]]),";",",")," ",""),",",REPT(" ",99)),298,99)))</f>
        <v/>
      </c>
      <c r="DH118" s="42">
        <f>IF(Tasks[[#This Row],[_Pred4Text]]="","",IFERROR(VALUE(LEFT(Tasks[[#This Row],[_Pred4Text]],MIN(FIND("F",Tasks[[#This Row],[_Pred4Text]]&amp;"F"),FIND("S",Tasks[[#This Row],[_Pred4Text]]&amp;"S"),FIND("+",Tasks[[#This Row],[_Pred4Text]]&amp;"+"),FIND("-",Tasks[[#This Row],[_Pred4Text]]&amp;"-"))-1)),""))</f>
        <v/>
      </c>
      <c r="DI11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8" s="42">
        <f>IF(OR(Tasks[[#This Row],[Task Name]]="",Tasks[[#This Row],[_Resources]]=""),"",TRIM(MID(SUBSTITUTE(Tasks[[#This Row],[_Resources]],",",REPT(" ",99)),1,99)))</f>
        <v/>
      </c>
      <c r="DL118" s="42">
        <f>IF(Tasks[[#This Row],[_Res1Text]]="","",TRIM(MID(SUBSTITUTE(Tasks[[#This Row],[_Resources]],",",REPT(" ",99)),100,99)))</f>
        <v/>
      </c>
      <c r="DM118" s="42">
        <f>IF(Tasks[[#This Row],[_Res2Text]]="","",TRIM(MID(SUBSTITUTE(Tasks[[#This Row],[_Resources]],",",REPT(" ",99)),199,99)))</f>
        <v/>
      </c>
      <c r="DN118" s="42">
        <f>IF(Tasks[[#This Row],[_Res3Text]]="","",TRIM(MID(SUBSTITUTE(Tasks[[#This Row],[_Resources]],",",REPT(" ",99)),298,99)))</f>
        <v/>
      </c>
      <c r="DO118" s="42">
        <f>IF(Tasks[[#This Row],[_Res1Text]]="",0,IFERROR(MATCH(TRIM(LEFT(Tasks[[#This Row],[_Res1Text]],FIND("[",Tasks[[#This Row],[_Res1Text]]&amp;"[")-1)),res_Name,0),IFERROR(MATCH(TRIM(LEFT(Tasks[[#This Row],[_Res1Text]],FIND("[",Tasks[[#This Row],[_Res1Text]]&amp;"[")-1)),res_Initials,0),0)))</f>
        <v/>
      </c>
      <c r="DP118" s="42">
        <f>IF(Tasks[[#This Row],[_Res2Text]]="",0,IFERROR(MATCH(TRIM(LEFT(Tasks[[#This Row],[_Res2Text]],FIND("[",Tasks[[#This Row],[_Res2Text]]&amp;"[")-1)),res_Name,0),IFERROR(MATCH(TRIM(LEFT(Tasks[[#This Row],[_Res2Text]],FIND("[",Tasks[[#This Row],[_Res2Text]]&amp;"[")-1)),res_Initials,0),0)))</f>
        <v/>
      </c>
      <c r="DQ118" s="42">
        <f>IF(Tasks[[#This Row],[_Res3Text]]="",0,IFERROR(MATCH(TRIM(LEFT(Tasks[[#This Row],[_Res3Text]],FIND("[",Tasks[[#This Row],[_Res3Text]]&amp;"[")-1)),res_Name,0),IFERROR(MATCH(TRIM(LEFT(Tasks[[#This Row],[_Res3Text]],FIND("[",Tasks[[#This Row],[_Res3Text]]&amp;"[")-1)),res_Initials,0),0)))</f>
        <v/>
      </c>
      <c r="DR118" s="42">
        <f>IF(Tasks[[#This Row],[_Res4Text]]="",0,IFERROR(MATCH(TRIM(LEFT(Tasks[[#This Row],[_Res4Text]],FIND("[",Tasks[[#This Row],[_Res4Text]]&amp;"[")-1)),res_Name,0),IFERROR(MATCH(TRIM(LEFT(Tasks[[#This Row],[_Res4Text]],FIND("[",Tasks[[#This Row],[_Res4Text]]&amp;"[")-1)),res_Initials,0),0)))</f>
        <v/>
      </c>
      <c r="DS118" s="42">
        <f>IF(Tasks[[#This Row],[_Res1Text]]="","",IF(Tasks[[#This Row],[_Res1Row]]&gt;0,INDEX(res_Name,Tasks[[#This Row],[_Res1Row]]),TRIM(LEFT(Tasks[[#This Row],[_Res1Text]],FIND("[",Tasks[[#This Row],[_Res1Text]]&amp;"[")-1))))</f>
        <v/>
      </c>
      <c r="DT11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8" s="42">
        <f>IF(NOT(Tasks[[#This Row],[_IsLeaf]]=1),0,(Tasks[[#This Row],[_Resource1]]&lt;&gt;"")+(Tasks[[#This Row],[_Res2]]&lt;&gt;"")+(Tasks[[#This Row],[_Res3]]&lt;&gt;"")+(Tasks[[#This Row],[_Res4]]&lt;&gt;""))</f>
        <v/>
      </c>
      <c r="DV118" s="42">
        <f>IF(Tasks[[#This Row],[_Res2Text]]="","",IF(Tasks[[#This Row],[_Res2Row]]&gt;0,INDEX(res_Name,Tasks[[#This Row],[_Res2Row]]),TRIM(LEFT(Tasks[[#This Row],[_Res2Text]],FIND("[",Tasks[[#This Row],[_Res2Text]]&amp;"[")-1))))</f>
        <v/>
      </c>
      <c r="DW11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8" s="42">
        <f>IF(OR(NOT(Tasks[[#This Row],[_IsLeaf]]=1),Tasks[[#This Row],[_Res2Row]]=0),0,N(Tasks[[#This Row],[_Days]])*HoursPerDay*IF(Tasks[[#This Row],[_Res2Units]]="",DefaultUnits,Tasks[[#This Row],[_Res2Units]]))</f>
        <v/>
      </c>
      <c r="DY118" s="42">
        <f>IF(AND(AND(Tasks[[#This Row],[_IsLeaf]]=1,Tasks[[#This Row],[_LeafTotalWork]]&gt;0),Tasks[[#This Row],[_Res2Work]]&gt;0),Tasks[[#This Row],[_Res2Work]]/(Tasks[[#This Row],[_FinishWorkday]]-Tasks[[#This Row],[_StartWorkday]]+1),0)</f>
        <v/>
      </c>
      <c r="DZ118" s="42">
        <f>Tasks[[#This Row],[_Res2WorkPerWD]]*MAX(0,Tasks[[#This Row],[_StartWorkday]]-1)</f>
        <v/>
      </c>
      <c r="EA118" s="42">
        <f>Tasks[[#This Row],[_Res2Work]]*Tasks[[#This Row],[_LeafProgress]]</f>
        <v/>
      </c>
      <c r="EB118" s="42">
        <f>IF(Tasks[[#This Row],[_Res3Text]]="","",IF(Tasks[[#This Row],[_Res3Row]]&gt;0,INDEX(res_Name,Tasks[[#This Row],[_Res3Row]]),TRIM(LEFT(Tasks[[#This Row],[_Res3Text]],FIND("[",Tasks[[#This Row],[_Res3Text]]&amp;"[")-1))))</f>
        <v/>
      </c>
      <c r="EC11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8" s="42">
        <f>IF(OR(NOT(Tasks[[#This Row],[_IsLeaf]]=1),Tasks[[#This Row],[_Res3Row]]=0),0,N(Tasks[[#This Row],[_Days]])*HoursPerDay*IF(Tasks[[#This Row],[_Res3Units]]="",DefaultUnits,Tasks[[#This Row],[_Res3Units]]))</f>
        <v/>
      </c>
      <c r="EE118" s="42">
        <f>IF(AND(AND(Tasks[[#This Row],[_IsLeaf]]=1,Tasks[[#This Row],[_LeafTotalWork]]&gt;0),Tasks[[#This Row],[_Res3Work]]&gt;0),Tasks[[#This Row],[_Res3Work]]/(Tasks[[#This Row],[_FinishWorkday]]-Tasks[[#This Row],[_StartWorkday]]+1),0)</f>
        <v/>
      </c>
      <c r="EF118" s="42">
        <f>Tasks[[#This Row],[_Res3WorkPerWD]]*MAX(0,Tasks[[#This Row],[_StartWorkday]]-1)</f>
        <v/>
      </c>
      <c r="EG118" s="42">
        <f>Tasks[[#This Row],[_Res3Work]]*Tasks[[#This Row],[_LeafProgress]]</f>
        <v/>
      </c>
      <c r="EH118" s="42">
        <f>IF(Tasks[[#This Row],[_Res4Text]]="","",IF(Tasks[[#This Row],[_Res4Row]]&gt;0,INDEX(res_Name,Tasks[[#This Row],[_Res4Row]]),TRIM(LEFT(Tasks[[#This Row],[_Res4Text]],FIND("[",Tasks[[#This Row],[_Res4Text]]&amp;"[")-1))))</f>
        <v/>
      </c>
      <c r="EI11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8" s="42">
        <f>IF(OR(NOT(Tasks[[#This Row],[_IsLeaf]]=1),Tasks[[#This Row],[_Res4Row]]=0),0,N(Tasks[[#This Row],[_Days]])*HoursPerDay*IF(Tasks[[#This Row],[_Res4Units]]="",DefaultUnits,Tasks[[#This Row],[_Res4Units]]))</f>
        <v/>
      </c>
      <c r="EK118" s="42">
        <f>IF(AND(AND(Tasks[[#This Row],[_IsLeaf]]=1,Tasks[[#This Row],[_LeafTotalWork]]&gt;0),Tasks[[#This Row],[_Res4Work]]&gt;0),Tasks[[#This Row],[_Res4Work]]/(Tasks[[#This Row],[_FinishWorkday]]-Tasks[[#This Row],[_StartWorkday]]+1),0)</f>
        <v/>
      </c>
      <c r="EL118" s="42">
        <f>Tasks[[#This Row],[_Res4WorkPerWD]]*MAX(0,Tasks[[#This Row],[_StartWorkday]]-1)</f>
        <v/>
      </c>
      <c r="EM118" s="42">
        <f>Tasks[[#This Row],[_Res4Work]]*Tasks[[#This Row],[_LeafProgress]]</f>
        <v/>
      </c>
      <c r="EN118" s="42">
        <f>IF(ISNUMBER(Tasks[[#This Row],[% Complete]]),Tasks[[#This Row],[% Complete]],IF(Tasks[[#This Row],[Stage]]="",0,IFERROR(INDEX(stg_Pct,MATCH(Tasks[[#This Row],[Stage]],stg_Name,0)),0)))</f>
        <v/>
      </c>
      <c r="EO118" s="42">
        <f>IF(NOT(Tasks[[#This Row],[_IsLeaf]]=1),0,IF(N(Tasks[[#This Row],[Actual Finish]])&gt;0,1,MIN(1,Tasks[[#This Row],[_Pct]])))</f>
        <v/>
      </c>
      <c r="EP118" s="42">
        <f>IF(OR(NOT(Tasks[[#This Row],[_IsLeaf]]=1),Tasks[[#This Row],[_Res1Row]]=0),0,N(Tasks[[#This Row],[_Days]])*HoursPerDay*IF(Tasks[[#This Row],[_Units1]]="",DefaultUnits,Tasks[[#This Row],[_Units1]]))</f>
        <v/>
      </c>
      <c r="EQ118" s="42">
        <f>Tasks[[#This Row],[_LeafWork]]+Tasks[[#This Row],[_Res2Work]]+Tasks[[#This Row],[_Res3Work]]+Tasks[[#This Row],[_Res4Work]]</f>
        <v/>
      </c>
      <c r="ER11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8" s="42">
        <f>IF(NOT(Tasks[[#This Row],[_IsLeaf]]=1),0,MAX(_xlfn.MAXIFS(Tasks[_Row],Tasks[_Pred1UID],Tasks[[#This Row],[UID]]),_xlfn.MAXIFS(Tasks[_Row],Tasks[_Pred2UID],Tasks[[#This Row],[UID]]),_xlfn.MAXIFS(Tasks[_Row],Tasks[_Pred3UID],Tasks[[#This Row],[UID]]),_xlfn.MAXIFS(Tasks[_Row],Tasks[_Pred4UID],Tasks[[#This Row],[UID]])))</f>
        <v/>
      </c>
      <c r="FA11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8" s="88">
        <f>IF(NOT(Tasks[[#This Row],[_IsLeaf]]=1),"",IF(N(Tasks[[#This Row],[_Days]])&lt;=0,Tasks[[#This Row],[_LeafLateFinish]],WORKDAY.INTL(Tasks[[#This Row],[_LeafLateFinish]],-(Tasks[[#This Row],[_Days]]-1),WorkWeek,Holidays)))</f>
        <v/>
      </c>
      <c r="FD11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8" s="42">
        <f>AND(Tasks[[#This Row],[_IsLeaf]]=1,Tasks[[#This Row],[_LeafProgress]]&lt;1,N(Tasks[[#This Row],[_LeafTotalSlack]])&lt;=CriticalSlackDays)</f>
        <v/>
      </c>
      <c r="FF118" s="42">
        <f>IF(AND(Tasks[[#This Row],[_IsLeaf]]=1,Tasks[[#This Row],[_ConstraintCode]]=1,Tasks[[#This Row],[Mode]]&lt;&gt;"Manual",N(Tasks[[#This Row],[Actual Start]])=0),MAX(0,N(Tasks[[#This Row],[Free Slack]])),0)</f>
        <v/>
      </c>
      <c r="FG118" s="88">
        <f>IF(NOT(Tasks[[#This Row],[_IsLeaf]]=1),"",IF(Tasks[[#This Row],[_AlapShift]]=0,Tasks[[#This Row],[_LeafCalcStart]],WORKDAY.INTL(Tasks[[#This Row],[_LeafCalcStart]],Tasks[[#This Row],[_AlapShift]],WorkWeek,Holidays)))</f>
        <v/>
      </c>
      <c r="FH118" s="88">
        <f>IF(NOT(Tasks[[#This Row],[_IsLeaf]]=1),"",IF(Tasks[[#This Row],[_AlapShift]]=0,Tasks[[#This Row],[_LeafCalcFinish]],WORKDAY.INTL(Tasks[[#This Row],[_LeafCalcFinish]],Tasks[[#This Row],[_AlapShift]],WorkWeek,Holidays)))</f>
        <v/>
      </c>
      <c r="FI118" s="88">
        <f>IF(NOT(Tasks[[#This Row],[_IsLeaf]]=1),"",IF(Tasks[[#This Row],[_AlapShift]]=0,Tasks[[#This Row],[_LeafFcstStart]],WORKDAY.INTL(Tasks[[#This Row],[_LeafFcstStart]],Tasks[[#This Row],[_AlapShift]],WorkWeek,Holidays)))</f>
        <v/>
      </c>
      <c r="FJ118" s="88">
        <f>IF(NOT(Tasks[[#This Row],[_IsLeaf]]=1),"",IF(Tasks[[#This Row],[_AlapShift]]=0,Tasks[[#This Row],[_LeafFcstFinish]],WORKDAY.INTL(Tasks[[#This Row],[_LeafFcstFinish]],Tasks[[#This Row],[_AlapShift]],WorkWeek,Holidays)))</f>
        <v/>
      </c>
      <c r="FK118" s="88">
        <f>IF(Tasks[[#This Row],[Task Name]]="","",IF(Tasks[[#This Row],[_IsSummary]],MIN(INDEX(Tasks[_ShownCalcStart],Tasks[[#This Row],[_Row]]+1):INDEX(Tasks[_ShownCalcStart],Tasks[[#This Row],[_Row]]+Tasks[[#This Row],[_Descendants]])),Tasks[[#This Row],[_ShownCalcStart]]))</f>
        <v/>
      </c>
      <c r="FL118" s="88">
        <f>IF(Tasks[[#This Row],[Task Name]]="","",IF(Tasks[[#This Row],[_IsSummary]],MAX(INDEX(Tasks[_ShownCalcFinish],Tasks[[#This Row],[_Row]]+1):INDEX(Tasks[_ShownCalcFinish],Tasks[[#This Row],[_Row]]+Tasks[[#This Row],[_Descendants]])),Tasks[[#This Row],[_ShownCalcFinish]]))</f>
        <v/>
      </c>
      <c r="FM11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8" s="42">
        <f>IF(AND(Tasks[[#This Row],[_IsLeaf]]=1,Tasks[[#This Row],[_LeafTotalWork]]&gt;0),NETWORKDAYS.INTL(ProjectStart,Tasks[[#This Row],[_ShownFcstStart]],WorkWeek,Holidays),0)</f>
        <v/>
      </c>
      <c r="FZ118" s="42">
        <f>IF(AND(Tasks[[#This Row],[_IsLeaf]]=1,Tasks[[#This Row],[_LeafTotalWork]]&gt;0),MAX(Tasks[[#This Row],[_StartWorkday]],NETWORKDAYS.INTL(ProjectStart,Tasks[[#This Row],[_ShownFcstFinish]],WorkWeek,Holidays)),0)</f>
        <v/>
      </c>
      <c r="GA118" s="42">
        <f>IF(AND(Tasks[[#This Row],[_IsLeaf]]=1,Tasks[[#This Row],[_LeafTotalWork]]&gt;0),Tasks[[#This Row],[_LeafWork]]/(Tasks[[#This Row],[_FinishWorkday]]-Tasks[[#This Row],[_StartWorkday]]+1),0)</f>
        <v/>
      </c>
      <c r="GB118" s="42">
        <f>Tasks[[#This Row],[_WorkPerWorkday]]*(Tasks[[#This Row],[_StartWorkday]]-1)</f>
        <v/>
      </c>
      <c r="GC118" s="42">
        <f>IF(Tasks[[#This Row],[_IsLeaf]]=1,MAX(N(Tasks[[#This Row],[_Days]]),0.1),0)</f>
        <v/>
      </c>
      <c r="GD118" s="42">
        <f>Tasks[[#This Row],[_WeightDur]]*Tasks[[#This Row],[_LeafProgress]]</f>
        <v/>
      </c>
      <c r="GE118" s="42">
        <f>Tasks[[#This Row],[_WeightDur]]*Tasks[[#This Row],[_PlannedPct]]</f>
        <v/>
      </c>
      <c r="GF11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8" s="42">
        <f>IF(AND(Tasks[[#This Row],[_IsLeaf]]=1,N(Tasks[[#This Row],[_Days]])=0,Tasks[[#This Row],[_LeafProgress]]&lt;1),Tasks[[#This Row],[_ShownFcstFinish]]+Tasks[[#This Row],[_Row]]/100000,"")</f>
        <v/>
      </c>
      <c r="GH11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8" s="42">
        <f>IF(Tasks[[#This Row],[Task Name]]="","",LEFT(Tasks[[#This Row],[WBS]],FIND(".",Tasks[[#This Row],[WBS]]&amp;".")-1))</f>
        <v/>
      </c>
      <c r="GJ118" s="42">
        <f>IF(AND(Tasks[[#This Row],[Task Name]]&lt;&gt;"",Tasks[[#This Row],[_Level]]=1),Tasks[[#This Row],[_Row]],"")</f>
        <v/>
      </c>
      <c r="GK118" s="42">
        <f>IF(AND(Tasks[[#This Row],[_IsLeaf]]=1,N(Tasks[[#This Row],[_Days]])=0),Tasks[[#This Row],[Planned Finish]]+Tasks[[#This Row],[_Row]]/100000,"")</f>
        <v/>
      </c>
      <c r="GL118" s="42">
        <f>IF(AND(Tasks[[#This Row],[_IsLeaf]]=1,Tasks[[#This Row],[_LeafProgress]]&lt;1,OR(N(Tasks[[#This Row],[Finish Var]])&gt;0,Tasks[[#This Row],[Status]]="Late Start")),MAX(0,Tasks[[#This Row],[Finish Var]])+1-Tasks[[#This Row],[_Row]]/1000000,"")</f>
        <v/>
      </c>
      <c r="GM118" s="42">
        <f>IF(AND(Tasks[[#This Row],[_IsLeaf]]=1,N(Tasks[[#This Row],[Actual Start]])=0,Tasks[[#This Row],[_ShownFcstStart]]&gt;=StatusDate,Tasks[[#This Row],[_ShownFcstStart]]&lt;=LookaheadEnd),Tasks[[#This Row],[_ShownFcstStart]]+Tasks[[#This Row],[_Row]]/100000,"")</f>
        <v/>
      </c>
      <c r="GN118" s="42">
        <f>IF(AND(Tasks[[#This Row],[_IsLeaf]]=1,Tasks[[#This Row],[_LeafProgress]]&lt;1,Tasks[[#This Row],[_ShownFcstFinish]]&gt;=StatusDate,Tasks[[#This Row],[_ShownFcstFinish]]&lt;=LookaheadEnd),Tasks[[#This Row],[_ShownFcstFinish]]+Tasks[[#This Row],[_Row]]/100000,"")</f>
        <v/>
      </c>
      <c r="GO118" s="42">
        <f>IF(Tasks[[#This Row],[_LeafCritical]],Tasks[[#This Row],[_ShownFcstStart]]+Tasks[[#This Row],[_Row]]/100000,"")</f>
        <v/>
      </c>
      <c r="GP118" s="42">
        <f>Tasks[[#This Row],[_LeafWork]]*Tasks[[#This Row],[_LeafProgress]]</f>
        <v/>
      </c>
      <c r="GQ118" s="88">
        <f>IF(AND(Tasks[[#This Row],[_IsLeaf]]=1,Tasks[[#This Row],[_LeafProgress]]&gt;=1),IF(N(Tasks[[#This Row],[Actual Finish]])&gt;0,Tasks[[#This Row],[Actual Finish]],Tasks[[#This Row],[_ShownFcstFinish]]),"")</f>
        <v/>
      </c>
      <c r="GR118" s="42">
        <f>IF(Tasks[[#This Row],[_IsLeaf]]=1,N(Tasks[[#This Row],[Story Points]]),0)</f>
        <v/>
      </c>
      <c r="GS118" s="42">
        <f>""</f>
        <v/>
      </c>
      <c r="GT118" s="42">
        <f>IF(Tasks[[#This Row],[Task Name]]="",FALSE(),AND(Tasks[[#This Row],[_IsLeaf]]=1,N(Tasks[[#This Row],[_Days]])=0))</f>
        <v/>
      </c>
      <c r="GU118" s="88">
        <f>IF(Tasks[[#This Row],[Task Name]]="",0,IF(AND(Tasks[[#This Row],[_IsLeaf]]=1,NOT(Tasks[[#This Row],[_IsMilestone]]),N(Tasks[[#This Row],[Progress]])&gt;0),Tasks[[#This Row],[Start]],0))</f>
        <v/>
      </c>
      <c r="GV118" s="88">
        <f>IF(Tasks[[#This Row],[_DoneFrom]]=0,0,IF(Tasks[[#This Row],[Progress]]&gt;=1,Tasks[[#This Row],[Finish]],MAX(Tasks[[#This Row],[_DoneFrom]],Tasks[[#This Row],[Start]]+ROUND((Tasks[[#This Row],[Finish]]-Tasks[[#This Row],[Start]]+1)*Tasks[[#This Row],[Progress]],0)-1)))</f>
        <v/>
      </c>
      <c r="GW118" s="88">
        <f>IF(Tasks[[#This Row],[Task Name]]="",0,IF(OR(NOT(Tasks[[#This Row],[_IsLeaf]]=1),Tasks[[#This Row],[_IsMilestone]],N(Tasks[[#This Row],[Progress]])&gt;=1),0,IF(Tasks[[#This Row],[_DoneTo]]&gt;0,Tasks[[#This Row],[_DoneTo]]+1,Tasks[[#This Row],[Start]])))</f>
        <v/>
      </c>
      <c r="GX118" s="88">
        <f>IF(Tasks[[#This Row],[_RemFrom]]=0,0,Tasks[[#This Row],[Finish]])</f>
        <v/>
      </c>
      <c r="GY118" s="42">
        <f>IF(Tasks[[#This Row],[Task Name]]="",FALSE(),OR(NOT(BaselineSet),N(Tasks[[#This Row],[Baseline Start]])&gt;0))</f>
        <v/>
      </c>
      <c r="GZ118" s="42">
        <f>IF(AND(Sandbox="Yes",L_PARSE_DURATION(Tasks[[#This Row],[Sandbox Duration]])&lt;&gt;""),L_PARSE_DURATION(Tasks[[#This Row],[Sandbox Duration]]),L_PARSE_DURATION(Tasks[[#This Row],[Duration]]))</f>
        <v/>
      </c>
      <c r="HA11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8" s="42">
        <f>IF(Tasks[[#This Row],[_IsLeaf]]=1,Tasks[[#This Row],[_Row]],"")</f>
        <v/>
      </c>
      <c r="HD118" s="42">
        <f>IFERROR(INDEX(Tasks[UID],SMALL(Tasks[_PickKey],Tasks[[#This Row],[_Row]]))&amp;" "&amp;INDEX(Tasks[Task Name],SMALL(Tasks[_PickKey],Tasks[[#This Row],[_Row]])),"")</f>
        <v/>
      </c>
      <c r="HE118" s="42">
        <f>IF(Tasks[[#This Row],[Task Name]]="","",IF(Tasks[[#This Row],[_IsSummary]],NETWORKDAYS.INTL(Tasks[[#This Row],[Start]],Tasks[[#This Row],[Finish]],WorkWeek,Holidays),N(Tasks[[#This Row],[_Days]])))</f>
        <v/>
      </c>
      <c r="HF118" s="42">
        <f>IF(Tasks[[#This Row],[Expected]]="",0,((Tasks[[#This Row],[Pessimistic]]-Tasks[[#This Row],[Optimistic]])/6)^2)</f>
        <v/>
      </c>
      <c r="HG118" s="42">
        <f>IF(Tasks[[#This Row],[Expected]]="",0,Tasks[[#This Row],[Expected]]-N(Tasks[[#This Row],[_Days]]))</f>
        <v/>
      </c>
    </row>
    <row r="119">
      <c r="A119" s="21">
        <f>IF(Tasks[[#This Row],[Task Name]]="","",COUNTA(Tasks[[#Headers],[Task Name]]:Tasks[[#This Row],[Task Name]])-1)</f>
        <v/>
      </c>
      <c r="B119" s="22" t="n">
        <v>127</v>
      </c>
      <c r="C119" s="22" t="n"/>
      <c r="D119" s="23" t="n"/>
      <c r="E119" s="22" t="n"/>
      <c r="F119" s="23" t="n"/>
      <c r="G119" s="22" t="n"/>
      <c r="H119" s="22" t="n"/>
      <c r="I119" s="23" t="n"/>
      <c r="J119" s="22" t="n"/>
      <c r="K119" s="22" t="n"/>
      <c r="L119" s="23" t="n"/>
      <c r="M119" s="22" t="n"/>
      <c r="N119" s="22" t="n"/>
      <c r="O119" s="23" t="n"/>
      <c r="P119" s="22" t="n"/>
      <c r="Q119" s="22" t="n"/>
      <c r="R119" s="23" t="n"/>
      <c r="S119" s="23" t="n"/>
      <c r="T119" s="82" t="n"/>
      <c r="U119" s="23" t="n"/>
      <c r="V119" s="82" t="n"/>
      <c r="W119" s="23" t="n"/>
      <c r="X119" s="82" t="n"/>
      <c r="Y119" s="23" t="n"/>
      <c r="Z119" s="82" t="n"/>
      <c r="AA119" s="23" t="n"/>
      <c r="AB119" s="23" t="n"/>
      <c r="AC119" s="7" t="n"/>
      <c r="AD119" s="7" t="n"/>
      <c r="AE119" s="61">
        <f>IF(Tasks[[#This Row],[Task Name]]="","",IF(Tasks[[#This Row],[_IsSummary]],MIN(INDEX(Tasks[_ShownFcstStart],Tasks[[#This Row],[_Row]]+1):INDEX(Tasks[_ShownFcstStart],Tasks[[#This Row],[_Row]]+Tasks[[#This Row],[_Descendants]])),Tasks[[#This Row],[_ShownFcstStart]]))</f>
        <v/>
      </c>
      <c r="AF119" s="61">
        <f>IF(Tasks[[#This Row],[Task Name]]="","",IF(Tasks[[#This Row],[_IsSummary]],MAX(INDEX(Tasks[_ShownFcstFinish],Tasks[[#This Row],[_Row]]+1):INDEX(Tasks[_ShownFcstFinish],Tasks[[#This Row],[_Row]]+Tasks[[#This Row],[_Descendants]])),Tasks[[#This Row],[_ShownFcstFinish]]))</f>
        <v/>
      </c>
      <c r="AG119" s="21">
        <f>""</f>
        <v/>
      </c>
      <c r="AH119" s="23" t="n"/>
      <c r="AI11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19" s="7" t="n"/>
      <c r="AK119" s="22" t="n"/>
      <c r="AL119" s="23" t="n"/>
      <c r="AM119" s="7" t="n"/>
      <c r="AN119" s="21">
        <f>IF(Tasks[[#This Row],[Task Name]]="","",IF(Tasks[[#This Row],[Finish]]&gt;=Tasks[[#This Row],[Planned Finish]],NETWORKDAYS.INTL(Tasks[[#This Row],[Planned Finish]],Tasks[[#This Row],[Finish]],WorkWeek,Holidays)-1,1-NETWORKDAYS.INTL(Tasks[[#This Row],[Finish]],Tasks[[#This Row],[Planned Finish]],WorkWeek,Holidays)))</f>
        <v/>
      </c>
      <c r="AO119" s="21">
        <f>IF(Tasks[[#This Row],[Task Name]]="","",IF(Tasks[[#This Row],[Progress]]&gt;=1,"Complete",IF(OR(N(Tasks[[#This Row],[Actual Start]])&gt;0,Tasks[[#This Row],[Progress]]&gt;0),IF(Tasks[[#This Row],[Finish Var]]&gt;0,"Behind","In Progress"),IF(Tasks[[#This Row],[Planned Start]]&lt;StatusDate,"Late Start","Not Started"))))</f>
        <v/>
      </c>
      <c r="AP119" s="21">
        <f>IF(Tasks[[#This Row],[Task Name]]="","",IF(IF(Tasks[[#This Row],[_IsSummary]],COUNTIF(INDEX(Tasks[_LeafCritical],Tasks[[#This Row],[_Row]]+1):INDEX(Tasks[_LeafCritical],Tasks[[#This Row],[_Row]]+Tasks[[#This Row],[_Descendants]]),TRUE())&gt;0,Tasks[[#This Row],[_LeafCritical]]),"Yes",""))</f>
        <v/>
      </c>
      <c r="AQ119" s="61">
        <f>IF(Tasks[[#This Row],[Task Name]]="","",IF(N(Tasks[[#This Row],[Baseline Start]])&gt;0,Tasks[[#This Row],[Baseline Start]],Tasks[[#This Row],[_CalcStart]]))</f>
        <v/>
      </c>
      <c r="AR119" s="61">
        <f>IF(Tasks[[#This Row],[Task Name]]="","",IF(N(Tasks[[#This Row],[Baseline Finish]])&gt;0,Tasks[[#This Row],[Baseline Finish]],Tasks[[#This Row],[_CalcFinish]]))</f>
        <v/>
      </c>
      <c r="AS119" s="21">
        <f>IF(Tasks[[#This Row],[Task Name]]="","",IF(Tasks[[#This Row],[Start]]&gt;=Tasks[[#This Row],[Planned Start]],NETWORKDAYS.INTL(Tasks[[#This Row],[Planned Start]],Tasks[[#This Row],[Start]],WorkWeek,Holidays)-1,1-NETWORKDAYS.INTL(Tasks[[#This Row],[Start]],Tasks[[#This Row],[Planned Start]],WorkWeek,Holidays)))</f>
        <v/>
      </c>
      <c r="AT119" s="61">
        <f>IF(Tasks[[#This Row],[Task Name]]="","",IF(Tasks[[#This Row],[_IsSummary]],MIN(INDEX(Tasks[_LeafLateStart],Tasks[[#This Row],[_Row]]+1):INDEX(Tasks[_LeafLateStart],Tasks[[#This Row],[_Row]]+Tasks[[#This Row],[_Descendants]])),Tasks[[#This Row],[_LeafLateStart]]))</f>
        <v/>
      </c>
      <c r="AU119" s="61">
        <f>IF(Tasks[[#This Row],[Task Name]]="","",IF(Tasks[[#This Row],[_IsSummary]],MAX(INDEX(Tasks[_LeafLateFinish],Tasks[[#This Row],[_Row]]+1):INDEX(Tasks[_LeafLateFinish],Tasks[[#This Row],[_Row]]+Tasks[[#This Row],[_Descendants]])),Tasks[[#This Row],[_LeafLateFinish]]))</f>
        <v/>
      </c>
      <c r="AV119" s="21">
        <f>IF(Tasks[[#This Row],[Task Name]]="","",IF(Tasks[[#This Row],[_IsSummary]],MIN(INDEX(Tasks[_LeafTotalSlack],Tasks[[#This Row],[_Row]]+1):INDEX(Tasks[_LeafTotalSlack],Tasks[[#This Row],[_Row]]+Tasks[[#This Row],[_Descendants]])),Tasks[[#This Row],[_LeafTotalSlack]]))</f>
        <v/>
      </c>
      <c r="AW11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3" t="n"/>
      <c r="BA11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f>IF(Tasks[[#This Row],[Task Name]]="","",IF(Tasks[[#This Row],[_Level]]&lt;=OutlineShowLevel,"Yes","No"))</f>
        <v/>
      </c>
      <c r="BE119" s="84">
        <f>IF(Tasks[[#This Row],[Task Name]]="","",IF(Tasks[[#This Row],[_IsSummary]],SUM(INDEX(Tasks[_LeafTotalWork],Tasks[[#This Row],[_Row]]+1):INDEX(Tasks[_LeafTotalWork],Tasks[[#This Row],[_Row]]+Tasks[[#This Row],[_Descendants]])),Tasks[[#This Row],[_LeafTotalWork]]))</f>
        <v/>
      </c>
      <c r="BF119" s="23" t="n"/>
      <c r="BG11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f>""</f>
        <v/>
      </c>
      <c r="BI119" s="85" t="n"/>
      <c r="BJ119" s="22" t="n"/>
      <c r="BK119" s="21">
        <f>IF(OR(Tasks[[#This Row],[Task Name]]="",Tasks[[#This Row],[Baseline Duration]]=""),"",Tasks[[#This Row],[_SpanDays]]-N(Tasks[[#This Row],[Baseline Duration]]))</f>
        <v/>
      </c>
      <c r="BL119" s="84">
        <f>IF(OR(Tasks[[#This Row],[Task Name]]="",Tasks[[#This Row],[Baseline Work]]=""),"",Tasks[[#This Row],[Work]]-N(Tasks[[#This Row],[Baseline Work]]))</f>
        <v/>
      </c>
      <c r="BM119" s="61">
        <f>IF(Tasks[[#This Row],[Task Name]]="","",IF(OR(TakeBaseline="Yes",N(Tasks[[#This Row],[Baseline Start]])=0),Tasks[[#This Row],[Start]],Tasks[[#This Row],[Baseline Start]]))</f>
        <v/>
      </c>
      <c r="BN119" s="61">
        <f>IF(Tasks[[#This Row],[Task Name]]="","",IF(OR(TakeBaseline="Yes",N(Tasks[[#This Row],[Baseline Finish]])=0),Tasks[[#This Row],[Finish]],Tasks[[#This Row],[Baseline Finish]]))</f>
        <v/>
      </c>
      <c r="BO119" s="21">
        <f>IF(Tasks[[#This Row],[Task Name]]="","",IF(OR(TakeBaseline="Yes",N(Tasks[[#This Row],[Baseline Duration]])=0),Tasks[[#This Row],[_SpanDays]],Tasks[[#This Row],[Baseline Duration]]))</f>
        <v/>
      </c>
      <c r="BP119" s="84">
        <f>IF(Tasks[[#This Row],[Task Name]]="","",IF(OR(TakeBaseline="Yes",N(Tasks[[#This Row],[Baseline Work]])=0),Tasks[[#This Row],[Work]],Tasks[[#This Row],[Baseline Work]]))</f>
        <v/>
      </c>
      <c r="BQ119" s="7" t="n"/>
      <c r="BR119" s="7" t="n"/>
      <c r="BS119" s="22" t="n"/>
      <c r="BT119" s="86" t="n"/>
      <c r="BU119" s="23" t="n"/>
      <c r="BV119" s="23" t="n"/>
      <c r="BW119" s="23" t="n"/>
      <c r="BX119" s="87">
        <f>IF(AND(Tasks[[#This Row],[_IsLeaf]]=1,ISNUMBER(Tasks[[#This Row],[Optimistic]]),ISNUMBER(Tasks[[#This Row],[Pessimistic]])),ROUND((Tasks[[#This Row],[Optimistic]]+4*N(Tasks[[#This Row],[_Days]])+Tasks[[#This Row],[Pessimistic]])/6,1),"")</f>
        <v/>
      </c>
      <c r="BY119" s="85" t="n"/>
      <c r="BZ119" s="85" t="n"/>
      <c r="CA119" s="22" t="n"/>
      <c r="CB119" s="42">
        <f>IF(Tasks[[#This Row],[Task Name]]="","",MAX(1,N(Tasks[[#This Row],[Level]])))</f>
        <v/>
      </c>
      <c r="CC119" s="42">
        <f>ROW()-ROW(Tasks[[#Headers],[ID]])</f>
        <v/>
      </c>
      <c r="CD119" s="42">
        <f>IF(OR(Tasks[[#This Row],[Task Name]]="",Tasks[[#This Row],[_Level]]&lt;=1),0,IFERROR(LOOKUP(2,1/(Tasks[[#Headers],[_Level]]:Tasks[[#This Row],[_Level]]=Tasks[[#This Row],[_Level]]-1),ROW(Tasks[[#Headers],[_Level]]:Tasks[[#This Row],[_Level]])),0))</f>
        <v/>
      </c>
      <c r="CE119" s="42">
        <f>IFERROR(N(INDEX(Tasks[_Level],Tasks[[#This Row],[_Row]]+1)),0)</f>
        <v/>
      </c>
      <c r="CF119" s="42">
        <f>AND(Tasks[[#This Row],[Task Name]]&lt;&gt;"",Tasks[[#This Row],[_NextLevel]]&gt;Tasks[[#This Row],[_Level]])</f>
        <v/>
      </c>
      <c r="CG119" s="42">
        <f>IF(Tasks[[#This Row],[_IsSummary]],COUNTIF(Tasks[WBS],Tasks[[#This Row],[WBS]]&amp;".*"),0)</f>
        <v/>
      </c>
      <c r="CH119" s="42">
        <f>IF(AND(Tasks[[#This Row],[Task Name]]&lt;&gt;"",NOT(Tasks[[#This Row],[_IsSummary]])),1,0)</f>
        <v/>
      </c>
      <c r="CI119" s="42">
        <f>IF(N(Tasks[[#This Row],[_Pred1UID]])=0,0,IFERROR(MATCH(Tasks[[#This Row],[_Pred1UID]],Tasks[UID],0),-1))</f>
        <v/>
      </c>
      <c r="CJ119" s="42">
        <f>IF(N(Tasks[[#This Row],[_Pred2UID]])=0,0,IFERROR(MATCH(Tasks[[#This Row],[_Pred2UID]],Tasks[UID],0),-1))</f>
        <v/>
      </c>
      <c r="CK119" s="42">
        <f>IF(N(Tasks[[#This Row],[_Pred3UID]])=0,0,IFERROR(MATCH(Tasks[[#This Row],[_Pred3UID]],Tasks[UID],0),-1))</f>
        <v/>
      </c>
      <c r="CL119" s="42">
        <f>IF(N(Tasks[[#This Row],[_Pred4UID]])=0,0,IFERROR(MATCH(Tasks[[#This Row],[_Pred4UID]],Tasks[UID],0),-1))</f>
        <v/>
      </c>
      <c r="CM11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9" s="88">
        <f>IF(N(Tasks[[#This Row],[Constraint Date]])=0,0,IF(AND(OR(Tasks[[#This Row],[_ConstraintCode]]=3,Tasks[[#This Row],[_ConstraintCode]]=6,Tasks[[#This Row],[_ConstraintCode]]=7),N(Tasks[[#This Row],[_Days]])&gt;1),WORKDAY.INTL(N(Tasks[[#This Row],[Constraint Date]]),-(N(Tasks[[#This Row],[_Days]])-1),WorkWeek,Holidays),N(Tasks[[#This Row],[Constraint Date]])))</f>
        <v/>
      </c>
      <c r="CO119" s="88">
        <f>IF(OR(Tasks[[#This Row],[_ConstraintCode]]=2,Tasks[[#This Row],[_ConstraintCode]]=3,Tasks[[#This Row],[_ConstraintCode]]=4,Tasks[[#This Row],[_ConstraintCode]]=6),Tasks[[#This Row],[_ConstraintStart]],0)</f>
        <v/>
      </c>
      <c r="CP119" s="88">
        <f>IF(OR(Tasks[[#This Row],[_ConstraintCode]]=2,Tasks[[#This Row],[_ConstraintCode]]=3,Tasks[[#This Row],[_ConstraintCode]]=5,Tasks[[#This Row],[_ConstraintCode]]=7),Tasks[[#This Row],[_ConstraintStart]],2958465)</f>
        <v/>
      </c>
      <c r="CQ11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9" s="88">
        <f>IF(NOT(Tasks[[#This Row],[_IsLeaf]]=1),"",IF(N(Tasks[[#This Row],[_Days]])&lt;=0,Tasks[[#This Row],[_LeafCalcStart]],WORKDAY.INTL(Tasks[[#This Row],[_LeafCalcStart]],Tasks[[#This Row],[_Days]]-1,WorkWeek,Holidays)))</f>
        <v/>
      </c>
      <c r="CS11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9" s="42">
        <f>IF(Tasks[[#This Row],[_Predecessors]]="","",TRIM(MID(SUBSTITUTE(SUBSTITUTE(SUBSTITUTE(UPPER(Tasks[[#This Row],[_Predecessors]]),";",",")," ",""),",",REPT(" ",99)),1,99)))</f>
        <v/>
      </c>
      <c r="CV119" s="42">
        <f>IF(Tasks[[#This Row],[_Pred1Text]]="","",IFERROR(VALUE(LEFT(Tasks[[#This Row],[_Pred1Text]],MIN(FIND("F",Tasks[[#This Row],[_Pred1Text]]&amp;"F"),FIND("S",Tasks[[#This Row],[_Pred1Text]]&amp;"S"),FIND("+",Tasks[[#This Row],[_Pred1Text]]&amp;"+"),FIND("-",Tasks[[#This Row],[_Pred1Text]]&amp;"-"))-1)),""))</f>
        <v/>
      </c>
      <c r="CW11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9" s="42">
        <f>IF(Tasks[[#This Row],[_Pred1Text]]="","",TRIM(MID(SUBSTITUTE(SUBSTITUTE(SUBSTITUTE(UPPER(Tasks[[#This Row],[_Predecessors]]),";",",")," ",""),",",REPT(" ",99)),100,99)))</f>
        <v/>
      </c>
      <c r="CZ119" s="42">
        <f>IF(Tasks[[#This Row],[_Pred2Text]]="","",IFERROR(VALUE(LEFT(Tasks[[#This Row],[_Pred2Text]],MIN(FIND("F",Tasks[[#This Row],[_Pred2Text]]&amp;"F"),FIND("S",Tasks[[#This Row],[_Pred2Text]]&amp;"S"),FIND("+",Tasks[[#This Row],[_Pred2Text]]&amp;"+"),FIND("-",Tasks[[#This Row],[_Pred2Text]]&amp;"-"))-1)),""))</f>
        <v/>
      </c>
      <c r="DA11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9" s="42">
        <f>IF(Tasks[[#This Row],[_Pred2Text]]="","",TRIM(MID(SUBSTITUTE(SUBSTITUTE(SUBSTITUTE(UPPER(Tasks[[#This Row],[_Predecessors]]),";",",")," ",""),",",REPT(" ",99)),199,99)))</f>
        <v/>
      </c>
      <c r="DD119" s="42">
        <f>IF(Tasks[[#This Row],[_Pred3Text]]="","",IFERROR(VALUE(LEFT(Tasks[[#This Row],[_Pred3Text]],MIN(FIND("F",Tasks[[#This Row],[_Pred3Text]]&amp;"F"),FIND("S",Tasks[[#This Row],[_Pred3Text]]&amp;"S"),FIND("+",Tasks[[#This Row],[_Pred3Text]]&amp;"+"),FIND("-",Tasks[[#This Row],[_Pred3Text]]&amp;"-"))-1)),""))</f>
        <v/>
      </c>
      <c r="DE11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9" s="42">
        <f>IF(Tasks[[#This Row],[_Pred3Text]]="","",TRIM(MID(SUBSTITUTE(SUBSTITUTE(SUBSTITUTE(UPPER(Tasks[[#This Row],[_Predecessors]]),";",",")," ",""),",",REPT(" ",99)),298,99)))</f>
        <v/>
      </c>
      <c r="DH119" s="42">
        <f>IF(Tasks[[#This Row],[_Pred4Text]]="","",IFERROR(VALUE(LEFT(Tasks[[#This Row],[_Pred4Text]],MIN(FIND("F",Tasks[[#This Row],[_Pred4Text]]&amp;"F"),FIND("S",Tasks[[#This Row],[_Pred4Text]]&amp;"S"),FIND("+",Tasks[[#This Row],[_Pred4Text]]&amp;"+"),FIND("-",Tasks[[#This Row],[_Pred4Text]]&amp;"-"))-1)),""))</f>
        <v/>
      </c>
      <c r="DI11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9" s="42">
        <f>IF(OR(Tasks[[#This Row],[Task Name]]="",Tasks[[#This Row],[_Resources]]=""),"",TRIM(MID(SUBSTITUTE(Tasks[[#This Row],[_Resources]],",",REPT(" ",99)),1,99)))</f>
        <v/>
      </c>
      <c r="DL119" s="42">
        <f>IF(Tasks[[#This Row],[_Res1Text]]="","",TRIM(MID(SUBSTITUTE(Tasks[[#This Row],[_Resources]],",",REPT(" ",99)),100,99)))</f>
        <v/>
      </c>
      <c r="DM119" s="42">
        <f>IF(Tasks[[#This Row],[_Res2Text]]="","",TRIM(MID(SUBSTITUTE(Tasks[[#This Row],[_Resources]],",",REPT(" ",99)),199,99)))</f>
        <v/>
      </c>
      <c r="DN119" s="42">
        <f>IF(Tasks[[#This Row],[_Res3Text]]="","",TRIM(MID(SUBSTITUTE(Tasks[[#This Row],[_Resources]],",",REPT(" ",99)),298,99)))</f>
        <v/>
      </c>
      <c r="DO119" s="42">
        <f>IF(Tasks[[#This Row],[_Res1Text]]="",0,IFERROR(MATCH(TRIM(LEFT(Tasks[[#This Row],[_Res1Text]],FIND("[",Tasks[[#This Row],[_Res1Text]]&amp;"[")-1)),res_Name,0),IFERROR(MATCH(TRIM(LEFT(Tasks[[#This Row],[_Res1Text]],FIND("[",Tasks[[#This Row],[_Res1Text]]&amp;"[")-1)),res_Initials,0),0)))</f>
        <v/>
      </c>
      <c r="DP119" s="42">
        <f>IF(Tasks[[#This Row],[_Res2Text]]="",0,IFERROR(MATCH(TRIM(LEFT(Tasks[[#This Row],[_Res2Text]],FIND("[",Tasks[[#This Row],[_Res2Text]]&amp;"[")-1)),res_Name,0),IFERROR(MATCH(TRIM(LEFT(Tasks[[#This Row],[_Res2Text]],FIND("[",Tasks[[#This Row],[_Res2Text]]&amp;"[")-1)),res_Initials,0),0)))</f>
        <v/>
      </c>
      <c r="DQ119" s="42">
        <f>IF(Tasks[[#This Row],[_Res3Text]]="",0,IFERROR(MATCH(TRIM(LEFT(Tasks[[#This Row],[_Res3Text]],FIND("[",Tasks[[#This Row],[_Res3Text]]&amp;"[")-1)),res_Name,0),IFERROR(MATCH(TRIM(LEFT(Tasks[[#This Row],[_Res3Text]],FIND("[",Tasks[[#This Row],[_Res3Text]]&amp;"[")-1)),res_Initials,0),0)))</f>
        <v/>
      </c>
      <c r="DR119" s="42">
        <f>IF(Tasks[[#This Row],[_Res4Text]]="",0,IFERROR(MATCH(TRIM(LEFT(Tasks[[#This Row],[_Res4Text]],FIND("[",Tasks[[#This Row],[_Res4Text]]&amp;"[")-1)),res_Name,0),IFERROR(MATCH(TRIM(LEFT(Tasks[[#This Row],[_Res4Text]],FIND("[",Tasks[[#This Row],[_Res4Text]]&amp;"[")-1)),res_Initials,0),0)))</f>
        <v/>
      </c>
      <c r="DS119" s="42">
        <f>IF(Tasks[[#This Row],[_Res1Text]]="","",IF(Tasks[[#This Row],[_Res1Row]]&gt;0,INDEX(res_Name,Tasks[[#This Row],[_Res1Row]]),TRIM(LEFT(Tasks[[#This Row],[_Res1Text]],FIND("[",Tasks[[#This Row],[_Res1Text]]&amp;"[")-1))))</f>
        <v/>
      </c>
      <c r="DT11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9" s="42">
        <f>IF(NOT(Tasks[[#This Row],[_IsLeaf]]=1),0,(Tasks[[#This Row],[_Resource1]]&lt;&gt;"")+(Tasks[[#This Row],[_Res2]]&lt;&gt;"")+(Tasks[[#This Row],[_Res3]]&lt;&gt;"")+(Tasks[[#This Row],[_Res4]]&lt;&gt;""))</f>
        <v/>
      </c>
      <c r="DV119" s="42">
        <f>IF(Tasks[[#This Row],[_Res2Text]]="","",IF(Tasks[[#This Row],[_Res2Row]]&gt;0,INDEX(res_Name,Tasks[[#This Row],[_Res2Row]]),TRIM(LEFT(Tasks[[#This Row],[_Res2Text]],FIND("[",Tasks[[#This Row],[_Res2Text]]&amp;"[")-1))))</f>
        <v/>
      </c>
      <c r="DW11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9" s="42">
        <f>IF(OR(NOT(Tasks[[#This Row],[_IsLeaf]]=1),Tasks[[#This Row],[_Res2Row]]=0),0,N(Tasks[[#This Row],[_Days]])*HoursPerDay*IF(Tasks[[#This Row],[_Res2Units]]="",DefaultUnits,Tasks[[#This Row],[_Res2Units]]))</f>
        <v/>
      </c>
      <c r="DY119" s="42">
        <f>IF(AND(AND(Tasks[[#This Row],[_IsLeaf]]=1,Tasks[[#This Row],[_LeafTotalWork]]&gt;0),Tasks[[#This Row],[_Res2Work]]&gt;0),Tasks[[#This Row],[_Res2Work]]/(Tasks[[#This Row],[_FinishWorkday]]-Tasks[[#This Row],[_StartWorkday]]+1),0)</f>
        <v/>
      </c>
      <c r="DZ119" s="42">
        <f>Tasks[[#This Row],[_Res2WorkPerWD]]*MAX(0,Tasks[[#This Row],[_StartWorkday]]-1)</f>
        <v/>
      </c>
      <c r="EA119" s="42">
        <f>Tasks[[#This Row],[_Res2Work]]*Tasks[[#This Row],[_LeafProgress]]</f>
        <v/>
      </c>
      <c r="EB119" s="42">
        <f>IF(Tasks[[#This Row],[_Res3Text]]="","",IF(Tasks[[#This Row],[_Res3Row]]&gt;0,INDEX(res_Name,Tasks[[#This Row],[_Res3Row]]),TRIM(LEFT(Tasks[[#This Row],[_Res3Text]],FIND("[",Tasks[[#This Row],[_Res3Text]]&amp;"[")-1))))</f>
        <v/>
      </c>
      <c r="EC11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9" s="42">
        <f>IF(OR(NOT(Tasks[[#This Row],[_IsLeaf]]=1),Tasks[[#This Row],[_Res3Row]]=0),0,N(Tasks[[#This Row],[_Days]])*HoursPerDay*IF(Tasks[[#This Row],[_Res3Units]]="",DefaultUnits,Tasks[[#This Row],[_Res3Units]]))</f>
        <v/>
      </c>
      <c r="EE119" s="42">
        <f>IF(AND(AND(Tasks[[#This Row],[_IsLeaf]]=1,Tasks[[#This Row],[_LeafTotalWork]]&gt;0),Tasks[[#This Row],[_Res3Work]]&gt;0),Tasks[[#This Row],[_Res3Work]]/(Tasks[[#This Row],[_FinishWorkday]]-Tasks[[#This Row],[_StartWorkday]]+1),0)</f>
        <v/>
      </c>
      <c r="EF119" s="42">
        <f>Tasks[[#This Row],[_Res3WorkPerWD]]*MAX(0,Tasks[[#This Row],[_StartWorkday]]-1)</f>
        <v/>
      </c>
      <c r="EG119" s="42">
        <f>Tasks[[#This Row],[_Res3Work]]*Tasks[[#This Row],[_LeafProgress]]</f>
        <v/>
      </c>
      <c r="EH119" s="42">
        <f>IF(Tasks[[#This Row],[_Res4Text]]="","",IF(Tasks[[#This Row],[_Res4Row]]&gt;0,INDEX(res_Name,Tasks[[#This Row],[_Res4Row]]),TRIM(LEFT(Tasks[[#This Row],[_Res4Text]],FIND("[",Tasks[[#This Row],[_Res4Text]]&amp;"[")-1))))</f>
        <v/>
      </c>
      <c r="EI11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9" s="42">
        <f>IF(OR(NOT(Tasks[[#This Row],[_IsLeaf]]=1),Tasks[[#This Row],[_Res4Row]]=0),0,N(Tasks[[#This Row],[_Days]])*HoursPerDay*IF(Tasks[[#This Row],[_Res4Units]]="",DefaultUnits,Tasks[[#This Row],[_Res4Units]]))</f>
        <v/>
      </c>
      <c r="EK119" s="42">
        <f>IF(AND(AND(Tasks[[#This Row],[_IsLeaf]]=1,Tasks[[#This Row],[_LeafTotalWork]]&gt;0),Tasks[[#This Row],[_Res4Work]]&gt;0),Tasks[[#This Row],[_Res4Work]]/(Tasks[[#This Row],[_FinishWorkday]]-Tasks[[#This Row],[_StartWorkday]]+1),0)</f>
        <v/>
      </c>
      <c r="EL119" s="42">
        <f>Tasks[[#This Row],[_Res4WorkPerWD]]*MAX(0,Tasks[[#This Row],[_StartWorkday]]-1)</f>
        <v/>
      </c>
      <c r="EM119" s="42">
        <f>Tasks[[#This Row],[_Res4Work]]*Tasks[[#This Row],[_LeafProgress]]</f>
        <v/>
      </c>
      <c r="EN119" s="42">
        <f>IF(ISNUMBER(Tasks[[#This Row],[% Complete]]),Tasks[[#This Row],[% Complete]],IF(Tasks[[#This Row],[Stage]]="",0,IFERROR(INDEX(stg_Pct,MATCH(Tasks[[#This Row],[Stage]],stg_Name,0)),0)))</f>
        <v/>
      </c>
      <c r="EO119" s="42">
        <f>IF(NOT(Tasks[[#This Row],[_IsLeaf]]=1),0,IF(N(Tasks[[#This Row],[Actual Finish]])&gt;0,1,MIN(1,Tasks[[#This Row],[_Pct]])))</f>
        <v/>
      </c>
      <c r="EP119" s="42">
        <f>IF(OR(NOT(Tasks[[#This Row],[_IsLeaf]]=1),Tasks[[#This Row],[_Res1Row]]=0),0,N(Tasks[[#This Row],[_Days]])*HoursPerDay*IF(Tasks[[#This Row],[_Units1]]="",DefaultUnits,Tasks[[#This Row],[_Units1]]))</f>
        <v/>
      </c>
      <c r="EQ119" s="42">
        <f>Tasks[[#This Row],[_LeafWork]]+Tasks[[#This Row],[_Res2Work]]+Tasks[[#This Row],[_Res3Work]]+Tasks[[#This Row],[_Res4Work]]</f>
        <v/>
      </c>
      <c r="ER11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9" s="42">
        <f>IF(NOT(Tasks[[#This Row],[_IsLeaf]]=1),0,MAX(_xlfn.MAXIFS(Tasks[_Row],Tasks[_Pred1UID],Tasks[[#This Row],[UID]]),_xlfn.MAXIFS(Tasks[_Row],Tasks[_Pred2UID],Tasks[[#This Row],[UID]]),_xlfn.MAXIFS(Tasks[_Row],Tasks[_Pred3UID],Tasks[[#This Row],[UID]]),_xlfn.MAXIFS(Tasks[_Row],Tasks[_Pred4UID],Tasks[[#This Row],[UID]])))</f>
        <v/>
      </c>
      <c r="FA11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9" s="88">
        <f>IF(NOT(Tasks[[#This Row],[_IsLeaf]]=1),"",IF(N(Tasks[[#This Row],[_Days]])&lt;=0,Tasks[[#This Row],[_LeafLateFinish]],WORKDAY.INTL(Tasks[[#This Row],[_LeafLateFinish]],-(Tasks[[#This Row],[_Days]]-1),WorkWeek,Holidays)))</f>
        <v/>
      </c>
      <c r="FD11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9" s="42">
        <f>AND(Tasks[[#This Row],[_IsLeaf]]=1,Tasks[[#This Row],[_LeafProgress]]&lt;1,N(Tasks[[#This Row],[_LeafTotalSlack]])&lt;=CriticalSlackDays)</f>
        <v/>
      </c>
      <c r="FF119" s="42">
        <f>IF(AND(Tasks[[#This Row],[_IsLeaf]]=1,Tasks[[#This Row],[_ConstraintCode]]=1,Tasks[[#This Row],[Mode]]&lt;&gt;"Manual",N(Tasks[[#This Row],[Actual Start]])=0),MAX(0,N(Tasks[[#This Row],[Free Slack]])),0)</f>
        <v/>
      </c>
      <c r="FG119" s="88">
        <f>IF(NOT(Tasks[[#This Row],[_IsLeaf]]=1),"",IF(Tasks[[#This Row],[_AlapShift]]=0,Tasks[[#This Row],[_LeafCalcStart]],WORKDAY.INTL(Tasks[[#This Row],[_LeafCalcStart]],Tasks[[#This Row],[_AlapShift]],WorkWeek,Holidays)))</f>
        <v/>
      </c>
      <c r="FH119" s="88">
        <f>IF(NOT(Tasks[[#This Row],[_IsLeaf]]=1),"",IF(Tasks[[#This Row],[_AlapShift]]=0,Tasks[[#This Row],[_LeafCalcFinish]],WORKDAY.INTL(Tasks[[#This Row],[_LeafCalcFinish]],Tasks[[#This Row],[_AlapShift]],WorkWeek,Holidays)))</f>
        <v/>
      </c>
      <c r="FI119" s="88">
        <f>IF(NOT(Tasks[[#This Row],[_IsLeaf]]=1),"",IF(Tasks[[#This Row],[_AlapShift]]=0,Tasks[[#This Row],[_LeafFcstStart]],WORKDAY.INTL(Tasks[[#This Row],[_LeafFcstStart]],Tasks[[#This Row],[_AlapShift]],WorkWeek,Holidays)))</f>
        <v/>
      </c>
      <c r="FJ119" s="88">
        <f>IF(NOT(Tasks[[#This Row],[_IsLeaf]]=1),"",IF(Tasks[[#This Row],[_AlapShift]]=0,Tasks[[#This Row],[_LeafFcstFinish]],WORKDAY.INTL(Tasks[[#This Row],[_LeafFcstFinish]],Tasks[[#This Row],[_AlapShift]],WorkWeek,Holidays)))</f>
        <v/>
      </c>
      <c r="FK119" s="88">
        <f>IF(Tasks[[#This Row],[Task Name]]="","",IF(Tasks[[#This Row],[_IsSummary]],MIN(INDEX(Tasks[_ShownCalcStart],Tasks[[#This Row],[_Row]]+1):INDEX(Tasks[_ShownCalcStart],Tasks[[#This Row],[_Row]]+Tasks[[#This Row],[_Descendants]])),Tasks[[#This Row],[_ShownCalcStart]]))</f>
        <v/>
      </c>
      <c r="FL119" s="88">
        <f>IF(Tasks[[#This Row],[Task Name]]="","",IF(Tasks[[#This Row],[_IsSummary]],MAX(INDEX(Tasks[_ShownCalcFinish],Tasks[[#This Row],[_Row]]+1):INDEX(Tasks[_ShownCalcFinish],Tasks[[#This Row],[_Row]]+Tasks[[#This Row],[_Descendants]])),Tasks[[#This Row],[_ShownCalcFinish]]))</f>
        <v/>
      </c>
      <c r="FM11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9" s="42">
        <f>IF(AND(Tasks[[#This Row],[_IsLeaf]]=1,Tasks[[#This Row],[_LeafTotalWork]]&gt;0),NETWORKDAYS.INTL(ProjectStart,Tasks[[#This Row],[_ShownFcstStart]],WorkWeek,Holidays),0)</f>
        <v/>
      </c>
      <c r="FZ119" s="42">
        <f>IF(AND(Tasks[[#This Row],[_IsLeaf]]=1,Tasks[[#This Row],[_LeafTotalWork]]&gt;0),MAX(Tasks[[#This Row],[_StartWorkday]],NETWORKDAYS.INTL(ProjectStart,Tasks[[#This Row],[_ShownFcstFinish]],WorkWeek,Holidays)),0)</f>
        <v/>
      </c>
      <c r="GA119" s="42">
        <f>IF(AND(Tasks[[#This Row],[_IsLeaf]]=1,Tasks[[#This Row],[_LeafTotalWork]]&gt;0),Tasks[[#This Row],[_LeafWork]]/(Tasks[[#This Row],[_FinishWorkday]]-Tasks[[#This Row],[_StartWorkday]]+1),0)</f>
        <v/>
      </c>
      <c r="GB119" s="42">
        <f>Tasks[[#This Row],[_WorkPerWorkday]]*(Tasks[[#This Row],[_StartWorkday]]-1)</f>
        <v/>
      </c>
      <c r="GC119" s="42">
        <f>IF(Tasks[[#This Row],[_IsLeaf]]=1,MAX(N(Tasks[[#This Row],[_Days]]),0.1),0)</f>
        <v/>
      </c>
      <c r="GD119" s="42">
        <f>Tasks[[#This Row],[_WeightDur]]*Tasks[[#This Row],[_LeafProgress]]</f>
        <v/>
      </c>
      <c r="GE119" s="42">
        <f>Tasks[[#This Row],[_WeightDur]]*Tasks[[#This Row],[_PlannedPct]]</f>
        <v/>
      </c>
      <c r="GF11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9" s="42">
        <f>IF(AND(Tasks[[#This Row],[_IsLeaf]]=1,N(Tasks[[#This Row],[_Days]])=0,Tasks[[#This Row],[_LeafProgress]]&lt;1),Tasks[[#This Row],[_ShownFcstFinish]]+Tasks[[#This Row],[_Row]]/100000,"")</f>
        <v/>
      </c>
      <c r="GH11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9" s="42">
        <f>IF(Tasks[[#This Row],[Task Name]]="","",LEFT(Tasks[[#This Row],[WBS]],FIND(".",Tasks[[#This Row],[WBS]]&amp;".")-1))</f>
        <v/>
      </c>
      <c r="GJ119" s="42">
        <f>IF(AND(Tasks[[#This Row],[Task Name]]&lt;&gt;"",Tasks[[#This Row],[_Level]]=1),Tasks[[#This Row],[_Row]],"")</f>
        <v/>
      </c>
      <c r="GK119" s="42">
        <f>IF(AND(Tasks[[#This Row],[_IsLeaf]]=1,N(Tasks[[#This Row],[_Days]])=0),Tasks[[#This Row],[Planned Finish]]+Tasks[[#This Row],[_Row]]/100000,"")</f>
        <v/>
      </c>
      <c r="GL119" s="42">
        <f>IF(AND(Tasks[[#This Row],[_IsLeaf]]=1,Tasks[[#This Row],[_LeafProgress]]&lt;1,OR(N(Tasks[[#This Row],[Finish Var]])&gt;0,Tasks[[#This Row],[Status]]="Late Start")),MAX(0,Tasks[[#This Row],[Finish Var]])+1-Tasks[[#This Row],[_Row]]/1000000,"")</f>
        <v/>
      </c>
      <c r="GM119" s="42">
        <f>IF(AND(Tasks[[#This Row],[_IsLeaf]]=1,N(Tasks[[#This Row],[Actual Start]])=0,Tasks[[#This Row],[_ShownFcstStart]]&gt;=StatusDate,Tasks[[#This Row],[_ShownFcstStart]]&lt;=LookaheadEnd),Tasks[[#This Row],[_ShownFcstStart]]+Tasks[[#This Row],[_Row]]/100000,"")</f>
        <v/>
      </c>
      <c r="GN119" s="42">
        <f>IF(AND(Tasks[[#This Row],[_IsLeaf]]=1,Tasks[[#This Row],[_LeafProgress]]&lt;1,Tasks[[#This Row],[_ShownFcstFinish]]&gt;=StatusDate,Tasks[[#This Row],[_ShownFcstFinish]]&lt;=LookaheadEnd),Tasks[[#This Row],[_ShownFcstFinish]]+Tasks[[#This Row],[_Row]]/100000,"")</f>
        <v/>
      </c>
      <c r="GO119" s="42">
        <f>IF(Tasks[[#This Row],[_LeafCritical]],Tasks[[#This Row],[_ShownFcstStart]]+Tasks[[#This Row],[_Row]]/100000,"")</f>
        <v/>
      </c>
      <c r="GP119" s="42">
        <f>Tasks[[#This Row],[_LeafWork]]*Tasks[[#This Row],[_LeafProgress]]</f>
        <v/>
      </c>
      <c r="GQ119" s="88">
        <f>IF(AND(Tasks[[#This Row],[_IsLeaf]]=1,Tasks[[#This Row],[_LeafProgress]]&gt;=1),IF(N(Tasks[[#This Row],[Actual Finish]])&gt;0,Tasks[[#This Row],[Actual Finish]],Tasks[[#This Row],[_ShownFcstFinish]]),"")</f>
        <v/>
      </c>
      <c r="GR119" s="42">
        <f>IF(Tasks[[#This Row],[_IsLeaf]]=1,N(Tasks[[#This Row],[Story Points]]),0)</f>
        <v/>
      </c>
      <c r="GS119" s="42">
        <f>""</f>
        <v/>
      </c>
      <c r="GT119" s="42">
        <f>IF(Tasks[[#This Row],[Task Name]]="",FALSE(),AND(Tasks[[#This Row],[_IsLeaf]]=1,N(Tasks[[#This Row],[_Days]])=0))</f>
        <v/>
      </c>
      <c r="GU119" s="88">
        <f>IF(Tasks[[#This Row],[Task Name]]="",0,IF(AND(Tasks[[#This Row],[_IsLeaf]]=1,NOT(Tasks[[#This Row],[_IsMilestone]]),N(Tasks[[#This Row],[Progress]])&gt;0),Tasks[[#This Row],[Start]],0))</f>
        <v/>
      </c>
      <c r="GV119" s="88">
        <f>IF(Tasks[[#This Row],[_DoneFrom]]=0,0,IF(Tasks[[#This Row],[Progress]]&gt;=1,Tasks[[#This Row],[Finish]],MAX(Tasks[[#This Row],[_DoneFrom]],Tasks[[#This Row],[Start]]+ROUND((Tasks[[#This Row],[Finish]]-Tasks[[#This Row],[Start]]+1)*Tasks[[#This Row],[Progress]],0)-1)))</f>
        <v/>
      </c>
      <c r="GW119" s="88">
        <f>IF(Tasks[[#This Row],[Task Name]]="",0,IF(OR(NOT(Tasks[[#This Row],[_IsLeaf]]=1),Tasks[[#This Row],[_IsMilestone]],N(Tasks[[#This Row],[Progress]])&gt;=1),0,IF(Tasks[[#This Row],[_DoneTo]]&gt;0,Tasks[[#This Row],[_DoneTo]]+1,Tasks[[#This Row],[Start]])))</f>
        <v/>
      </c>
      <c r="GX119" s="88">
        <f>IF(Tasks[[#This Row],[_RemFrom]]=0,0,Tasks[[#This Row],[Finish]])</f>
        <v/>
      </c>
      <c r="GY119" s="42">
        <f>IF(Tasks[[#This Row],[Task Name]]="",FALSE(),OR(NOT(BaselineSet),N(Tasks[[#This Row],[Baseline Start]])&gt;0))</f>
        <v/>
      </c>
      <c r="GZ119" s="42">
        <f>IF(AND(Sandbox="Yes",L_PARSE_DURATION(Tasks[[#This Row],[Sandbox Duration]])&lt;&gt;""),L_PARSE_DURATION(Tasks[[#This Row],[Sandbox Duration]]),L_PARSE_DURATION(Tasks[[#This Row],[Duration]]))</f>
        <v/>
      </c>
      <c r="HA11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1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9" s="42">
        <f>IF(Tasks[[#This Row],[_IsLeaf]]=1,Tasks[[#This Row],[_Row]],"")</f>
        <v/>
      </c>
      <c r="HD119" s="42">
        <f>IFERROR(INDEX(Tasks[UID],SMALL(Tasks[_PickKey],Tasks[[#This Row],[_Row]]))&amp;" "&amp;INDEX(Tasks[Task Name],SMALL(Tasks[_PickKey],Tasks[[#This Row],[_Row]])),"")</f>
        <v/>
      </c>
      <c r="HE119" s="42">
        <f>IF(Tasks[[#This Row],[Task Name]]="","",IF(Tasks[[#This Row],[_IsSummary]],NETWORKDAYS.INTL(Tasks[[#This Row],[Start]],Tasks[[#This Row],[Finish]],WorkWeek,Holidays),N(Tasks[[#This Row],[_Days]])))</f>
        <v/>
      </c>
      <c r="HF119" s="42">
        <f>IF(Tasks[[#This Row],[Expected]]="",0,((Tasks[[#This Row],[Pessimistic]]-Tasks[[#This Row],[Optimistic]])/6)^2)</f>
        <v/>
      </c>
      <c r="HG119" s="42">
        <f>IF(Tasks[[#This Row],[Expected]]="",0,Tasks[[#This Row],[Expected]]-N(Tasks[[#This Row],[_Days]]))</f>
        <v/>
      </c>
    </row>
    <row r="120">
      <c r="A120" s="21">
        <f>IF(Tasks[[#This Row],[Task Name]]="","",COUNTA(Tasks[[#Headers],[Task Name]]:Tasks[[#This Row],[Task Name]])-1)</f>
        <v/>
      </c>
      <c r="B120" s="22" t="n">
        <v>128</v>
      </c>
      <c r="C120" s="22" t="n"/>
      <c r="D120" s="23" t="n"/>
      <c r="E120" s="22" t="n"/>
      <c r="F120" s="23" t="n"/>
      <c r="G120" s="22" t="n"/>
      <c r="H120" s="22" t="n"/>
      <c r="I120" s="23" t="n"/>
      <c r="J120" s="22" t="n"/>
      <c r="K120" s="22" t="n"/>
      <c r="L120" s="23" t="n"/>
      <c r="M120" s="22" t="n"/>
      <c r="N120" s="22" t="n"/>
      <c r="O120" s="23" t="n"/>
      <c r="P120" s="22" t="n"/>
      <c r="Q120" s="22" t="n"/>
      <c r="R120" s="23" t="n"/>
      <c r="S120" s="23" t="n"/>
      <c r="T120" s="82" t="n"/>
      <c r="U120" s="23" t="n"/>
      <c r="V120" s="82" t="n"/>
      <c r="W120" s="23" t="n"/>
      <c r="X120" s="82" t="n"/>
      <c r="Y120" s="23" t="n"/>
      <c r="Z120" s="82" t="n"/>
      <c r="AA120" s="23" t="n"/>
      <c r="AB120" s="23" t="n"/>
      <c r="AC120" s="7" t="n"/>
      <c r="AD120" s="7" t="n"/>
      <c r="AE120" s="61">
        <f>IF(Tasks[[#This Row],[Task Name]]="","",IF(Tasks[[#This Row],[_IsSummary]],MIN(INDEX(Tasks[_ShownFcstStart],Tasks[[#This Row],[_Row]]+1):INDEX(Tasks[_ShownFcstStart],Tasks[[#This Row],[_Row]]+Tasks[[#This Row],[_Descendants]])),Tasks[[#This Row],[_ShownFcstStart]]))</f>
        <v/>
      </c>
      <c r="AF120" s="61">
        <f>IF(Tasks[[#This Row],[Task Name]]="","",IF(Tasks[[#This Row],[_IsSummary]],MAX(INDEX(Tasks[_ShownFcstFinish],Tasks[[#This Row],[_Row]]+1):INDEX(Tasks[_ShownFcstFinish],Tasks[[#This Row],[_Row]]+Tasks[[#This Row],[_Descendants]])),Tasks[[#This Row],[_ShownFcstFinish]]))</f>
        <v/>
      </c>
      <c r="AG120" s="21">
        <f>""</f>
        <v/>
      </c>
      <c r="AH120" s="23" t="n"/>
      <c r="AI12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0" s="7" t="n"/>
      <c r="AK120" s="22" t="n"/>
      <c r="AL120" s="23" t="n"/>
      <c r="AM120" s="7" t="n"/>
      <c r="AN120" s="21">
        <f>IF(Tasks[[#This Row],[Task Name]]="","",IF(Tasks[[#This Row],[Finish]]&gt;=Tasks[[#This Row],[Planned Finish]],NETWORKDAYS.INTL(Tasks[[#This Row],[Planned Finish]],Tasks[[#This Row],[Finish]],WorkWeek,Holidays)-1,1-NETWORKDAYS.INTL(Tasks[[#This Row],[Finish]],Tasks[[#This Row],[Planned Finish]],WorkWeek,Holidays)))</f>
        <v/>
      </c>
      <c r="AO120" s="21">
        <f>IF(Tasks[[#This Row],[Task Name]]="","",IF(Tasks[[#This Row],[Progress]]&gt;=1,"Complete",IF(OR(N(Tasks[[#This Row],[Actual Start]])&gt;0,Tasks[[#This Row],[Progress]]&gt;0),IF(Tasks[[#This Row],[Finish Var]]&gt;0,"Behind","In Progress"),IF(Tasks[[#This Row],[Planned Start]]&lt;StatusDate,"Late Start","Not Started"))))</f>
        <v/>
      </c>
      <c r="AP120" s="21">
        <f>IF(Tasks[[#This Row],[Task Name]]="","",IF(IF(Tasks[[#This Row],[_IsSummary]],COUNTIF(INDEX(Tasks[_LeafCritical],Tasks[[#This Row],[_Row]]+1):INDEX(Tasks[_LeafCritical],Tasks[[#This Row],[_Row]]+Tasks[[#This Row],[_Descendants]]),TRUE())&gt;0,Tasks[[#This Row],[_LeafCritical]]),"Yes",""))</f>
        <v/>
      </c>
      <c r="AQ120" s="61">
        <f>IF(Tasks[[#This Row],[Task Name]]="","",IF(N(Tasks[[#This Row],[Baseline Start]])&gt;0,Tasks[[#This Row],[Baseline Start]],Tasks[[#This Row],[_CalcStart]]))</f>
        <v/>
      </c>
      <c r="AR120" s="61">
        <f>IF(Tasks[[#This Row],[Task Name]]="","",IF(N(Tasks[[#This Row],[Baseline Finish]])&gt;0,Tasks[[#This Row],[Baseline Finish]],Tasks[[#This Row],[_CalcFinish]]))</f>
        <v/>
      </c>
      <c r="AS120" s="21">
        <f>IF(Tasks[[#This Row],[Task Name]]="","",IF(Tasks[[#This Row],[Start]]&gt;=Tasks[[#This Row],[Planned Start]],NETWORKDAYS.INTL(Tasks[[#This Row],[Planned Start]],Tasks[[#This Row],[Start]],WorkWeek,Holidays)-1,1-NETWORKDAYS.INTL(Tasks[[#This Row],[Start]],Tasks[[#This Row],[Planned Start]],WorkWeek,Holidays)))</f>
        <v/>
      </c>
      <c r="AT120" s="61">
        <f>IF(Tasks[[#This Row],[Task Name]]="","",IF(Tasks[[#This Row],[_IsSummary]],MIN(INDEX(Tasks[_LeafLateStart],Tasks[[#This Row],[_Row]]+1):INDEX(Tasks[_LeafLateStart],Tasks[[#This Row],[_Row]]+Tasks[[#This Row],[_Descendants]])),Tasks[[#This Row],[_LeafLateStart]]))</f>
        <v/>
      </c>
      <c r="AU120" s="61">
        <f>IF(Tasks[[#This Row],[Task Name]]="","",IF(Tasks[[#This Row],[_IsSummary]],MAX(INDEX(Tasks[_LeafLateFinish],Tasks[[#This Row],[_Row]]+1):INDEX(Tasks[_LeafLateFinish],Tasks[[#This Row],[_Row]]+Tasks[[#This Row],[_Descendants]])),Tasks[[#This Row],[_LeafLateFinish]]))</f>
        <v/>
      </c>
      <c r="AV120" s="21">
        <f>IF(Tasks[[#This Row],[Task Name]]="","",IF(Tasks[[#This Row],[_IsSummary]],MIN(INDEX(Tasks[_LeafTotalSlack],Tasks[[#This Row],[_Row]]+1):INDEX(Tasks[_LeafTotalSlack],Tasks[[#This Row],[_Row]]+Tasks[[#This Row],[_Descendants]])),Tasks[[#This Row],[_LeafTotalSlack]]))</f>
        <v/>
      </c>
      <c r="AW12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3" t="n"/>
      <c r="BA12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f>IF(Tasks[[#This Row],[Task Name]]="","",IF(Tasks[[#This Row],[_Level]]&lt;=OutlineShowLevel,"Yes","No"))</f>
        <v/>
      </c>
      <c r="BE120" s="84">
        <f>IF(Tasks[[#This Row],[Task Name]]="","",IF(Tasks[[#This Row],[_IsSummary]],SUM(INDEX(Tasks[_LeafTotalWork],Tasks[[#This Row],[_Row]]+1):INDEX(Tasks[_LeafTotalWork],Tasks[[#This Row],[_Row]]+Tasks[[#This Row],[_Descendants]])),Tasks[[#This Row],[_LeafTotalWork]]))</f>
        <v/>
      </c>
      <c r="BF120" s="23" t="n"/>
      <c r="BG12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f>""</f>
        <v/>
      </c>
      <c r="BI120" s="85" t="n"/>
      <c r="BJ120" s="22" t="n"/>
      <c r="BK120" s="21">
        <f>IF(OR(Tasks[[#This Row],[Task Name]]="",Tasks[[#This Row],[Baseline Duration]]=""),"",Tasks[[#This Row],[_SpanDays]]-N(Tasks[[#This Row],[Baseline Duration]]))</f>
        <v/>
      </c>
      <c r="BL120" s="84">
        <f>IF(OR(Tasks[[#This Row],[Task Name]]="",Tasks[[#This Row],[Baseline Work]]=""),"",Tasks[[#This Row],[Work]]-N(Tasks[[#This Row],[Baseline Work]]))</f>
        <v/>
      </c>
      <c r="BM120" s="61">
        <f>IF(Tasks[[#This Row],[Task Name]]="","",IF(OR(TakeBaseline="Yes",N(Tasks[[#This Row],[Baseline Start]])=0),Tasks[[#This Row],[Start]],Tasks[[#This Row],[Baseline Start]]))</f>
        <v/>
      </c>
      <c r="BN120" s="61">
        <f>IF(Tasks[[#This Row],[Task Name]]="","",IF(OR(TakeBaseline="Yes",N(Tasks[[#This Row],[Baseline Finish]])=0),Tasks[[#This Row],[Finish]],Tasks[[#This Row],[Baseline Finish]]))</f>
        <v/>
      </c>
      <c r="BO120" s="21">
        <f>IF(Tasks[[#This Row],[Task Name]]="","",IF(OR(TakeBaseline="Yes",N(Tasks[[#This Row],[Baseline Duration]])=0),Tasks[[#This Row],[_SpanDays]],Tasks[[#This Row],[Baseline Duration]]))</f>
        <v/>
      </c>
      <c r="BP120" s="84">
        <f>IF(Tasks[[#This Row],[Task Name]]="","",IF(OR(TakeBaseline="Yes",N(Tasks[[#This Row],[Baseline Work]])=0),Tasks[[#This Row],[Work]],Tasks[[#This Row],[Baseline Work]]))</f>
        <v/>
      </c>
      <c r="BQ120" s="7" t="n"/>
      <c r="BR120" s="7" t="n"/>
      <c r="BS120" s="22" t="n"/>
      <c r="BT120" s="86" t="n"/>
      <c r="BU120" s="23" t="n"/>
      <c r="BV120" s="23" t="n"/>
      <c r="BW120" s="23" t="n"/>
      <c r="BX120" s="87">
        <f>IF(AND(Tasks[[#This Row],[_IsLeaf]]=1,ISNUMBER(Tasks[[#This Row],[Optimistic]]),ISNUMBER(Tasks[[#This Row],[Pessimistic]])),ROUND((Tasks[[#This Row],[Optimistic]]+4*N(Tasks[[#This Row],[_Days]])+Tasks[[#This Row],[Pessimistic]])/6,1),"")</f>
        <v/>
      </c>
      <c r="BY120" s="85" t="n"/>
      <c r="BZ120" s="85" t="n"/>
      <c r="CA120" s="22" t="n"/>
      <c r="CB120" s="42">
        <f>IF(Tasks[[#This Row],[Task Name]]="","",MAX(1,N(Tasks[[#This Row],[Level]])))</f>
        <v/>
      </c>
      <c r="CC120" s="42">
        <f>ROW()-ROW(Tasks[[#Headers],[ID]])</f>
        <v/>
      </c>
      <c r="CD120" s="42">
        <f>IF(OR(Tasks[[#This Row],[Task Name]]="",Tasks[[#This Row],[_Level]]&lt;=1),0,IFERROR(LOOKUP(2,1/(Tasks[[#Headers],[_Level]]:Tasks[[#This Row],[_Level]]=Tasks[[#This Row],[_Level]]-1),ROW(Tasks[[#Headers],[_Level]]:Tasks[[#This Row],[_Level]])),0))</f>
        <v/>
      </c>
      <c r="CE120" s="42">
        <f>IFERROR(N(INDEX(Tasks[_Level],Tasks[[#This Row],[_Row]]+1)),0)</f>
        <v/>
      </c>
      <c r="CF120" s="42">
        <f>AND(Tasks[[#This Row],[Task Name]]&lt;&gt;"",Tasks[[#This Row],[_NextLevel]]&gt;Tasks[[#This Row],[_Level]])</f>
        <v/>
      </c>
      <c r="CG120" s="42">
        <f>IF(Tasks[[#This Row],[_IsSummary]],COUNTIF(Tasks[WBS],Tasks[[#This Row],[WBS]]&amp;".*"),0)</f>
        <v/>
      </c>
      <c r="CH120" s="42">
        <f>IF(AND(Tasks[[#This Row],[Task Name]]&lt;&gt;"",NOT(Tasks[[#This Row],[_IsSummary]])),1,0)</f>
        <v/>
      </c>
      <c r="CI120" s="42">
        <f>IF(N(Tasks[[#This Row],[_Pred1UID]])=0,0,IFERROR(MATCH(Tasks[[#This Row],[_Pred1UID]],Tasks[UID],0),-1))</f>
        <v/>
      </c>
      <c r="CJ120" s="42">
        <f>IF(N(Tasks[[#This Row],[_Pred2UID]])=0,0,IFERROR(MATCH(Tasks[[#This Row],[_Pred2UID]],Tasks[UID],0),-1))</f>
        <v/>
      </c>
      <c r="CK120" s="42">
        <f>IF(N(Tasks[[#This Row],[_Pred3UID]])=0,0,IFERROR(MATCH(Tasks[[#This Row],[_Pred3UID]],Tasks[UID],0),-1))</f>
        <v/>
      </c>
      <c r="CL120" s="42">
        <f>IF(N(Tasks[[#This Row],[_Pred4UID]])=0,0,IFERROR(MATCH(Tasks[[#This Row],[_Pred4UID]],Tasks[UID],0),-1))</f>
        <v/>
      </c>
      <c r="CM12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0" s="88">
        <f>IF(N(Tasks[[#This Row],[Constraint Date]])=0,0,IF(AND(OR(Tasks[[#This Row],[_ConstraintCode]]=3,Tasks[[#This Row],[_ConstraintCode]]=6,Tasks[[#This Row],[_ConstraintCode]]=7),N(Tasks[[#This Row],[_Days]])&gt;1),WORKDAY.INTL(N(Tasks[[#This Row],[Constraint Date]]),-(N(Tasks[[#This Row],[_Days]])-1),WorkWeek,Holidays),N(Tasks[[#This Row],[Constraint Date]])))</f>
        <v/>
      </c>
      <c r="CO120" s="88">
        <f>IF(OR(Tasks[[#This Row],[_ConstraintCode]]=2,Tasks[[#This Row],[_ConstraintCode]]=3,Tasks[[#This Row],[_ConstraintCode]]=4,Tasks[[#This Row],[_ConstraintCode]]=6),Tasks[[#This Row],[_ConstraintStart]],0)</f>
        <v/>
      </c>
      <c r="CP120" s="88">
        <f>IF(OR(Tasks[[#This Row],[_ConstraintCode]]=2,Tasks[[#This Row],[_ConstraintCode]]=3,Tasks[[#This Row],[_ConstraintCode]]=5,Tasks[[#This Row],[_ConstraintCode]]=7),Tasks[[#This Row],[_ConstraintStart]],2958465)</f>
        <v/>
      </c>
      <c r="CQ12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0" s="88">
        <f>IF(NOT(Tasks[[#This Row],[_IsLeaf]]=1),"",IF(N(Tasks[[#This Row],[_Days]])&lt;=0,Tasks[[#This Row],[_LeafCalcStart]],WORKDAY.INTL(Tasks[[#This Row],[_LeafCalcStart]],Tasks[[#This Row],[_Days]]-1,WorkWeek,Holidays)))</f>
        <v/>
      </c>
      <c r="CS12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0" s="42">
        <f>IF(Tasks[[#This Row],[_Predecessors]]="","",TRIM(MID(SUBSTITUTE(SUBSTITUTE(SUBSTITUTE(UPPER(Tasks[[#This Row],[_Predecessors]]),";",",")," ",""),",",REPT(" ",99)),1,99)))</f>
        <v/>
      </c>
      <c r="CV120" s="42">
        <f>IF(Tasks[[#This Row],[_Pred1Text]]="","",IFERROR(VALUE(LEFT(Tasks[[#This Row],[_Pred1Text]],MIN(FIND("F",Tasks[[#This Row],[_Pred1Text]]&amp;"F"),FIND("S",Tasks[[#This Row],[_Pred1Text]]&amp;"S"),FIND("+",Tasks[[#This Row],[_Pred1Text]]&amp;"+"),FIND("-",Tasks[[#This Row],[_Pred1Text]]&amp;"-"))-1)),""))</f>
        <v/>
      </c>
      <c r="CW12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0" s="42">
        <f>IF(Tasks[[#This Row],[_Pred1Text]]="","",TRIM(MID(SUBSTITUTE(SUBSTITUTE(SUBSTITUTE(UPPER(Tasks[[#This Row],[_Predecessors]]),";",",")," ",""),",",REPT(" ",99)),100,99)))</f>
        <v/>
      </c>
      <c r="CZ120" s="42">
        <f>IF(Tasks[[#This Row],[_Pred2Text]]="","",IFERROR(VALUE(LEFT(Tasks[[#This Row],[_Pred2Text]],MIN(FIND("F",Tasks[[#This Row],[_Pred2Text]]&amp;"F"),FIND("S",Tasks[[#This Row],[_Pred2Text]]&amp;"S"),FIND("+",Tasks[[#This Row],[_Pred2Text]]&amp;"+"),FIND("-",Tasks[[#This Row],[_Pred2Text]]&amp;"-"))-1)),""))</f>
        <v/>
      </c>
      <c r="DA12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0" s="42">
        <f>IF(Tasks[[#This Row],[_Pred2Text]]="","",TRIM(MID(SUBSTITUTE(SUBSTITUTE(SUBSTITUTE(UPPER(Tasks[[#This Row],[_Predecessors]]),";",",")," ",""),",",REPT(" ",99)),199,99)))</f>
        <v/>
      </c>
      <c r="DD120" s="42">
        <f>IF(Tasks[[#This Row],[_Pred3Text]]="","",IFERROR(VALUE(LEFT(Tasks[[#This Row],[_Pred3Text]],MIN(FIND("F",Tasks[[#This Row],[_Pred3Text]]&amp;"F"),FIND("S",Tasks[[#This Row],[_Pred3Text]]&amp;"S"),FIND("+",Tasks[[#This Row],[_Pred3Text]]&amp;"+"),FIND("-",Tasks[[#This Row],[_Pred3Text]]&amp;"-"))-1)),""))</f>
        <v/>
      </c>
      <c r="DE12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0" s="42">
        <f>IF(Tasks[[#This Row],[_Pred3Text]]="","",TRIM(MID(SUBSTITUTE(SUBSTITUTE(SUBSTITUTE(UPPER(Tasks[[#This Row],[_Predecessors]]),";",",")," ",""),",",REPT(" ",99)),298,99)))</f>
        <v/>
      </c>
      <c r="DH120" s="42">
        <f>IF(Tasks[[#This Row],[_Pred4Text]]="","",IFERROR(VALUE(LEFT(Tasks[[#This Row],[_Pred4Text]],MIN(FIND("F",Tasks[[#This Row],[_Pred4Text]]&amp;"F"),FIND("S",Tasks[[#This Row],[_Pred4Text]]&amp;"S"),FIND("+",Tasks[[#This Row],[_Pred4Text]]&amp;"+"),FIND("-",Tasks[[#This Row],[_Pred4Text]]&amp;"-"))-1)),""))</f>
        <v/>
      </c>
      <c r="DI12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0" s="42">
        <f>IF(OR(Tasks[[#This Row],[Task Name]]="",Tasks[[#This Row],[_Resources]]=""),"",TRIM(MID(SUBSTITUTE(Tasks[[#This Row],[_Resources]],",",REPT(" ",99)),1,99)))</f>
        <v/>
      </c>
      <c r="DL120" s="42">
        <f>IF(Tasks[[#This Row],[_Res1Text]]="","",TRIM(MID(SUBSTITUTE(Tasks[[#This Row],[_Resources]],",",REPT(" ",99)),100,99)))</f>
        <v/>
      </c>
      <c r="DM120" s="42">
        <f>IF(Tasks[[#This Row],[_Res2Text]]="","",TRIM(MID(SUBSTITUTE(Tasks[[#This Row],[_Resources]],",",REPT(" ",99)),199,99)))</f>
        <v/>
      </c>
      <c r="DN120" s="42">
        <f>IF(Tasks[[#This Row],[_Res3Text]]="","",TRIM(MID(SUBSTITUTE(Tasks[[#This Row],[_Resources]],",",REPT(" ",99)),298,99)))</f>
        <v/>
      </c>
      <c r="DO120" s="42">
        <f>IF(Tasks[[#This Row],[_Res1Text]]="",0,IFERROR(MATCH(TRIM(LEFT(Tasks[[#This Row],[_Res1Text]],FIND("[",Tasks[[#This Row],[_Res1Text]]&amp;"[")-1)),res_Name,0),IFERROR(MATCH(TRIM(LEFT(Tasks[[#This Row],[_Res1Text]],FIND("[",Tasks[[#This Row],[_Res1Text]]&amp;"[")-1)),res_Initials,0),0)))</f>
        <v/>
      </c>
      <c r="DP120" s="42">
        <f>IF(Tasks[[#This Row],[_Res2Text]]="",0,IFERROR(MATCH(TRIM(LEFT(Tasks[[#This Row],[_Res2Text]],FIND("[",Tasks[[#This Row],[_Res2Text]]&amp;"[")-1)),res_Name,0),IFERROR(MATCH(TRIM(LEFT(Tasks[[#This Row],[_Res2Text]],FIND("[",Tasks[[#This Row],[_Res2Text]]&amp;"[")-1)),res_Initials,0),0)))</f>
        <v/>
      </c>
      <c r="DQ120" s="42">
        <f>IF(Tasks[[#This Row],[_Res3Text]]="",0,IFERROR(MATCH(TRIM(LEFT(Tasks[[#This Row],[_Res3Text]],FIND("[",Tasks[[#This Row],[_Res3Text]]&amp;"[")-1)),res_Name,0),IFERROR(MATCH(TRIM(LEFT(Tasks[[#This Row],[_Res3Text]],FIND("[",Tasks[[#This Row],[_Res3Text]]&amp;"[")-1)),res_Initials,0),0)))</f>
        <v/>
      </c>
      <c r="DR120" s="42">
        <f>IF(Tasks[[#This Row],[_Res4Text]]="",0,IFERROR(MATCH(TRIM(LEFT(Tasks[[#This Row],[_Res4Text]],FIND("[",Tasks[[#This Row],[_Res4Text]]&amp;"[")-1)),res_Name,0),IFERROR(MATCH(TRIM(LEFT(Tasks[[#This Row],[_Res4Text]],FIND("[",Tasks[[#This Row],[_Res4Text]]&amp;"[")-1)),res_Initials,0),0)))</f>
        <v/>
      </c>
      <c r="DS120" s="42">
        <f>IF(Tasks[[#This Row],[_Res1Text]]="","",IF(Tasks[[#This Row],[_Res1Row]]&gt;0,INDEX(res_Name,Tasks[[#This Row],[_Res1Row]]),TRIM(LEFT(Tasks[[#This Row],[_Res1Text]],FIND("[",Tasks[[#This Row],[_Res1Text]]&amp;"[")-1))))</f>
        <v/>
      </c>
      <c r="DT12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0" s="42">
        <f>IF(NOT(Tasks[[#This Row],[_IsLeaf]]=1),0,(Tasks[[#This Row],[_Resource1]]&lt;&gt;"")+(Tasks[[#This Row],[_Res2]]&lt;&gt;"")+(Tasks[[#This Row],[_Res3]]&lt;&gt;"")+(Tasks[[#This Row],[_Res4]]&lt;&gt;""))</f>
        <v/>
      </c>
      <c r="DV120" s="42">
        <f>IF(Tasks[[#This Row],[_Res2Text]]="","",IF(Tasks[[#This Row],[_Res2Row]]&gt;0,INDEX(res_Name,Tasks[[#This Row],[_Res2Row]]),TRIM(LEFT(Tasks[[#This Row],[_Res2Text]],FIND("[",Tasks[[#This Row],[_Res2Text]]&amp;"[")-1))))</f>
        <v/>
      </c>
      <c r="DW12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0" s="42">
        <f>IF(OR(NOT(Tasks[[#This Row],[_IsLeaf]]=1),Tasks[[#This Row],[_Res2Row]]=0),0,N(Tasks[[#This Row],[_Days]])*HoursPerDay*IF(Tasks[[#This Row],[_Res2Units]]="",DefaultUnits,Tasks[[#This Row],[_Res2Units]]))</f>
        <v/>
      </c>
      <c r="DY120" s="42">
        <f>IF(AND(AND(Tasks[[#This Row],[_IsLeaf]]=1,Tasks[[#This Row],[_LeafTotalWork]]&gt;0),Tasks[[#This Row],[_Res2Work]]&gt;0),Tasks[[#This Row],[_Res2Work]]/(Tasks[[#This Row],[_FinishWorkday]]-Tasks[[#This Row],[_StartWorkday]]+1),0)</f>
        <v/>
      </c>
      <c r="DZ120" s="42">
        <f>Tasks[[#This Row],[_Res2WorkPerWD]]*MAX(0,Tasks[[#This Row],[_StartWorkday]]-1)</f>
        <v/>
      </c>
      <c r="EA120" s="42">
        <f>Tasks[[#This Row],[_Res2Work]]*Tasks[[#This Row],[_LeafProgress]]</f>
        <v/>
      </c>
      <c r="EB120" s="42">
        <f>IF(Tasks[[#This Row],[_Res3Text]]="","",IF(Tasks[[#This Row],[_Res3Row]]&gt;0,INDEX(res_Name,Tasks[[#This Row],[_Res3Row]]),TRIM(LEFT(Tasks[[#This Row],[_Res3Text]],FIND("[",Tasks[[#This Row],[_Res3Text]]&amp;"[")-1))))</f>
        <v/>
      </c>
      <c r="EC12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0" s="42">
        <f>IF(OR(NOT(Tasks[[#This Row],[_IsLeaf]]=1),Tasks[[#This Row],[_Res3Row]]=0),0,N(Tasks[[#This Row],[_Days]])*HoursPerDay*IF(Tasks[[#This Row],[_Res3Units]]="",DefaultUnits,Tasks[[#This Row],[_Res3Units]]))</f>
        <v/>
      </c>
      <c r="EE120" s="42">
        <f>IF(AND(AND(Tasks[[#This Row],[_IsLeaf]]=1,Tasks[[#This Row],[_LeafTotalWork]]&gt;0),Tasks[[#This Row],[_Res3Work]]&gt;0),Tasks[[#This Row],[_Res3Work]]/(Tasks[[#This Row],[_FinishWorkday]]-Tasks[[#This Row],[_StartWorkday]]+1),0)</f>
        <v/>
      </c>
      <c r="EF120" s="42">
        <f>Tasks[[#This Row],[_Res3WorkPerWD]]*MAX(0,Tasks[[#This Row],[_StartWorkday]]-1)</f>
        <v/>
      </c>
      <c r="EG120" s="42">
        <f>Tasks[[#This Row],[_Res3Work]]*Tasks[[#This Row],[_LeafProgress]]</f>
        <v/>
      </c>
      <c r="EH120" s="42">
        <f>IF(Tasks[[#This Row],[_Res4Text]]="","",IF(Tasks[[#This Row],[_Res4Row]]&gt;0,INDEX(res_Name,Tasks[[#This Row],[_Res4Row]]),TRIM(LEFT(Tasks[[#This Row],[_Res4Text]],FIND("[",Tasks[[#This Row],[_Res4Text]]&amp;"[")-1))))</f>
        <v/>
      </c>
      <c r="EI12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0" s="42">
        <f>IF(OR(NOT(Tasks[[#This Row],[_IsLeaf]]=1),Tasks[[#This Row],[_Res4Row]]=0),0,N(Tasks[[#This Row],[_Days]])*HoursPerDay*IF(Tasks[[#This Row],[_Res4Units]]="",DefaultUnits,Tasks[[#This Row],[_Res4Units]]))</f>
        <v/>
      </c>
      <c r="EK120" s="42">
        <f>IF(AND(AND(Tasks[[#This Row],[_IsLeaf]]=1,Tasks[[#This Row],[_LeafTotalWork]]&gt;0),Tasks[[#This Row],[_Res4Work]]&gt;0),Tasks[[#This Row],[_Res4Work]]/(Tasks[[#This Row],[_FinishWorkday]]-Tasks[[#This Row],[_StartWorkday]]+1),0)</f>
        <v/>
      </c>
      <c r="EL120" s="42">
        <f>Tasks[[#This Row],[_Res4WorkPerWD]]*MAX(0,Tasks[[#This Row],[_StartWorkday]]-1)</f>
        <v/>
      </c>
      <c r="EM120" s="42">
        <f>Tasks[[#This Row],[_Res4Work]]*Tasks[[#This Row],[_LeafProgress]]</f>
        <v/>
      </c>
      <c r="EN120" s="42">
        <f>IF(ISNUMBER(Tasks[[#This Row],[% Complete]]),Tasks[[#This Row],[% Complete]],IF(Tasks[[#This Row],[Stage]]="",0,IFERROR(INDEX(stg_Pct,MATCH(Tasks[[#This Row],[Stage]],stg_Name,0)),0)))</f>
        <v/>
      </c>
      <c r="EO120" s="42">
        <f>IF(NOT(Tasks[[#This Row],[_IsLeaf]]=1),0,IF(N(Tasks[[#This Row],[Actual Finish]])&gt;0,1,MIN(1,Tasks[[#This Row],[_Pct]])))</f>
        <v/>
      </c>
      <c r="EP120" s="42">
        <f>IF(OR(NOT(Tasks[[#This Row],[_IsLeaf]]=1),Tasks[[#This Row],[_Res1Row]]=0),0,N(Tasks[[#This Row],[_Days]])*HoursPerDay*IF(Tasks[[#This Row],[_Units1]]="",DefaultUnits,Tasks[[#This Row],[_Units1]]))</f>
        <v/>
      </c>
      <c r="EQ120" s="42">
        <f>Tasks[[#This Row],[_LeafWork]]+Tasks[[#This Row],[_Res2Work]]+Tasks[[#This Row],[_Res3Work]]+Tasks[[#This Row],[_Res4Work]]</f>
        <v/>
      </c>
      <c r="ER12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0" s="42">
        <f>IF(NOT(Tasks[[#This Row],[_IsLeaf]]=1),0,MAX(_xlfn.MAXIFS(Tasks[_Row],Tasks[_Pred1UID],Tasks[[#This Row],[UID]]),_xlfn.MAXIFS(Tasks[_Row],Tasks[_Pred2UID],Tasks[[#This Row],[UID]]),_xlfn.MAXIFS(Tasks[_Row],Tasks[_Pred3UID],Tasks[[#This Row],[UID]]),_xlfn.MAXIFS(Tasks[_Row],Tasks[_Pred4UID],Tasks[[#This Row],[UID]])))</f>
        <v/>
      </c>
      <c r="FA12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0" s="88">
        <f>IF(NOT(Tasks[[#This Row],[_IsLeaf]]=1),"",IF(N(Tasks[[#This Row],[_Days]])&lt;=0,Tasks[[#This Row],[_LeafLateFinish]],WORKDAY.INTL(Tasks[[#This Row],[_LeafLateFinish]],-(Tasks[[#This Row],[_Days]]-1),WorkWeek,Holidays)))</f>
        <v/>
      </c>
      <c r="FD12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0" s="42">
        <f>AND(Tasks[[#This Row],[_IsLeaf]]=1,Tasks[[#This Row],[_LeafProgress]]&lt;1,N(Tasks[[#This Row],[_LeafTotalSlack]])&lt;=CriticalSlackDays)</f>
        <v/>
      </c>
      <c r="FF120" s="42">
        <f>IF(AND(Tasks[[#This Row],[_IsLeaf]]=1,Tasks[[#This Row],[_ConstraintCode]]=1,Tasks[[#This Row],[Mode]]&lt;&gt;"Manual",N(Tasks[[#This Row],[Actual Start]])=0),MAX(0,N(Tasks[[#This Row],[Free Slack]])),0)</f>
        <v/>
      </c>
      <c r="FG120" s="88">
        <f>IF(NOT(Tasks[[#This Row],[_IsLeaf]]=1),"",IF(Tasks[[#This Row],[_AlapShift]]=0,Tasks[[#This Row],[_LeafCalcStart]],WORKDAY.INTL(Tasks[[#This Row],[_LeafCalcStart]],Tasks[[#This Row],[_AlapShift]],WorkWeek,Holidays)))</f>
        <v/>
      </c>
      <c r="FH120" s="88">
        <f>IF(NOT(Tasks[[#This Row],[_IsLeaf]]=1),"",IF(Tasks[[#This Row],[_AlapShift]]=0,Tasks[[#This Row],[_LeafCalcFinish]],WORKDAY.INTL(Tasks[[#This Row],[_LeafCalcFinish]],Tasks[[#This Row],[_AlapShift]],WorkWeek,Holidays)))</f>
        <v/>
      </c>
      <c r="FI120" s="88">
        <f>IF(NOT(Tasks[[#This Row],[_IsLeaf]]=1),"",IF(Tasks[[#This Row],[_AlapShift]]=0,Tasks[[#This Row],[_LeafFcstStart]],WORKDAY.INTL(Tasks[[#This Row],[_LeafFcstStart]],Tasks[[#This Row],[_AlapShift]],WorkWeek,Holidays)))</f>
        <v/>
      </c>
      <c r="FJ120" s="88">
        <f>IF(NOT(Tasks[[#This Row],[_IsLeaf]]=1),"",IF(Tasks[[#This Row],[_AlapShift]]=0,Tasks[[#This Row],[_LeafFcstFinish]],WORKDAY.INTL(Tasks[[#This Row],[_LeafFcstFinish]],Tasks[[#This Row],[_AlapShift]],WorkWeek,Holidays)))</f>
        <v/>
      </c>
      <c r="FK120" s="88">
        <f>IF(Tasks[[#This Row],[Task Name]]="","",IF(Tasks[[#This Row],[_IsSummary]],MIN(INDEX(Tasks[_ShownCalcStart],Tasks[[#This Row],[_Row]]+1):INDEX(Tasks[_ShownCalcStart],Tasks[[#This Row],[_Row]]+Tasks[[#This Row],[_Descendants]])),Tasks[[#This Row],[_ShownCalcStart]]))</f>
        <v/>
      </c>
      <c r="FL120" s="88">
        <f>IF(Tasks[[#This Row],[Task Name]]="","",IF(Tasks[[#This Row],[_IsSummary]],MAX(INDEX(Tasks[_ShownCalcFinish],Tasks[[#This Row],[_Row]]+1):INDEX(Tasks[_ShownCalcFinish],Tasks[[#This Row],[_Row]]+Tasks[[#This Row],[_Descendants]])),Tasks[[#This Row],[_ShownCalcFinish]]))</f>
        <v/>
      </c>
      <c r="FM12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0" s="42">
        <f>IF(AND(Tasks[[#This Row],[_IsLeaf]]=1,Tasks[[#This Row],[_LeafTotalWork]]&gt;0),NETWORKDAYS.INTL(ProjectStart,Tasks[[#This Row],[_ShownFcstStart]],WorkWeek,Holidays),0)</f>
        <v/>
      </c>
      <c r="FZ120" s="42">
        <f>IF(AND(Tasks[[#This Row],[_IsLeaf]]=1,Tasks[[#This Row],[_LeafTotalWork]]&gt;0),MAX(Tasks[[#This Row],[_StartWorkday]],NETWORKDAYS.INTL(ProjectStart,Tasks[[#This Row],[_ShownFcstFinish]],WorkWeek,Holidays)),0)</f>
        <v/>
      </c>
      <c r="GA120" s="42">
        <f>IF(AND(Tasks[[#This Row],[_IsLeaf]]=1,Tasks[[#This Row],[_LeafTotalWork]]&gt;0),Tasks[[#This Row],[_LeafWork]]/(Tasks[[#This Row],[_FinishWorkday]]-Tasks[[#This Row],[_StartWorkday]]+1),0)</f>
        <v/>
      </c>
      <c r="GB120" s="42">
        <f>Tasks[[#This Row],[_WorkPerWorkday]]*(Tasks[[#This Row],[_StartWorkday]]-1)</f>
        <v/>
      </c>
      <c r="GC120" s="42">
        <f>IF(Tasks[[#This Row],[_IsLeaf]]=1,MAX(N(Tasks[[#This Row],[_Days]]),0.1),0)</f>
        <v/>
      </c>
      <c r="GD120" s="42">
        <f>Tasks[[#This Row],[_WeightDur]]*Tasks[[#This Row],[_LeafProgress]]</f>
        <v/>
      </c>
      <c r="GE120" s="42">
        <f>Tasks[[#This Row],[_WeightDur]]*Tasks[[#This Row],[_PlannedPct]]</f>
        <v/>
      </c>
      <c r="GF12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0" s="42">
        <f>IF(AND(Tasks[[#This Row],[_IsLeaf]]=1,N(Tasks[[#This Row],[_Days]])=0,Tasks[[#This Row],[_LeafProgress]]&lt;1),Tasks[[#This Row],[_ShownFcstFinish]]+Tasks[[#This Row],[_Row]]/100000,"")</f>
        <v/>
      </c>
      <c r="GH12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0" s="42">
        <f>IF(Tasks[[#This Row],[Task Name]]="","",LEFT(Tasks[[#This Row],[WBS]],FIND(".",Tasks[[#This Row],[WBS]]&amp;".")-1))</f>
        <v/>
      </c>
      <c r="GJ120" s="42">
        <f>IF(AND(Tasks[[#This Row],[Task Name]]&lt;&gt;"",Tasks[[#This Row],[_Level]]=1),Tasks[[#This Row],[_Row]],"")</f>
        <v/>
      </c>
      <c r="GK120" s="42">
        <f>IF(AND(Tasks[[#This Row],[_IsLeaf]]=1,N(Tasks[[#This Row],[_Days]])=0),Tasks[[#This Row],[Planned Finish]]+Tasks[[#This Row],[_Row]]/100000,"")</f>
        <v/>
      </c>
      <c r="GL120" s="42">
        <f>IF(AND(Tasks[[#This Row],[_IsLeaf]]=1,Tasks[[#This Row],[_LeafProgress]]&lt;1,OR(N(Tasks[[#This Row],[Finish Var]])&gt;0,Tasks[[#This Row],[Status]]="Late Start")),MAX(0,Tasks[[#This Row],[Finish Var]])+1-Tasks[[#This Row],[_Row]]/1000000,"")</f>
        <v/>
      </c>
      <c r="GM120" s="42">
        <f>IF(AND(Tasks[[#This Row],[_IsLeaf]]=1,N(Tasks[[#This Row],[Actual Start]])=0,Tasks[[#This Row],[_ShownFcstStart]]&gt;=StatusDate,Tasks[[#This Row],[_ShownFcstStart]]&lt;=LookaheadEnd),Tasks[[#This Row],[_ShownFcstStart]]+Tasks[[#This Row],[_Row]]/100000,"")</f>
        <v/>
      </c>
      <c r="GN120" s="42">
        <f>IF(AND(Tasks[[#This Row],[_IsLeaf]]=1,Tasks[[#This Row],[_LeafProgress]]&lt;1,Tasks[[#This Row],[_ShownFcstFinish]]&gt;=StatusDate,Tasks[[#This Row],[_ShownFcstFinish]]&lt;=LookaheadEnd),Tasks[[#This Row],[_ShownFcstFinish]]+Tasks[[#This Row],[_Row]]/100000,"")</f>
        <v/>
      </c>
      <c r="GO120" s="42">
        <f>IF(Tasks[[#This Row],[_LeafCritical]],Tasks[[#This Row],[_ShownFcstStart]]+Tasks[[#This Row],[_Row]]/100000,"")</f>
        <v/>
      </c>
      <c r="GP120" s="42">
        <f>Tasks[[#This Row],[_LeafWork]]*Tasks[[#This Row],[_LeafProgress]]</f>
        <v/>
      </c>
      <c r="GQ120" s="88">
        <f>IF(AND(Tasks[[#This Row],[_IsLeaf]]=1,Tasks[[#This Row],[_LeafProgress]]&gt;=1),IF(N(Tasks[[#This Row],[Actual Finish]])&gt;0,Tasks[[#This Row],[Actual Finish]],Tasks[[#This Row],[_ShownFcstFinish]]),"")</f>
        <v/>
      </c>
      <c r="GR120" s="42">
        <f>IF(Tasks[[#This Row],[_IsLeaf]]=1,N(Tasks[[#This Row],[Story Points]]),0)</f>
        <v/>
      </c>
      <c r="GS120" s="42">
        <f>""</f>
        <v/>
      </c>
      <c r="GT120" s="42">
        <f>IF(Tasks[[#This Row],[Task Name]]="",FALSE(),AND(Tasks[[#This Row],[_IsLeaf]]=1,N(Tasks[[#This Row],[_Days]])=0))</f>
        <v/>
      </c>
      <c r="GU120" s="88">
        <f>IF(Tasks[[#This Row],[Task Name]]="",0,IF(AND(Tasks[[#This Row],[_IsLeaf]]=1,NOT(Tasks[[#This Row],[_IsMilestone]]),N(Tasks[[#This Row],[Progress]])&gt;0),Tasks[[#This Row],[Start]],0))</f>
        <v/>
      </c>
      <c r="GV120" s="88">
        <f>IF(Tasks[[#This Row],[_DoneFrom]]=0,0,IF(Tasks[[#This Row],[Progress]]&gt;=1,Tasks[[#This Row],[Finish]],MAX(Tasks[[#This Row],[_DoneFrom]],Tasks[[#This Row],[Start]]+ROUND((Tasks[[#This Row],[Finish]]-Tasks[[#This Row],[Start]]+1)*Tasks[[#This Row],[Progress]],0)-1)))</f>
        <v/>
      </c>
      <c r="GW120" s="88">
        <f>IF(Tasks[[#This Row],[Task Name]]="",0,IF(OR(NOT(Tasks[[#This Row],[_IsLeaf]]=1),Tasks[[#This Row],[_IsMilestone]],N(Tasks[[#This Row],[Progress]])&gt;=1),0,IF(Tasks[[#This Row],[_DoneTo]]&gt;0,Tasks[[#This Row],[_DoneTo]]+1,Tasks[[#This Row],[Start]])))</f>
        <v/>
      </c>
      <c r="GX120" s="88">
        <f>IF(Tasks[[#This Row],[_RemFrom]]=0,0,Tasks[[#This Row],[Finish]])</f>
        <v/>
      </c>
      <c r="GY120" s="42">
        <f>IF(Tasks[[#This Row],[Task Name]]="",FALSE(),OR(NOT(BaselineSet),N(Tasks[[#This Row],[Baseline Start]])&gt;0))</f>
        <v/>
      </c>
      <c r="GZ120" s="42">
        <f>IF(AND(Sandbox="Yes",L_PARSE_DURATION(Tasks[[#This Row],[Sandbox Duration]])&lt;&gt;""),L_PARSE_DURATION(Tasks[[#This Row],[Sandbox Duration]]),L_PARSE_DURATION(Tasks[[#This Row],[Duration]]))</f>
        <v/>
      </c>
      <c r="HA12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0" s="42">
        <f>IF(Tasks[[#This Row],[_IsLeaf]]=1,Tasks[[#This Row],[_Row]],"")</f>
        <v/>
      </c>
      <c r="HD120" s="42">
        <f>IFERROR(INDEX(Tasks[UID],SMALL(Tasks[_PickKey],Tasks[[#This Row],[_Row]]))&amp;" "&amp;INDEX(Tasks[Task Name],SMALL(Tasks[_PickKey],Tasks[[#This Row],[_Row]])),"")</f>
        <v/>
      </c>
      <c r="HE120" s="42">
        <f>IF(Tasks[[#This Row],[Task Name]]="","",IF(Tasks[[#This Row],[_IsSummary]],NETWORKDAYS.INTL(Tasks[[#This Row],[Start]],Tasks[[#This Row],[Finish]],WorkWeek,Holidays),N(Tasks[[#This Row],[_Days]])))</f>
        <v/>
      </c>
      <c r="HF120" s="42">
        <f>IF(Tasks[[#This Row],[Expected]]="",0,((Tasks[[#This Row],[Pessimistic]]-Tasks[[#This Row],[Optimistic]])/6)^2)</f>
        <v/>
      </c>
      <c r="HG120" s="42">
        <f>IF(Tasks[[#This Row],[Expected]]="",0,Tasks[[#This Row],[Expected]]-N(Tasks[[#This Row],[_Days]]))</f>
        <v/>
      </c>
    </row>
    <row r="121">
      <c r="A121" s="21">
        <f>IF(Tasks[[#This Row],[Task Name]]="","",COUNTA(Tasks[[#Headers],[Task Name]]:Tasks[[#This Row],[Task Name]])-1)</f>
        <v/>
      </c>
      <c r="B121" s="22" t="n">
        <v>129</v>
      </c>
      <c r="C121" s="22" t="n"/>
      <c r="D121" s="23" t="n"/>
      <c r="E121" s="22" t="n"/>
      <c r="F121" s="23" t="n"/>
      <c r="G121" s="22" t="n"/>
      <c r="H121" s="22" t="n"/>
      <c r="I121" s="23" t="n"/>
      <c r="J121" s="22" t="n"/>
      <c r="K121" s="22" t="n"/>
      <c r="L121" s="23" t="n"/>
      <c r="M121" s="22" t="n"/>
      <c r="N121" s="22" t="n"/>
      <c r="O121" s="23" t="n"/>
      <c r="P121" s="22" t="n"/>
      <c r="Q121" s="22" t="n"/>
      <c r="R121" s="23" t="n"/>
      <c r="S121" s="23" t="n"/>
      <c r="T121" s="82" t="n"/>
      <c r="U121" s="23" t="n"/>
      <c r="V121" s="82" t="n"/>
      <c r="W121" s="23" t="n"/>
      <c r="X121" s="82" t="n"/>
      <c r="Y121" s="23" t="n"/>
      <c r="Z121" s="82" t="n"/>
      <c r="AA121" s="23" t="n"/>
      <c r="AB121" s="23" t="n"/>
      <c r="AC121" s="7" t="n"/>
      <c r="AD121" s="7" t="n"/>
      <c r="AE121" s="61">
        <f>IF(Tasks[[#This Row],[Task Name]]="","",IF(Tasks[[#This Row],[_IsSummary]],MIN(INDEX(Tasks[_ShownFcstStart],Tasks[[#This Row],[_Row]]+1):INDEX(Tasks[_ShownFcstStart],Tasks[[#This Row],[_Row]]+Tasks[[#This Row],[_Descendants]])),Tasks[[#This Row],[_ShownFcstStart]]))</f>
        <v/>
      </c>
      <c r="AF121" s="61">
        <f>IF(Tasks[[#This Row],[Task Name]]="","",IF(Tasks[[#This Row],[_IsSummary]],MAX(INDEX(Tasks[_ShownFcstFinish],Tasks[[#This Row],[_Row]]+1):INDEX(Tasks[_ShownFcstFinish],Tasks[[#This Row],[_Row]]+Tasks[[#This Row],[_Descendants]])),Tasks[[#This Row],[_ShownFcstFinish]]))</f>
        <v/>
      </c>
      <c r="AG121" s="21">
        <f>""</f>
        <v/>
      </c>
      <c r="AH121" s="23" t="n"/>
      <c r="AI12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1" s="7" t="n"/>
      <c r="AK121" s="22" t="n"/>
      <c r="AL121" s="23" t="n"/>
      <c r="AM121" s="7" t="n"/>
      <c r="AN121" s="21">
        <f>IF(Tasks[[#This Row],[Task Name]]="","",IF(Tasks[[#This Row],[Finish]]&gt;=Tasks[[#This Row],[Planned Finish]],NETWORKDAYS.INTL(Tasks[[#This Row],[Planned Finish]],Tasks[[#This Row],[Finish]],WorkWeek,Holidays)-1,1-NETWORKDAYS.INTL(Tasks[[#This Row],[Finish]],Tasks[[#This Row],[Planned Finish]],WorkWeek,Holidays)))</f>
        <v/>
      </c>
      <c r="AO121" s="21">
        <f>IF(Tasks[[#This Row],[Task Name]]="","",IF(Tasks[[#This Row],[Progress]]&gt;=1,"Complete",IF(OR(N(Tasks[[#This Row],[Actual Start]])&gt;0,Tasks[[#This Row],[Progress]]&gt;0),IF(Tasks[[#This Row],[Finish Var]]&gt;0,"Behind","In Progress"),IF(Tasks[[#This Row],[Planned Start]]&lt;StatusDate,"Late Start","Not Started"))))</f>
        <v/>
      </c>
      <c r="AP121" s="21">
        <f>IF(Tasks[[#This Row],[Task Name]]="","",IF(IF(Tasks[[#This Row],[_IsSummary]],COUNTIF(INDEX(Tasks[_LeafCritical],Tasks[[#This Row],[_Row]]+1):INDEX(Tasks[_LeafCritical],Tasks[[#This Row],[_Row]]+Tasks[[#This Row],[_Descendants]]),TRUE())&gt;0,Tasks[[#This Row],[_LeafCritical]]),"Yes",""))</f>
        <v/>
      </c>
      <c r="AQ121" s="61">
        <f>IF(Tasks[[#This Row],[Task Name]]="","",IF(N(Tasks[[#This Row],[Baseline Start]])&gt;0,Tasks[[#This Row],[Baseline Start]],Tasks[[#This Row],[_CalcStart]]))</f>
        <v/>
      </c>
      <c r="AR121" s="61">
        <f>IF(Tasks[[#This Row],[Task Name]]="","",IF(N(Tasks[[#This Row],[Baseline Finish]])&gt;0,Tasks[[#This Row],[Baseline Finish]],Tasks[[#This Row],[_CalcFinish]]))</f>
        <v/>
      </c>
      <c r="AS121" s="21">
        <f>IF(Tasks[[#This Row],[Task Name]]="","",IF(Tasks[[#This Row],[Start]]&gt;=Tasks[[#This Row],[Planned Start]],NETWORKDAYS.INTL(Tasks[[#This Row],[Planned Start]],Tasks[[#This Row],[Start]],WorkWeek,Holidays)-1,1-NETWORKDAYS.INTL(Tasks[[#This Row],[Start]],Tasks[[#This Row],[Planned Start]],WorkWeek,Holidays)))</f>
        <v/>
      </c>
      <c r="AT121" s="61">
        <f>IF(Tasks[[#This Row],[Task Name]]="","",IF(Tasks[[#This Row],[_IsSummary]],MIN(INDEX(Tasks[_LeafLateStart],Tasks[[#This Row],[_Row]]+1):INDEX(Tasks[_LeafLateStart],Tasks[[#This Row],[_Row]]+Tasks[[#This Row],[_Descendants]])),Tasks[[#This Row],[_LeafLateStart]]))</f>
        <v/>
      </c>
      <c r="AU121" s="61">
        <f>IF(Tasks[[#This Row],[Task Name]]="","",IF(Tasks[[#This Row],[_IsSummary]],MAX(INDEX(Tasks[_LeafLateFinish],Tasks[[#This Row],[_Row]]+1):INDEX(Tasks[_LeafLateFinish],Tasks[[#This Row],[_Row]]+Tasks[[#This Row],[_Descendants]])),Tasks[[#This Row],[_LeafLateFinish]]))</f>
        <v/>
      </c>
      <c r="AV121" s="21">
        <f>IF(Tasks[[#This Row],[Task Name]]="","",IF(Tasks[[#This Row],[_IsSummary]],MIN(INDEX(Tasks[_LeafTotalSlack],Tasks[[#This Row],[_Row]]+1):INDEX(Tasks[_LeafTotalSlack],Tasks[[#This Row],[_Row]]+Tasks[[#This Row],[_Descendants]])),Tasks[[#This Row],[_LeafTotalSlack]]))</f>
        <v/>
      </c>
      <c r="AW12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3" t="n"/>
      <c r="BA12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f>IF(Tasks[[#This Row],[Task Name]]="","",IF(Tasks[[#This Row],[_Level]]&lt;=OutlineShowLevel,"Yes","No"))</f>
        <v/>
      </c>
      <c r="BE121" s="84">
        <f>IF(Tasks[[#This Row],[Task Name]]="","",IF(Tasks[[#This Row],[_IsSummary]],SUM(INDEX(Tasks[_LeafTotalWork],Tasks[[#This Row],[_Row]]+1):INDEX(Tasks[_LeafTotalWork],Tasks[[#This Row],[_Row]]+Tasks[[#This Row],[_Descendants]])),Tasks[[#This Row],[_LeafTotalWork]]))</f>
        <v/>
      </c>
      <c r="BF121" s="23" t="n"/>
      <c r="BG12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f>""</f>
        <v/>
      </c>
      <c r="BI121" s="85" t="n"/>
      <c r="BJ121" s="22" t="n"/>
      <c r="BK121" s="21">
        <f>IF(OR(Tasks[[#This Row],[Task Name]]="",Tasks[[#This Row],[Baseline Duration]]=""),"",Tasks[[#This Row],[_SpanDays]]-N(Tasks[[#This Row],[Baseline Duration]]))</f>
        <v/>
      </c>
      <c r="BL121" s="84">
        <f>IF(OR(Tasks[[#This Row],[Task Name]]="",Tasks[[#This Row],[Baseline Work]]=""),"",Tasks[[#This Row],[Work]]-N(Tasks[[#This Row],[Baseline Work]]))</f>
        <v/>
      </c>
      <c r="BM121" s="61">
        <f>IF(Tasks[[#This Row],[Task Name]]="","",IF(OR(TakeBaseline="Yes",N(Tasks[[#This Row],[Baseline Start]])=0),Tasks[[#This Row],[Start]],Tasks[[#This Row],[Baseline Start]]))</f>
        <v/>
      </c>
      <c r="BN121" s="61">
        <f>IF(Tasks[[#This Row],[Task Name]]="","",IF(OR(TakeBaseline="Yes",N(Tasks[[#This Row],[Baseline Finish]])=0),Tasks[[#This Row],[Finish]],Tasks[[#This Row],[Baseline Finish]]))</f>
        <v/>
      </c>
      <c r="BO121" s="21">
        <f>IF(Tasks[[#This Row],[Task Name]]="","",IF(OR(TakeBaseline="Yes",N(Tasks[[#This Row],[Baseline Duration]])=0),Tasks[[#This Row],[_SpanDays]],Tasks[[#This Row],[Baseline Duration]]))</f>
        <v/>
      </c>
      <c r="BP121" s="84">
        <f>IF(Tasks[[#This Row],[Task Name]]="","",IF(OR(TakeBaseline="Yes",N(Tasks[[#This Row],[Baseline Work]])=0),Tasks[[#This Row],[Work]],Tasks[[#This Row],[Baseline Work]]))</f>
        <v/>
      </c>
      <c r="BQ121" s="7" t="n"/>
      <c r="BR121" s="7" t="n"/>
      <c r="BS121" s="22" t="n"/>
      <c r="BT121" s="86" t="n"/>
      <c r="BU121" s="23" t="n"/>
      <c r="BV121" s="23" t="n"/>
      <c r="BW121" s="23" t="n"/>
      <c r="BX121" s="87">
        <f>IF(AND(Tasks[[#This Row],[_IsLeaf]]=1,ISNUMBER(Tasks[[#This Row],[Optimistic]]),ISNUMBER(Tasks[[#This Row],[Pessimistic]])),ROUND((Tasks[[#This Row],[Optimistic]]+4*N(Tasks[[#This Row],[_Days]])+Tasks[[#This Row],[Pessimistic]])/6,1),"")</f>
        <v/>
      </c>
      <c r="BY121" s="85" t="n"/>
      <c r="BZ121" s="85" t="n"/>
      <c r="CA121" s="22" t="n"/>
      <c r="CB121" s="42">
        <f>IF(Tasks[[#This Row],[Task Name]]="","",MAX(1,N(Tasks[[#This Row],[Level]])))</f>
        <v/>
      </c>
      <c r="CC121" s="42">
        <f>ROW()-ROW(Tasks[[#Headers],[ID]])</f>
        <v/>
      </c>
      <c r="CD121" s="42">
        <f>IF(OR(Tasks[[#This Row],[Task Name]]="",Tasks[[#This Row],[_Level]]&lt;=1),0,IFERROR(LOOKUP(2,1/(Tasks[[#Headers],[_Level]]:Tasks[[#This Row],[_Level]]=Tasks[[#This Row],[_Level]]-1),ROW(Tasks[[#Headers],[_Level]]:Tasks[[#This Row],[_Level]])),0))</f>
        <v/>
      </c>
      <c r="CE121" s="42">
        <f>IFERROR(N(INDEX(Tasks[_Level],Tasks[[#This Row],[_Row]]+1)),0)</f>
        <v/>
      </c>
      <c r="CF121" s="42">
        <f>AND(Tasks[[#This Row],[Task Name]]&lt;&gt;"",Tasks[[#This Row],[_NextLevel]]&gt;Tasks[[#This Row],[_Level]])</f>
        <v/>
      </c>
      <c r="CG121" s="42">
        <f>IF(Tasks[[#This Row],[_IsSummary]],COUNTIF(Tasks[WBS],Tasks[[#This Row],[WBS]]&amp;".*"),0)</f>
        <v/>
      </c>
      <c r="CH121" s="42">
        <f>IF(AND(Tasks[[#This Row],[Task Name]]&lt;&gt;"",NOT(Tasks[[#This Row],[_IsSummary]])),1,0)</f>
        <v/>
      </c>
      <c r="CI121" s="42">
        <f>IF(N(Tasks[[#This Row],[_Pred1UID]])=0,0,IFERROR(MATCH(Tasks[[#This Row],[_Pred1UID]],Tasks[UID],0),-1))</f>
        <v/>
      </c>
      <c r="CJ121" s="42">
        <f>IF(N(Tasks[[#This Row],[_Pred2UID]])=0,0,IFERROR(MATCH(Tasks[[#This Row],[_Pred2UID]],Tasks[UID],0),-1))</f>
        <v/>
      </c>
      <c r="CK121" s="42">
        <f>IF(N(Tasks[[#This Row],[_Pred3UID]])=0,0,IFERROR(MATCH(Tasks[[#This Row],[_Pred3UID]],Tasks[UID],0),-1))</f>
        <v/>
      </c>
      <c r="CL121" s="42">
        <f>IF(N(Tasks[[#This Row],[_Pred4UID]])=0,0,IFERROR(MATCH(Tasks[[#This Row],[_Pred4UID]],Tasks[UID],0),-1))</f>
        <v/>
      </c>
      <c r="CM12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1" s="88">
        <f>IF(N(Tasks[[#This Row],[Constraint Date]])=0,0,IF(AND(OR(Tasks[[#This Row],[_ConstraintCode]]=3,Tasks[[#This Row],[_ConstraintCode]]=6,Tasks[[#This Row],[_ConstraintCode]]=7),N(Tasks[[#This Row],[_Days]])&gt;1),WORKDAY.INTL(N(Tasks[[#This Row],[Constraint Date]]),-(N(Tasks[[#This Row],[_Days]])-1),WorkWeek,Holidays),N(Tasks[[#This Row],[Constraint Date]])))</f>
        <v/>
      </c>
      <c r="CO121" s="88">
        <f>IF(OR(Tasks[[#This Row],[_ConstraintCode]]=2,Tasks[[#This Row],[_ConstraintCode]]=3,Tasks[[#This Row],[_ConstraintCode]]=4,Tasks[[#This Row],[_ConstraintCode]]=6),Tasks[[#This Row],[_ConstraintStart]],0)</f>
        <v/>
      </c>
      <c r="CP121" s="88">
        <f>IF(OR(Tasks[[#This Row],[_ConstraintCode]]=2,Tasks[[#This Row],[_ConstraintCode]]=3,Tasks[[#This Row],[_ConstraintCode]]=5,Tasks[[#This Row],[_ConstraintCode]]=7),Tasks[[#This Row],[_ConstraintStart]],2958465)</f>
        <v/>
      </c>
      <c r="CQ12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1" s="88">
        <f>IF(NOT(Tasks[[#This Row],[_IsLeaf]]=1),"",IF(N(Tasks[[#This Row],[_Days]])&lt;=0,Tasks[[#This Row],[_LeafCalcStart]],WORKDAY.INTL(Tasks[[#This Row],[_LeafCalcStart]],Tasks[[#This Row],[_Days]]-1,WorkWeek,Holidays)))</f>
        <v/>
      </c>
      <c r="CS12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1" s="42">
        <f>IF(Tasks[[#This Row],[_Predecessors]]="","",TRIM(MID(SUBSTITUTE(SUBSTITUTE(SUBSTITUTE(UPPER(Tasks[[#This Row],[_Predecessors]]),";",",")," ",""),",",REPT(" ",99)),1,99)))</f>
        <v/>
      </c>
      <c r="CV121" s="42">
        <f>IF(Tasks[[#This Row],[_Pred1Text]]="","",IFERROR(VALUE(LEFT(Tasks[[#This Row],[_Pred1Text]],MIN(FIND("F",Tasks[[#This Row],[_Pred1Text]]&amp;"F"),FIND("S",Tasks[[#This Row],[_Pred1Text]]&amp;"S"),FIND("+",Tasks[[#This Row],[_Pred1Text]]&amp;"+"),FIND("-",Tasks[[#This Row],[_Pred1Text]]&amp;"-"))-1)),""))</f>
        <v/>
      </c>
      <c r="CW12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1" s="42">
        <f>IF(Tasks[[#This Row],[_Pred1Text]]="","",TRIM(MID(SUBSTITUTE(SUBSTITUTE(SUBSTITUTE(UPPER(Tasks[[#This Row],[_Predecessors]]),";",",")," ",""),",",REPT(" ",99)),100,99)))</f>
        <v/>
      </c>
      <c r="CZ121" s="42">
        <f>IF(Tasks[[#This Row],[_Pred2Text]]="","",IFERROR(VALUE(LEFT(Tasks[[#This Row],[_Pred2Text]],MIN(FIND("F",Tasks[[#This Row],[_Pred2Text]]&amp;"F"),FIND("S",Tasks[[#This Row],[_Pred2Text]]&amp;"S"),FIND("+",Tasks[[#This Row],[_Pred2Text]]&amp;"+"),FIND("-",Tasks[[#This Row],[_Pred2Text]]&amp;"-"))-1)),""))</f>
        <v/>
      </c>
      <c r="DA12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1" s="42">
        <f>IF(Tasks[[#This Row],[_Pred2Text]]="","",TRIM(MID(SUBSTITUTE(SUBSTITUTE(SUBSTITUTE(UPPER(Tasks[[#This Row],[_Predecessors]]),";",",")," ",""),",",REPT(" ",99)),199,99)))</f>
        <v/>
      </c>
      <c r="DD121" s="42">
        <f>IF(Tasks[[#This Row],[_Pred3Text]]="","",IFERROR(VALUE(LEFT(Tasks[[#This Row],[_Pred3Text]],MIN(FIND("F",Tasks[[#This Row],[_Pred3Text]]&amp;"F"),FIND("S",Tasks[[#This Row],[_Pred3Text]]&amp;"S"),FIND("+",Tasks[[#This Row],[_Pred3Text]]&amp;"+"),FIND("-",Tasks[[#This Row],[_Pred3Text]]&amp;"-"))-1)),""))</f>
        <v/>
      </c>
      <c r="DE12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1" s="42">
        <f>IF(Tasks[[#This Row],[_Pred3Text]]="","",TRIM(MID(SUBSTITUTE(SUBSTITUTE(SUBSTITUTE(UPPER(Tasks[[#This Row],[_Predecessors]]),";",",")," ",""),",",REPT(" ",99)),298,99)))</f>
        <v/>
      </c>
      <c r="DH121" s="42">
        <f>IF(Tasks[[#This Row],[_Pred4Text]]="","",IFERROR(VALUE(LEFT(Tasks[[#This Row],[_Pred4Text]],MIN(FIND("F",Tasks[[#This Row],[_Pred4Text]]&amp;"F"),FIND("S",Tasks[[#This Row],[_Pred4Text]]&amp;"S"),FIND("+",Tasks[[#This Row],[_Pred4Text]]&amp;"+"),FIND("-",Tasks[[#This Row],[_Pred4Text]]&amp;"-"))-1)),""))</f>
        <v/>
      </c>
      <c r="DI12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1" s="42">
        <f>IF(OR(Tasks[[#This Row],[Task Name]]="",Tasks[[#This Row],[_Resources]]=""),"",TRIM(MID(SUBSTITUTE(Tasks[[#This Row],[_Resources]],",",REPT(" ",99)),1,99)))</f>
        <v/>
      </c>
      <c r="DL121" s="42">
        <f>IF(Tasks[[#This Row],[_Res1Text]]="","",TRIM(MID(SUBSTITUTE(Tasks[[#This Row],[_Resources]],",",REPT(" ",99)),100,99)))</f>
        <v/>
      </c>
      <c r="DM121" s="42">
        <f>IF(Tasks[[#This Row],[_Res2Text]]="","",TRIM(MID(SUBSTITUTE(Tasks[[#This Row],[_Resources]],",",REPT(" ",99)),199,99)))</f>
        <v/>
      </c>
      <c r="DN121" s="42">
        <f>IF(Tasks[[#This Row],[_Res3Text]]="","",TRIM(MID(SUBSTITUTE(Tasks[[#This Row],[_Resources]],",",REPT(" ",99)),298,99)))</f>
        <v/>
      </c>
      <c r="DO121" s="42">
        <f>IF(Tasks[[#This Row],[_Res1Text]]="",0,IFERROR(MATCH(TRIM(LEFT(Tasks[[#This Row],[_Res1Text]],FIND("[",Tasks[[#This Row],[_Res1Text]]&amp;"[")-1)),res_Name,0),IFERROR(MATCH(TRIM(LEFT(Tasks[[#This Row],[_Res1Text]],FIND("[",Tasks[[#This Row],[_Res1Text]]&amp;"[")-1)),res_Initials,0),0)))</f>
        <v/>
      </c>
      <c r="DP121" s="42">
        <f>IF(Tasks[[#This Row],[_Res2Text]]="",0,IFERROR(MATCH(TRIM(LEFT(Tasks[[#This Row],[_Res2Text]],FIND("[",Tasks[[#This Row],[_Res2Text]]&amp;"[")-1)),res_Name,0),IFERROR(MATCH(TRIM(LEFT(Tasks[[#This Row],[_Res2Text]],FIND("[",Tasks[[#This Row],[_Res2Text]]&amp;"[")-1)),res_Initials,0),0)))</f>
        <v/>
      </c>
      <c r="DQ121" s="42">
        <f>IF(Tasks[[#This Row],[_Res3Text]]="",0,IFERROR(MATCH(TRIM(LEFT(Tasks[[#This Row],[_Res3Text]],FIND("[",Tasks[[#This Row],[_Res3Text]]&amp;"[")-1)),res_Name,0),IFERROR(MATCH(TRIM(LEFT(Tasks[[#This Row],[_Res3Text]],FIND("[",Tasks[[#This Row],[_Res3Text]]&amp;"[")-1)),res_Initials,0),0)))</f>
        <v/>
      </c>
      <c r="DR121" s="42">
        <f>IF(Tasks[[#This Row],[_Res4Text]]="",0,IFERROR(MATCH(TRIM(LEFT(Tasks[[#This Row],[_Res4Text]],FIND("[",Tasks[[#This Row],[_Res4Text]]&amp;"[")-1)),res_Name,0),IFERROR(MATCH(TRIM(LEFT(Tasks[[#This Row],[_Res4Text]],FIND("[",Tasks[[#This Row],[_Res4Text]]&amp;"[")-1)),res_Initials,0),0)))</f>
        <v/>
      </c>
      <c r="DS121" s="42">
        <f>IF(Tasks[[#This Row],[_Res1Text]]="","",IF(Tasks[[#This Row],[_Res1Row]]&gt;0,INDEX(res_Name,Tasks[[#This Row],[_Res1Row]]),TRIM(LEFT(Tasks[[#This Row],[_Res1Text]],FIND("[",Tasks[[#This Row],[_Res1Text]]&amp;"[")-1))))</f>
        <v/>
      </c>
      <c r="DT12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1" s="42">
        <f>IF(NOT(Tasks[[#This Row],[_IsLeaf]]=1),0,(Tasks[[#This Row],[_Resource1]]&lt;&gt;"")+(Tasks[[#This Row],[_Res2]]&lt;&gt;"")+(Tasks[[#This Row],[_Res3]]&lt;&gt;"")+(Tasks[[#This Row],[_Res4]]&lt;&gt;""))</f>
        <v/>
      </c>
      <c r="DV121" s="42">
        <f>IF(Tasks[[#This Row],[_Res2Text]]="","",IF(Tasks[[#This Row],[_Res2Row]]&gt;0,INDEX(res_Name,Tasks[[#This Row],[_Res2Row]]),TRIM(LEFT(Tasks[[#This Row],[_Res2Text]],FIND("[",Tasks[[#This Row],[_Res2Text]]&amp;"[")-1))))</f>
        <v/>
      </c>
      <c r="DW12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1" s="42">
        <f>IF(OR(NOT(Tasks[[#This Row],[_IsLeaf]]=1),Tasks[[#This Row],[_Res2Row]]=0),0,N(Tasks[[#This Row],[_Days]])*HoursPerDay*IF(Tasks[[#This Row],[_Res2Units]]="",DefaultUnits,Tasks[[#This Row],[_Res2Units]]))</f>
        <v/>
      </c>
      <c r="DY121" s="42">
        <f>IF(AND(AND(Tasks[[#This Row],[_IsLeaf]]=1,Tasks[[#This Row],[_LeafTotalWork]]&gt;0),Tasks[[#This Row],[_Res2Work]]&gt;0),Tasks[[#This Row],[_Res2Work]]/(Tasks[[#This Row],[_FinishWorkday]]-Tasks[[#This Row],[_StartWorkday]]+1),0)</f>
        <v/>
      </c>
      <c r="DZ121" s="42">
        <f>Tasks[[#This Row],[_Res2WorkPerWD]]*MAX(0,Tasks[[#This Row],[_StartWorkday]]-1)</f>
        <v/>
      </c>
      <c r="EA121" s="42">
        <f>Tasks[[#This Row],[_Res2Work]]*Tasks[[#This Row],[_LeafProgress]]</f>
        <v/>
      </c>
      <c r="EB121" s="42">
        <f>IF(Tasks[[#This Row],[_Res3Text]]="","",IF(Tasks[[#This Row],[_Res3Row]]&gt;0,INDEX(res_Name,Tasks[[#This Row],[_Res3Row]]),TRIM(LEFT(Tasks[[#This Row],[_Res3Text]],FIND("[",Tasks[[#This Row],[_Res3Text]]&amp;"[")-1))))</f>
        <v/>
      </c>
      <c r="EC12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1" s="42">
        <f>IF(OR(NOT(Tasks[[#This Row],[_IsLeaf]]=1),Tasks[[#This Row],[_Res3Row]]=0),0,N(Tasks[[#This Row],[_Days]])*HoursPerDay*IF(Tasks[[#This Row],[_Res3Units]]="",DefaultUnits,Tasks[[#This Row],[_Res3Units]]))</f>
        <v/>
      </c>
      <c r="EE121" s="42">
        <f>IF(AND(AND(Tasks[[#This Row],[_IsLeaf]]=1,Tasks[[#This Row],[_LeafTotalWork]]&gt;0),Tasks[[#This Row],[_Res3Work]]&gt;0),Tasks[[#This Row],[_Res3Work]]/(Tasks[[#This Row],[_FinishWorkday]]-Tasks[[#This Row],[_StartWorkday]]+1),0)</f>
        <v/>
      </c>
      <c r="EF121" s="42">
        <f>Tasks[[#This Row],[_Res3WorkPerWD]]*MAX(0,Tasks[[#This Row],[_StartWorkday]]-1)</f>
        <v/>
      </c>
      <c r="EG121" s="42">
        <f>Tasks[[#This Row],[_Res3Work]]*Tasks[[#This Row],[_LeafProgress]]</f>
        <v/>
      </c>
      <c r="EH121" s="42">
        <f>IF(Tasks[[#This Row],[_Res4Text]]="","",IF(Tasks[[#This Row],[_Res4Row]]&gt;0,INDEX(res_Name,Tasks[[#This Row],[_Res4Row]]),TRIM(LEFT(Tasks[[#This Row],[_Res4Text]],FIND("[",Tasks[[#This Row],[_Res4Text]]&amp;"[")-1))))</f>
        <v/>
      </c>
      <c r="EI12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1" s="42">
        <f>IF(OR(NOT(Tasks[[#This Row],[_IsLeaf]]=1),Tasks[[#This Row],[_Res4Row]]=0),0,N(Tasks[[#This Row],[_Days]])*HoursPerDay*IF(Tasks[[#This Row],[_Res4Units]]="",DefaultUnits,Tasks[[#This Row],[_Res4Units]]))</f>
        <v/>
      </c>
      <c r="EK121" s="42">
        <f>IF(AND(AND(Tasks[[#This Row],[_IsLeaf]]=1,Tasks[[#This Row],[_LeafTotalWork]]&gt;0),Tasks[[#This Row],[_Res4Work]]&gt;0),Tasks[[#This Row],[_Res4Work]]/(Tasks[[#This Row],[_FinishWorkday]]-Tasks[[#This Row],[_StartWorkday]]+1),0)</f>
        <v/>
      </c>
      <c r="EL121" s="42">
        <f>Tasks[[#This Row],[_Res4WorkPerWD]]*MAX(0,Tasks[[#This Row],[_StartWorkday]]-1)</f>
        <v/>
      </c>
      <c r="EM121" s="42">
        <f>Tasks[[#This Row],[_Res4Work]]*Tasks[[#This Row],[_LeafProgress]]</f>
        <v/>
      </c>
      <c r="EN121" s="42">
        <f>IF(ISNUMBER(Tasks[[#This Row],[% Complete]]),Tasks[[#This Row],[% Complete]],IF(Tasks[[#This Row],[Stage]]="",0,IFERROR(INDEX(stg_Pct,MATCH(Tasks[[#This Row],[Stage]],stg_Name,0)),0)))</f>
        <v/>
      </c>
      <c r="EO121" s="42">
        <f>IF(NOT(Tasks[[#This Row],[_IsLeaf]]=1),0,IF(N(Tasks[[#This Row],[Actual Finish]])&gt;0,1,MIN(1,Tasks[[#This Row],[_Pct]])))</f>
        <v/>
      </c>
      <c r="EP121" s="42">
        <f>IF(OR(NOT(Tasks[[#This Row],[_IsLeaf]]=1),Tasks[[#This Row],[_Res1Row]]=0),0,N(Tasks[[#This Row],[_Days]])*HoursPerDay*IF(Tasks[[#This Row],[_Units1]]="",DefaultUnits,Tasks[[#This Row],[_Units1]]))</f>
        <v/>
      </c>
      <c r="EQ121" s="42">
        <f>Tasks[[#This Row],[_LeafWork]]+Tasks[[#This Row],[_Res2Work]]+Tasks[[#This Row],[_Res3Work]]+Tasks[[#This Row],[_Res4Work]]</f>
        <v/>
      </c>
      <c r="ER12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1" s="42">
        <f>IF(NOT(Tasks[[#This Row],[_IsLeaf]]=1),0,MAX(_xlfn.MAXIFS(Tasks[_Row],Tasks[_Pred1UID],Tasks[[#This Row],[UID]]),_xlfn.MAXIFS(Tasks[_Row],Tasks[_Pred2UID],Tasks[[#This Row],[UID]]),_xlfn.MAXIFS(Tasks[_Row],Tasks[_Pred3UID],Tasks[[#This Row],[UID]]),_xlfn.MAXIFS(Tasks[_Row],Tasks[_Pred4UID],Tasks[[#This Row],[UID]])))</f>
        <v/>
      </c>
      <c r="FA12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1" s="88">
        <f>IF(NOT(Tasks[[#This Row],[_IsLeaf]]=1),"",IF(N(Tasks[[#This Row],[_Days]])&lt;=0,Tasks[[#This Row],[_LeafLateFinish]],WORKDAY.INTL(Tasks[[#This Row],[_LeafLateFinish]],-(Tasks[[#This Row],[_Days]]-1),WorkWeek,Holidays)))</f>
        <v/>
      </c>
      <c r="FD12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1" s="42">
        <f>AND(Tasks[[#This Row],[_IsLeaf]]=1,Tasks[[#This Row],[_LeafProgress]]&lt;1,N(Tasks[[#This Row],[_LeafTotalSlack]])&lt;=CriticalSlackDays)</f>
        <v/>
      </c>
      <c r="FF121" s="42">
        <f>IF(AND(Tasks[[#This Row],[_IsLeaf]]=1,Tasks[[#This Row],[_ConstraintCode]]=1,Tasks[[#This Row],[Mode]]&lt;&gt;"Manual",N(Tasks[[#This Row],[Actual Start]])=0),MAX(0,N(Tasks[[#This Row],[Free Slack]])),0)</f>
        <v/>
      </c>
      <c r="FG121" s="88">
        <f>IF(NOT(Tasks[[#This Row],[_IsLeaf]]=1),"",IF(Tasks[[#This Row],[_AlapShift]]=0,Tasks[[#This Row],[_LeafCalcStart]],WORKDAY.INTL(Tasks[[#This Row],[_LeafCalcStart]],Tasks[[#This Row],[_AlapShift]],WorkWeek,Holidays)))</f>
        <v/>
      </c>
      <c r="FH121" s="88">
        <f>IF(NOT(Tasks[[#This Row],[_IsLeaf]]=1),"",IF(Tasks[[#This Row],[_AlapShift]]=0,Tasks[[#This Row],[_LeafCalcFinish]],WORKDAY.INTL(Tasks[[#This Row],[_LeafCalcFinish]],Tasks[[#This Row],[_AlapShift]],WorkWeek,Holidays)))</f>
        <v/>
      </c>
      <c r="FI121" s="88">
        <f>IF(NOT(Tasks[[#This Row],[_IsLeaf]]=1),"",IF(Tasks[[#This Row],[_AlapShift]]=0,Tasks[[#This Row],[_LeafFcstStart]],WORKDAY.INTL(Tasks[[#This Row],[_LeafFcstStart]],Tasks[[#This Row],[_AlapShift]],WorkWeek,Holidays)))</f>
        <v/>
      </c>
      <c r="FJ121" s="88">
        <f>IF(NOT(Tasks[[#This Row],[_IsLeaf]]=1),"",IF(Tasks[[#This Row],[_AlapShift]]=0,Tasks[[#This Row],[_LeafFcstFinish]],WORKDAY.INTL(Tasks[[#This Row],[_LeafFcstFinish]],Tasks[[#This Row],[_AlapShift]],WorkWeek,Holidays)))</f>
        <v/>
      </c>
      <c r="FK121" s="88">
        <f>IF(Tasks[[#This Row],[Task Name]]="","",IF(Tasks[[#This Row],[_IsSummary]],MIN(INDEX(Tasks[_ShownCalcStart],Tasks[[#This Row],[_Row]]+1):INDEX(Tasks[_ShownCalcStart],Tasks[[#This Row],[_Row]]+Tasks[[#This Row],[_Descendants]])),Tasks[[#This Row],[_ShownCalcStart]]))</f>
        <v/>
      </c>
      <c r="FL121" s="88">
        <f>IF(Tasks[[#This Row],[Task Name]]="","",IF(Tasks[[#This Row],[_IsSummary]],MAX(INDEX(Tasks[_ShownCalcFinish],Tasks[[#This Row],[_Row]]+1):INDEX(Tasks[_ShownCalcFinish],Tasks[[#This Row],[_Row]]+Tasks[[#This Row],[_Descendants]])),Tasks[[#This Row],[_ShownCalcFinish]]))</f>
        <v/>
      </c>
      <c r="FM12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1" s="42">
        <f>IF(AND(Tasks[[#This Row],[_IsLeaf]]=1,Tasks[[#This Row],[_LeafTotalWork]]&gt;0),NETWORKDAYS.INTL(ProjectStart,Tasks[[#This Row],[_ShownFcstStart]],WorkWeek,Holidays),0)</f>
        <v/>
      </c>
      <c r="FZ121" s="42">
        <f>IF(AND(Tasks[[#This Row],[_IsLeaf]]=1,Tasks[[#This Row],[_LeafTotalWork]]&gt;0),MAX(Tasks[[#This Row],[_StartWorkday]],NETWORKDAYS.INTL(ProjectStart,Tasks[[#This Row],[_ShownFcstFinish]],WorkWeek,Holidays)),0)</f>
        <v/>
      </c>
      <c r="GA121" s="42">
        <f>IF(AND(Tasks[[#This Row],[_IsLeaf]]=1,Tasks[[#This Row],[_LeafTotalWork]]&gt;0),Tasks[[#This Row],[_LeafWork]]/(Tasks[[#This Row],[_FinishWorkday]]-Tasks[[#This Row],[_StartWorkday]]+1),0)</f>
        <v/>
      </c>
      <c r="GB121" s="42">
        <f>Tasks[[#This Row],[_WorkPerWorkday]]*(Tasks[[#This Row],[_StartWorkday]]-1)</f>
        <v/>
      </c>
      <c r="GC121" s="42">
        <f>IF(Tasks[[#This Row],[_IsLeaf]]=1,MAX(N(Tasks[[#This Row],[_Days]]),0.1),0)</f>
        <v/>
      </c>
      <c r="GD121" s="42">
        <f>Tasks[[#This Row],[_WeightDur]]*Tasks[[#This Row],[_LeafProgress]]</f>
        <v/>
      </c>
      <c r="GE121" s="42">
        <f>Tasks[[#This Row],[_WeightDur]]*Tasks[[#This Row],[_PlannedPct]]</f>
        <v/>
      </c>
      <c r="GF12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1" s="42">
        <f>IF(AND(Tasks[[#This Row],[_IsLeaf]]=1,N(Tasks[[#This Row],[_Days]])=0,Tasks[[#This Row],[_LeafProgress]]&lt;1),Tasks[[#This Row],[_ShownFcstFinish]]+Tasks[[#This Row],[_Row]]/100000,"")</f>
        <v/>
      </c>
      <c r="GH12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1" s="42">
        <f>IF(Tasks[[#This Row],[Task Name]]="","",LEFT(Tasks[[#This Row],[WBS]],FIND(".",Tasks[[#This Row],[WBS]]&amp;".")-1))</f>
        <v/>
      </c>
      <c r="GJ121" s="42">
        <f>IF(AND(Tasks[[#This Row],[Task Name]]&lt;&gt;"",Tasks[[#This Row],[_Level]]=1),Tasks[[#This Row],[_Row]],"")</f>
        <v/>
      </c>
      <c r="GK121" s="42">
        <f>IF(AND(Tasks[[#This Row],[_IsLeaf]]=1,N(Tasks[[#This Row],[_Days]])=0),Tasks[[#This Row],[Planned Finish]]+Tasks[[#This Row],[_Row]]/100000,"")</f>
        <v/>
      </c>
      <c r="GL121" s="42">
        <f>IF(AND(Tasks[[#This Row],[_IsLeaf]]=1,Tasks[[#This Row],[_LeafProgress]]&lt;1,OR(N(Tasks[[#This Row],[Finish Var]])&gt;0,Tasks[[#This Row],[Status]]="Late Start")),MAX(0,Tasks[[#This Row],[Finish Var]])+1-Tasks[[#This Row],[_Row]]/1000000,"")</f>
        <v/>
      </c>
      <c r="GM121" s="42">
        <f>IF(AND(Tasks[[#This Row],[_IsLeaf]]=1,N(Tasks[[#This Row],[Actual Start]])=0,Tasks[[#This Row],[_ShownFcstStart]]&gt;=StatusDate,Tasks[[#This Row],[_ShownFcstStart]]&lt;=LookaheadEnd),Tasks[[#This Row],[_ShownFcstStart]]+Tasks[[#This Row],[_Row]]/100000,"")</f>
        <v/>
      </c>
      <c r="GN121" s="42">
        <f>IF(AND(Tasks[[#This Row],[_IsLeaf]]=1,Tasks[[#This Row],[_LeafProgress]]&lt;1,Tasks[[#This Row],[_ShownFcstFinish]]&gt;=StatusDate,Tasks[[#This Row],[_ShownFcstFinish]]&lt;=LookaheadEnd),Tasks[[#This Row],[_ShownFcstFinish]]+Tasks[[#This Row],[_Row]]/100000,"")</f>
        <v/>
      </c>
      <c r="GO121" s="42">
        <f>IF(Tasks[[#This Row],[_LeafCritical]],Tasks[[#This Row],[_ShownFcstStart]]+Tasks[[#This Row],[_Row]]/100000,"")</f>
        <v/>
      </c>
      <c r="GP121" s="42">
        <f>Tasks[[#This Row],[_LeafWork]]*Tasks[[#This Row],[_LeafProgress]]</f>
        <v/>
      </c>
      <c r="GQ121" s="88">
        <f>IF(AND(Tasks[[#This Row],[_IsLeaf]]=1,Tasks[[#This Row],[_LeafProgress]]&gt;=1),IF(N(Tasks[[#This Row],[Actual Finish]])&gt;0,Tasks[[#This Row],[Actual Finish]],Tasks[[#This Row],[_ShownFcstFinish]]),"")</f>
        <v/>
      </c>
      <c r="GR121" s="42">
        <f>IF(Tasks[[#This Row],[_IsLeaf]]=1,N(Tasks[[#This Row],[Story Points]]),0)</f>
        <v/>
      </c>
      <c r="GS121" s="42">
        <f>""</f>
        <v/>
      </c>
      <c r="GT121" s="42">
        <f>IF(Tasks[[#This Row],[Task Name]]="",FALSE(),AND(Tasks[[#This Row],[_IsLeaf]]=1,N(Tasks[[#This Row],[_Days]])=0))</f>
        <v/>
      </c>
      <c r="GU121" s="88">
        <f>IF(Tasks[[#This Row],[Task Name]]="",0,IF(AND(Tasks[[#This Row],[_IsLeaf]]=1,NOT(Tasks[[#This Row],[_IsMilestone]]),N(Tasks[[#This Row],[Progress]])&gt;0),Tasks[[#This Row],[Start]],0))</f>
        <v/>
      </c>
      <c r="GV121" s="88">
        <f>IF(Tasks[[#This Row],[_DoneFrom]]=0,0,IF(Tasks[[#This Row],[Progress]]&gt;=1,Tasks[[#This Row],[Finish]],MAX(Tasks[[#This Row],[_DoneFrom]],Tasks[[#This Row],[Start]]+ROUND((Tasks[[#This Row],[Finish]]-Tasks[[#This Row],[Start]]+1)*Tasks[[#This Row],[Progress]],0)-1)))</f>
        <v/>
      </c>
      <c r="GW121" s="88">
        <f>IF(Tasks[[#This Row],[Task Name]]="",0,IF(OR(NOT(Tasks[[#This Row],[_IsLeaf]]=1),Tasks[[#This Row],[_IsMilestone]],N(Tasks[[#This Row],[Progress]])&gt;=1),0,IF(Tasks[[#This Row],[_DoneTo]]&gt;0,Tasks[[#This Row],[_DoneTo]]+1,Tasks[[#This Row],[Start]])))</f>
        <v/>
      </c>
      <c r="GX121" s="88">
        <f>IF(Tasks[[#This Row],[_RemFrom]]=0,0,Tasks[[#This Row],[Finish]])</f>
        <v/>
      </c>
      <c r="GY121" s="42">
        <f>IF(Tasks[[#This Row],[Task Name]]="",FALSE(),OR(NOT(BaselineSet),N(Tasks[[#This Row],[Baseline Start]])&gt;0))</f>
        <v/>
      </c>
      <c r="GZ121" s="42">
        <f>IF(AND(Sandbox="Yes",L_PARSE_DURATION(Tasks[[#This Row],[Sandbox Duration]])&lt;&gt;""),L_PARSE_DURATION(Tasks[[#This Row],[Sandbox Duration]]),L_PARSE_DURATION(Tasks[[#This Row],[Duration]]))</f>
        <v/>
      </c>
      <c r="HA12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1" s="42">
        <f>IF(Tasks[[#This Row],[_IsLeaf]]=1,Tasks[[#This Row],[_Row]],"")</f>
        <v/>
      </c>
      <c r="HD121" s="42">
        <f>IFERROR(INDEX(Tasks[UID],SMALL(Tasks[_PickKey],Tasks[[#This Row],[_Row]]))&amp;" "&amp;INDEX(Tasks[Task Name],SMALL(Tasks[_PickKey],Tasks[[#This Row],[_Row]])),"")</f>
        <v/>
      </c>
      <c r="HE121" s="42">
        <f>IF(Tasks[[#This Row],[Task Name]]="","",IF(Tasks[[#This Row],[_IsSummary]],NETWORKDAYS.INTL(Tasks[[#This Row],[Start]],Tasks[[#This Row],[Finish]],WorkWeek,Holidays),N(Tasks[[#This Row],[_Days]])))</f>
        <v/>
      </c>
      <c r="HF121" s="42">
        <f>IF(Tasks[[#This Row],[Expected]]="",0,((Tasks[[#This Row],[Pessimistic]]-Tasks[[#This Row],[Optimistic]])/6)^2)</f>
        <v/>
      </c>
      <c r="HG121" s="42">
        <f>IF(Tasks[[#This Row],[Expected]]="",0,Tasks[[#This Row],[Expected]]-N(Tasks[[#This Row],[_Days]]))</f>
        <v/>
      </c>
    </row>
    <row r="122">
      <c r="A122" s="21">
        <f>IF(Tasks[[#This Row],[Task Name]]="","",COUNTA(Tasks[[#Headers],[Task Name]]:Tasks[[#This Row],[Task Name]])-1)</f>
        <v/>
      </c>
      <c r="B122" s="22" t="n">
        <v>130</v>
      </c>
      <c r="C122" s="22" t="n"/>
      <c r="D122" s="23" t="n"/>
      <c r="E122" s="22" t="n"/>
      <c r="F122" s="23" t="n"/>
      <c r="G122" s="22" t="n"/>
      <c r="H122" s="22" t="n"/>
      <c r="I122" s="23" t="n"/>
      <c r="J122" s="22" t="n"/>
      <c r="K122" s="22" t="n"/>
      <c r="L122" s="23" t="n"/>
      <c r="M122" s="22" t="n"/>
      <c r="N122" s="22" t="n"/>
      <c r="O122" s="23" t="n"/>
      <c r="P122" s="22" t="n"/>
      <c r="Q122" s="22" t="n"/>
      <c r="R122" s="23" t="n"/>
      <c r="S122" s="23" t="n"/>
      <c r="T122" s="82" t="n"/>
      <c r="U122" s="23" t="n"/>
      <c r="V122" s="82" t="n"/>
      <c r="W122" s="23" t="n"/>
      <c r="X122" s="82" t="n"/>
      <c r="Y122" s="23" t="n"/>
      <c r="Z122" s="82" t="n"/>
      <c r="AA122" s="23" t="n"/>
      <c r="AB122" s="23" t="n"/>
      <c r="AC122" s="7" t="n"/>
      <c r="AD122" s="7" t="n"/>
      <c r="AE122" s="61">
        <f>IF(Tasks[[#This Row],[Task Name]]="","",IF(Tasks[[#This Row],[_IsSummary]],MIN(INDEX(Tasks[_ShownFcstStart],Tasks[[#This Row],[_Row]]+1):INDEX(Tasks[_ShownFcstStart],Tasks[[#This Row],[_Row]]+Tasks[[#This Row],[_Descendants]])),Tasks[[#This Row],[_ShownFcstStart]]))</f>
        <v/>
      </c>
      <c r="AF122" s="61">
        <f>IF(Tasks[[#This Row],[Task Name]]="","",IF(Tasks[[#This Row],[_IsSummary]],MAX(INDEX(Tasks[_ShownFcstFinish],Tasks[[#This Row],[_Row]]+1):INDEX(Tasks[_ShownFcstFinish],Tasks[[#This Row],[_Row]]+Tasks[[#This Row],[_Descendants]])),Tasks[[#This Row],[_ShownFcstFinish]]))</f>
        <v/>
      </c>
      <c r="AG122" s="21">
        <f>""</f>
        <v/>
      </c>
      <c r="AH122" s="23" t="n"/>
      <c r="AI12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2" s="7" t="n"/>
      <c r="AK122" s="22" t="n"/>
      <c r="AL122" s="23" t="n"/>
      <c r="AM122" s="7" t="n"/>
      <c r="AN122" s="21">
        <f>IF(Tasks[[#This Row],[Task Name]]="","",IF(Tasks[[#This Row],[Finish]]&gt;=Tasks[[#This Row],[Planned Finish]],NETWORKDAYS.INTL(Tasks[[#This Row],[Planned Finish]],Tasks[[#This Row],[Finish]],WorkWeek,Holidays)-1,1-NETWORKDAYS.INTL(Tasks[[#This Row],[Finish]],Tasks[[#This Row],[Planned Finish]],WorkWeek,Holidays)))</f>
        <v/>
      </c>
      <c r="AO122" s="21">
        <f>IF(Tasks[[#This Row],[Task Name]]="","",IF(Tasks[[#This Row],[Progress]]&gt;=1,"Complete",IF(OR(N(Tasks[[#This Row],[Actual Start]])&gt;0,Tasks[[#This Row],[Progress]]&gt;0),IF(Tasks[[#This Row],[Finish Var]]&gt;0,"Behind","In Progress"),IF(Tasks[[#This Row],[Planned Start]]&lt;StatusDate,"Late Start","Not Started"))))</f>
        <v/>
      </c>
      <c r="AP122" s="21">
        <f>IF(Tasks[[#This Row],[Task Name]]="","",IF(IF(Tasks[[#This Row],[_IsSummary]],COUNTIF(INDEX(Tasks[_LeafCritical],Tasks[[#This Row],[_Row]]+1):INDEX(Tasks[_LeafCritical],Tasks[[#This Row],[_Row]]+Tasks[[#This Row],[_Descendants]]),TRUE())&gt;0,Tasks[[#This Row],[_LeafCritical]]),"Yes",""))</f>
        <v/>
      </c>
      <c r="AQ122" s="61">
        <f>IF(Tasks[[#This Row],[Task Name]]="","",IF(N(Tasks[[#This Row],[Baseline Start]])&gt;0,Tasks[[#This Row],[Baseline Start]],Tasks[[#This Row],[_CalcStart]]))</f>
        <v/>
      </c>
      <c r="AR122" s="61">
        <f>IF(Tasks[[#This Row],[Task Name]]="","",IF(N(Tasks[[#This Row],[Baseline Finish]])&gt;0,Tasks[[#This Row],[Baseline Finish]],Tasks[[#This Row],[_CalcFinish]]))</f>
        <v/>
      </c>
      <c r="AS122" s="21">
        <f>IF(Tasks[[#This Row],[Task Name]]="","",IF(Tasks[[#This Row],[Start]]&gt;=Tasks[[#This Row],[Planned Start]],NETWORKDAYS.INTL(Tasks[[#This Row],[Planned Start]],Tasks[[#This Row],[Start]],WorkWeek,Holidays)-1,1-NETWORKDAYS.INTL(Tasks[[#This Row],[Start]],Tasks[[#This Row],[Planned Start]],WorkWeek,Holidays)))</f>
        <v/>
      </c>
      <c r="AT122" s="61">
        <f>IF(Tasks[[#This Row],[Task Name]]="","",IF(Tasks[[#This Row],[_IsSummary]],MIN(INDEX(Tasks[_LeafLateStart],Tasks[[#This Row],[_Row]]+1):INDEX(Tasks[_LeafLateStart],Tasks[[#This Row],[_Row]]+Tasks[[#This Row],[_Descendants]])),Tasks[[#This Row],[_LeafLateStart]]))</f>
        <v/>
      </c>
      <c r="AU122" s="61">
        <f>IF(Tasks[[#This Row],[Task Name]]="","",IF(Tasks[[#This Row],[_IsSummary]],MAX(INDEX(Tasks[_LeafLateFinish],Tasks[[#This Row],[_Row]]+1):INDEX(Tasks[_LeafLateFinish],Tasks[[#This Row],[_Row]]+Tasks[[#This Row],[_Descendants]])),Tasks[[#This Row],[_LeafLateFinish]]))</f>
        <v/>
      </c>
      <c r="AV122" s="21">
        <f>IF(Tasks[[#This Row],[Task Name]]="","",IF(Tasks[[#This Row],[_IsSummary]],MIN(INDEX(Tasks[_LeafTotalSlack],Tasks[[#This Row],[_Row]]+1):INDEX(Tasks[_LeafTotalSlack],Tasks[[#This Row],[_Row]]+Tasks[[#This Row],[_Descendants]])),Tasks[[#This Row],[_LeafTotalSlack]]))</f>
        <v/>
      </c>
      <c r="AW12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3" t="n"/>
      <c r="BA12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f>IF(Tasks[[#This Row],[Task Name]]="","",IF(Tasks[[#This Row],[_Level]]&lt;=OutlineShowLevel,"Yes","No"))</f>
        <v/>
      </c>
      <c r="BE122" s="84">
        <f>IF(Tasks[[#This Row],[Task Name]]="","",IF(Tasks[[#This Row],[_IsSummary]],SUM(INDEX(Tasks[_LeafTotalWork],Tasks[[#This Row],[_Row]]+1):INDEX(Tasks[_LeafTotalWork],Tasks[[#This Row],[_Row]]+Tasks[[#This Row],[_Descendants]])),Tasks[[#This Row],[_LeafTotalWork]]))</f>
        <v/>
      </c>
      <c r="BF122" s="23" t="n"/>
      <c r="BG12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f>""</f>
        <v/>
      </c>
      <c r="BI122" s="85" t="n"/>
      <c r="BJ122" s="22" t="n"/>
      <c r="BK122" s="21">
        <f>IF(OR(Tasks[[#This Row],[Task Name]]="",Tasks[[#This Row],[Baseline Duration]]=""),"",Tasks[[#This Row],[_SpanDays]]-N(Tasks[[#This Row],[Baseline Duration]]))</f>
        <v/>
      </c>
      <c r="BL122" s="84">
        <f>IF(OR(Tasks[[#This Row],[Task Name]]="",Tasks[[#This Row],[Baseline Work]]=""),"",Tasks[[#This Row],[Work]]-N(Tasks[[#This Row],[Baseline Work]]))</f>
        <v/>
      </c>
      <c r="BM122" s="61">
        <f>IF(Tasks[[#This Row],[Task Name]]="","",IF(OR(TakeBaseline="Yes",N(Tasks[[#This Row],[Baseline Start]])=0),Tasks[[#This Row],[Start]],Tasks[[#This Row],[Baseline Start]]))</f>
        <v/>
      </c>
      <c r="BN122" s="61">
        <f>IF(Tasks[[#This Row],[Task Name]]="","",IF(OR(TakeBaseline="Yes",N(Tasks[[#This Row],[Baseline Finish]])=0),Tasks[[#This Row],[Finish]],Tasks[[#This Row],[Baseline Finish]]))</f>
        <v/>
      </c>
      <c r="BO122" s="21">
        <f>IF(Tasks[[#This Row],[Task Name]]="","",IF(OR(TakeBaseline="Yes",N(Tasks[[#This Row],[Baseline Duration]])=0),Tasks[[#This Row],[_SpanDays]],Tasks[[#This Row],[Baseline Duration]]))</f>
        <v/>
      </c>
      <c r="BP122" s="84">
        <f>IF(Tasks[[#This Row],[Task Name]]="","",IF(OR(TakeBaseline="Yes",N(Tasks[[#This Row],[Baseline Work]])=0),Tasks[[#This Row],[Work]],Tasks[[#This Row],[Baseline Work]]))</f>
        <v/>
      </c>
      <c r="BQ122" s="7" t="n"/>
      <c r="BR122" s="7" t="n"/>
      <c r="BS122" s="22" t="n"/>
      <c r="BT122" s="86" t="n"/>
      <c r="BU122" s="23" t="n"/>
      <c r="BV122" s="23" t="n"/>
      <c r="BW122" s="23" t="n"/>
      <c r="BX122" s="87">
        <f>IF(AND(Tasks[[#This Row],[_IsLeaf]]=1,ISNUMBER(Tasks[[#This Row],[Optimistic]]),ISNUMBER(Tasks[[#This Row],[Pessimistic]])),ROUND((Tasks[[#This Row],[Optimistic]]+4*N(Tasks[[#This Row],[_Days]])+Tasks[[#This Row],[Pessimistic]])/6,1),"")</f>
        <v/>
      </c>
      <c r="BY122" s="85" t="n"/>
      <c r="BZ122" s="85" t="n"/>
      <c r="CA122" s="22" t="n"/>
      <c r="CB122" s="42">
        <f>IF(Tasks[[#This Row],[Task Name]]="","",MAX(1,N(Tasks[[#This Row],[Level]])))</f>
        <v/>
      </c>
      <c r="CC122" s="42">
        <f>ROW()-ROW(Tasks[[#Headers],[ID]])</f>
        <v/>
      </c>
      <c r="CD122" s="42">
        <f>IF(OR(Tasks[[#This Row],[Task Name]]="",Tasks[[#This Row],[_Level]]&lt;=1),0,IFERROR(LOOKUP(2,1/(Tasks[[#Headers],[_Level]]:Tasks[[#This Row],[_Level]]=Tasks[[#This Row],[_Level]]-1),ROW(Tasks[[#Headers],[_Level]]:Tasks[[#This Row],[_Level]])),0))</f>
        <v/>
      </c>
      <c r="CE122" s="42">
        <f>IFERROR(N(INDEX(Tasks[_Level],Tasks[[#This Row],[_Row]]+1)),0)</f>
        <v/>
      </c>
      <c r="CF122" s="42">
        <f>AND(Tasks[[#This Row],[Task Name]]&lt;&gt;"",Tasks[[#This Row],[_NextLevel]]&gt;Tasks[[#This Row],[_Level]])</f>
        <v/>
      </c>
      <c r="CG122" s="42">
        <f>IF(Tasks[[#This Row],[_IsSummary]],COUNTIF(Tasks[WBS],Tasks[[#This Row],[WBS]]&amp;".*"),0)</f>
        <v/>
      </c>
      <c r="CH122" s="42">
        <f>IF(AND(Tasks[[#This Row],[Task Name]]&lt;&gt;"",NOT(Tasks[[#This Row],[_IsSummary]])),1,0)</f>
        <v/>
      </c>
      <c r="CI122" s="42">
        <f>IF(N(Tasks[[#This Row],[_Pred1UID]])=0,0,IFERROR(MATCH(Tasks[[#This Row],[_Pred1UID]],Tasks[UID],0),-1))</f>
        <v/>
      </c>
      <c r="CJ122" s="42">
        <f>IF(N(Tasks[[#This Row],[_Pred2UID]])=0,0,IFERROR(MATCH(Tasks[[#This Row],[_Pred2UID]],Tasks[UID],0),-1))</f>
        <v/>
      </c>
      <c r="CK122" s="42">
        <f>IF(N(Tasks[[#This Row],[_Pred3UID]])=0,0,IFERROR(MATCH(Tasks[[#This Row],[_Pred3UID]],Tasks[UID],0),-1))</f>
        <v/>
      </c>
      <c r="CL122" s="42">
        <f>IF(N(Tasks[[#This Row],[_Pred4UID]])=0,0,IFERROR(MATCH(Tasks[[#This Row],[_Pred4UID]],Tasks[UID],0),-1))</f>
        <v/>
      </c>
      <c r="CM12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2" s="88">
        <f>IF(N(Tasks[[#This Row],[Constraint Date]])=0,0,IF(AND(OR(Tasks[[#This Row],[_ConstraintCode]]=3,Tasks[[#This Row],[_ConstraintCode]]=6,Tasks[[#This Row],[_ConstraintCode]]=7),N(Tasks[[#This Row],[_Days]])&gt;1),WORKDAY.INTL(N(Tasks[[#This Row],[Constraint Date]]),-(N(Tasks[[#This Row],[_Days]])-1),WorkWeek,Holidays),N(Tasks[[#This Row],[Constraint Date]])))</f>
        <v/>
      </c>
      <c r="CO122" s="88">
        <f>IF(OR(Tasks[[#This Row],[_ConstraintCode]]=2,Tasks[[#This Row],[_ConstraintCode]]=3,Tasks[[#This Row],[_ConstraintCode]]=4,Tasks[[#This Row],[_ConstraintCode]]=6),Tasks[[#This Row],[_ConstraintStart]],0)</f>
        <v/>
      </c>
      <c r="CP122" s="88">
        <f>IF(OR(Tasks[[#This Row],[_ConstraintCode]]=2,Tasks[[#This Row],[_ConstraintCode]]=3,Tasks[[#This Row],[_ConstraintCode]]=5,Tasks[[#This Row],[_ConstraintCode]]=7),Tasks[[#This Row],[_ConstraintStart]],2958465)</f>
        <v/>
      </c>
      <c r="CQ12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2" s="88">
        <f>IF(NOT(Tasks[[#This Row],[_IsLeaf]]=1),"",IF(N(Tasks[[#This Row],[_Days]])&lt;=0,Tasks[[#This Row],[_LeafCalcStart]],WORKDAY.INTL(Tasks[[#This Row],[_LeafCalcStart]],Tasks[[#This Row],[_Days]]-1,WorkWeek,Holidays)))</f>
        <v/>
      </c>
      <c r="CS12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2" s="42">
        <f>IF(Tasks[[#This Row],[_Predecessors]]="","",TRIM(MID(SUBSTITUTE(SUBSTITUTE(SUBSTITUTE(UPPER(Tasks[[#This Row],[_Predecessors]]),";",",")," ",""),",",REPT(" ",99)),1,99)))</f>
        <v/>
      </c>
      <c r="CV122" s="42">
        <f>IF(Tasks[[#This Row],[_Pred1Text]]="","",IFERROR(VALUE(LEFT(Tasks[[#This Row],[_Pred1Text]],MIN(FIND("F",Tasks[[#This Row],[_Pred1Text]]&amp;"F"),FIND("S",Tasks[[#This Row],[_Pred1Text]]&amp;"S"),FIND("+",Tasks[[#This Row],[_Pred1Text]]&amp;"+"),FIND("-",Tasks[[#This Row],[_Pred1Text]]&amp;"-"))-1)),""))</f>
        <v/>
      </c>
      <c r="CW12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2" s="42">
        <f>IF(Tasks[[#This Row],[_Pred1Text]]="","",TRIM(MID(SUBSTITUTE(SUBSTITUTE(SUBSTITUTE(UPPER(Tasks[[#This Row],[_Predecessors]]),";",",")," ",""),",",REPT(" ",99)),100,99)))</f>
        <v/>
      </c>
      <c r="CZ122" s="42">
        <f>IF(Tasks[[#This Row],[_Pred2Text]]="","",IFERROR(VALUE(LEFT(Tasks[[#This Row],[_Pred2Text]],MIN(FIND("F",Tasks[[#This Row],[_Pred2Text]]&amp;"F"),FIND("S",Tasks[[#This Row],[_Pred2Text]]&amp;"S"),FIND("+",Tasks[[#This Row],[_Pred2Text]]&amp;"+"),FIND("-",Tasks[[#This Row],[_Pred2Text]]&amp;"-"))-1)),""))</f>
        <v/>
      </c>
      <c r="DA12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2" s="42">
        <f>IF(Tasks[[#This Row],[_Pred2Text]]="","",TRIM(MID(SUBSTITUTE(SUBSTITUTE(SUBSTITUTE(UPPER(Tasks[[#This Row],[_Predecessors]]),";",",")," ",""),",",REPT(" ",99)),199,99)))</f>
        <v/>
      </c>
      <c r="DD122" s="42">
        <f>IF(Tasks[[#This Row],[_Pred3Text]]="","",IFERROR(VALUE(LEFT(Tasks[[#This Row],[_Pred3Text]],MIN(FIND("F",Tasks[[#This Row],[_Pred3Text]]&amp;"F"),FIND("S",Tasks[[#This Row],[_Pred3Text]]&amp;"S"),FIND("+",Tasks[[#This Row],[_Pred3Text]]&amp;"+"),FIND("-",Tasks[[#This Row],[_Pred3Text]]&amp;"-"))-1)),""))</f>
        <v/>
      </c>
      <c r="DE12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2" s="42">
        <f>IF(Tasks[[#This Row],[_Pred3Text]]="","",TRIM(MID(SUBSTITUTE(SUBSTITUTE(SUBSTITUTE(UPPER(Tasks[[#This Row],[_Predecessors]]),";",",")," ",""),",",REPT(" ",99)),298,99)))</f>
        <v/>
      </c>
      <c r="DH122" s="42">
        <f>IF(Tasks[[#This Row],[_Pred4Text]]="","",IFERROR(VALUE(LEFT(Tasks[[#This Row],[_Pred4Text]],MIN(FIND("F",Tasks[[#This Row],[_Pred4Text]]&amp;"F"),FIND("S",Tasks[[#This Row],[_Pred4Text]]&amp;"S"),FIND("+",Tasks[[#This Row],[_Pred4Text]]&amp;"+"),FIND("-",Tasks[[#This Row],[_Pred4Text]]&amp;"-"))-1)),""))</f>
        <v/>
      </c>
      <c r="DI12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2" s="42">
        <f>IF(OR(Tasks[[#This Row],[Task Name]]="",Tasks[[#This Row],[_Resources]]=""),"",TRIM(MID(SUBSTITUTE(Tasks[[#This Row],[_Resources]],",",REPT(" ",99)),1,99)))</f>
        <v/>
      </c>
      <c r="DL122" s="42">
        <f>IF(Tasks[[#This Row],[_Res1Text]]="","",TRIM(MID(SUBSTITUTE(Tasks[[#This Row],[_Resources]],",",REPT(" ",99)),100,99)))</f>
        <v/>
      </c>
      <c r="DM122" s="42">
        <f>IF(Tasks[[#This Row],[_Res2Text]]="","",TRIM(MID(SUBSTITUTE(Tasks[[#This Row],[_Resources]],",",REPT(" ",99)),199,99)))</f>
        <v/>
      </c>
      <c r="DN122" s="42">
        <f>IF(Tasks[[#This Row],[_Res3Text]]="","",TRIM(MID(SUBSTITUTE(Tasks[[#This Row],[_Resources]],",",REPT(" ",99)),298,99)))</f>
        <v/>
      </c>
      <c r="DO122" s="42">
        <f>IF(Tasks[[#This Row],[_Res1Text]]="",0,IFERROR(MATCH(TRIM(LEFT(Tasks[[#This Row],[_Res1Text]],FIND("[",Tasks[[#This Row],[_Res1Text]]&amp;"[")-1)),res_Name,0),IFERROR(MATCH(TRIM(LEFT(Tasks[[#This Row],[_Res1Text]],FIND("[",Tasks[[#This Row],[_Res1Text]]&amp;"[")-1)),res_Initials,0),0)))</f>
        <v/>
      </c>
      <c r="DP122" s="42">
        <f>IF(Tasks[[#This Row],[_Res2Text]]="",0,IFERROR(MATCH(TRIM(LEFT(Tasks[[#This Row],[_Res2Text]],FIND("[",Tasks[[#This Row],[_Res2Text]]&amp;"[")-1)),res_Name,0),IFERROR(MATCH(TRIM(LEFT(Tasks[[#This Row],[_Res2Text]],FIND("[",Tasks[[#This Row],[_Res2Text]]&amp;"[")-1)),res_Initials,0),0)))</f>
        <v/>
      </c>
      <c r="DQ122" s="42">
        <f>IF(Tasks[[#This Row],[_Res3Text]]="",0,IFERROR(MATCH(TRIM(LEFT(Tasks[[#This Row],[_Res3Text]],FIND("[",Tasks[[#This Row],[_Res3Text]]&amp;"[")-1)),res_Name,0),IFERROR(MATCH(TRIM(LEFT(Tasks[[#This Row],[_Res3Text]],FIND("[",Tasks[[#This Row],[_Res3Text]]&amp;"[")-1)),res_Initials,0),0)))</f>
        <v/>
      </c>
      <c r="DR122" s="42">
        <f>IF(Tasks[[#This Row],[_Res4Text]]="",0,IFERROR(MATCH(TRIM(LEFT(Tasks[[#This Row],[_Res4Text]],FIND("[",Tasks[[#This Row],[_Res4Text]]&amp;"[")-1)),res_Name,0),IFERROR(MATCH(TRIM(LEFT(Tasks[[#This Row],[_Res4Text]],FIND("[",Tasks[[#This Row],[_Res4Text]]&amp;"[")-1)),res_Initials,0),0)))</f>
        <v/>
      </c>
      <c r="DS122" s="42">
        <f>IF(Tasks[[#This Row],[_Res1Text]]="","",IF(Tasks[[#This Row],[_Res1Row]]&gt;0,INDEX(res_Name,Tasks[[#This Row],[_Res1Row]]),TRIM(LEFT(Tasks[[#This Row],[_Res1Text]],FIND("[",Tasks[[#This Row],[_Res1Text]]&amp;"[")-1))))</f>
        <v/>
      </c>
      <c r="DT12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2" s="42">
        <f>IF(NOT(Tasks[[#This Row],[_IsLeaf]]=1),0,(Tasks[[#This Row],[_Resource1]]&lt;&gt;"")+(Tasks[[#This Row],[_Res2]]&lt;&gt;"")+(Tasks[[#This Row],[_Res3]]&lt;&gt;"")+(Tasks[[#This Row],[_Res4]]&lt;&gt;""))</f>
        <v/>
      </c>
      <c r="DV122" s="42">
        <f>IF(Tasks[[#This Row],[_Res2Text]]="","",IF(Tasks[[#This Row],[_Res2Row]]&gt;0,INDEX(res_Name,Tasks[[#This Row],[_Res2Row]]),TRIM(LEFT(Tasks[[#This Row],[_Res2Text]],FIND("[",Tasks[[#This Row],[_Res2Text]]&amp;"[")-1))))</f>
        <v/>
      </c>
      <c r="DW12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2" s="42">
        <f>IF(OR(NOT(Tasks[[#This Row],[_IsLeaf]]=1),Tasks[[#This Row],[_Res2Row]]=0),0,N(Tasks[[#This Row],[_Days]])*HoursPerDay*IF(Tasks[[#This Row],[_Res2Units]]="",DefaultUnits,Tasks[[#This Row],[_Res2Units]]))</f>
        <v/>
      </c>
      <c r="DY122" s="42">
        <f>IF(AND(AND(Tasks[[#This Row],[_IsLeaf]]=1,Tasks[[#This Row],[_LeafTotalWork]]&gt;0),Tasks[[#This Row],[_Res2Work]]&gt;0),Tasks[[#This Row],[_Res2Work]]/(Tasks[[#This Row],[_FinishWorkday]]-Tasks[[#This Row],[_StartWorkday]]+1),0)</f>
        <v/>
      </c>
      <c r="DZ122" s="42">
        <f>Tasks[[#This Row],[_Res2WorkPerWD]]*MAX(0,Tasks[[#This Row],[_StartWorkday]]-1)</f>
        <v/>
      </c>
      <c r="EA122" s="42">
        <f>Tasks[[#This Row],[_Res2Work]]*Tasks[[#This Row],[_LeafProgress]]</f>
        <v/>
      </c>
      <c r="EB122" s="42">
        <f>IF(Tasks[[#This Row],[_Res3Text]]="","",IF(Tasks[[#This Row],[_Res3Row]]&gt;0,INDEX(res_Name,Tasks[[#This Row],[_Res3Row]]),TRIM(LEFT(Tasks[[#This Row],[_Res3Text]],FIND("[",Tasks[[#This Row],[_Res3Text]]&amp;"[")-1))))</f>
        <v/>
      </c>
      <c r="EC12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2" s="42">
        <f>IF(OR(NOT(Tasks[[#This Row],[_IsLeaf]]=1),Tasks[[#This Row],[_Res3Row]]=0),0,N(Tasks[[#This Row],[_Days]])*HoursPerDay*IF(Tasks[[#This Row],[_Res3Units]]="",DefaultUnits,Tasks[[#This Row],[_Res3Units]]))</f>
        <v/>
      </c>
      <c r="EE122" s="42">
        <f>IF(AND(AND(Tasks[[#This Row],[_IsLeaf]]=1,Tasks[[#This Row],[_LeafTotalWork]]&gt;0),Tasks[[#This Row],[_Res3Work]]&gt;0),Tasks[[#This Row],[_Res3Work]]/(Tasks[[#This Row],[_FinishWorkday]]-Tasks[[#This Row],[_StartWorkday]]+1),0)</f>
        <v/>
      </c>
      <c r="EF122" s="42">
        <f>Tasks[[#This Row],[_Res3WorkPerWD]]*MAX(0,Tasks[[#This Row],[_StartWorkday]]-1)</f>
        <v/>
      </c>
      <c r="EG122" s="42">
        <f>Tasks[[#This Row],[_Res3Work]]*Tasks[[#This Row],[_LeafProgress]]</f>
        <v/>
      </c>
      <c r="EH122" s="42">
        <f>IF(Tasks[[#This Row],[_Res4Text]]="","",IF(Tasks[[#This Row],[_Res4Row]]&gt;0,INDEX(res_Name,Tasks[[#This Row],[_Res4Row]]),TRIM(LEFT(Tasks[[#This Row],[_Res4Text]],FIND("[",Tasks[[#This Row],[_Res4Text]]&amp;"[")-1))))</f>
        <v/>
      </c>
      <c r="EI12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2" s="42">
        <f>IF(OR(NOT(Tasks[[#This Row],[_IsLeaf]]=1),Tasks[[#This Row],[_Res4Row]]=0),0,N(Tasks[[#This Row],[_Days]])*HoursPerDay*IF(Tasks[[#This Row],[_Res4Units]]="",DefaultUnits,Tasks[[#This Row],[_Res4Units]]))</f>
        <v/>
      </c>
      <c r="EK122" s="42">
        <f>IF(AND(AND(Tasks[[#This Row],[_IsLeaf]]=1,Tasks[[#This Row],[_LeafTotalWork]]&gt;0),Tasks[[#This Row],[_Res4Work]]&gt;0),Tasks[[#This Row],[_Res4Work]]/(Tasks[[#This Row],[_FinishWorkday]]-Tasks[[#This Row],[_StartWorkday]]+1),0)</f>
        <v/>
      </c>
      <c r="EL122" s="42">
        <f>Tasks[[#This Row],[_Res4WorkPerWD]]*MAX(0,Tasks[[#This Row],[_StartWorkday]]-1)</f>
        <v/>
      </c>
      <c r="EM122" s="42">
        <f>Tasks[[#This Row],[_Res4Work]]*Tasks[[#This Row],[_LeafProgress]]</f>
        <v/>
      </c>
      <c r="EN122" s="42">
        <f>IF(ISNUMBER(Tasks[[#This Row],[% Complete]]),Tasks[[#This Row],[% Complete]],IF(Tasks[[#This Row],[Stage]]="",0,IFERROR(INDEX(stg_Pct,MATCH(Tasks[[#This Row],[Stage]],stg_Name,0)),0)))</f>
        <v/>
      </c>
      <c r="EO122" s="42">
        <f>IF(NOT(Tasks[[#This Row],[_IsLeaf]]=1),0,IF(N(Tasks[[#This Row],[Actual Finish]])&gt;0,1,MIN(1,Tasks[[#This Row],[_Pct]])))</f>
        <v/>
      </c>
      <c r="EP122" s="42">
        <f>IF(OR(NOT(Tasks[[#This Row],[_IsLeaf]]=1),Tasks[[#This Row],[_Res1Row]]=0),0,N(Tasks[[#This Row],[_Days]])*HoursPerDay*IF(Tasks[[#This Row],[_Units1]]="",DefaultUnits,Tasks[[#This Row],[_Units1]]))</f>
        <v/>
      </c>
      <c r="EQ122" s="42">
        <f>Tasks[[#This Row],[_LeafWork]]+Tasks[[#This Row],[_Res2Work]]+Tasks[[#This Row],[_Res3Work]]+Tasks[[#This Row],[_Res4Work]]</f>
        <v/>
      </c>
      <c r="ER12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2" s="42">
        <f>IF(NOT(Tasks[[#This Row],[_IsLeaf]]=1),0,MAX(_xlfn.MAXIFS(Tasks[_Row],Tasks[_Pred1UID],Tasks[[#This Row],[UID]]),_xlfn.MAXIFS(Tasks[_Row],Tasks[_Pred2UID],Tasks[[#This Row],[UID]]),_xlfn.MAXIFS(Tasks[_Row],Tasks[_Pred3UID],Tasks[[#This Row],[UID]]),_xlfn.MAXIFS(Tasks[_Row],Tasks[_Pred4UID],Tasks[[#This Row],[UID]])))</f>
        <v/>
      </c>
      <c r="FA12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2" s="88">
        <f>IF(NOT(Tasks[[#This Row],[_IsLeaf]]=1),"",IF(N(Tasks[[#This Row],[_Days]])&lt;=0,Tasks[[#This Row],[_LeafLateFinish]],WORKDAY.INTL(Tasks[[#This Row],[_LeafLateFinish]],-(Tasks[[#This Row],[_Days]]-1),WorkWeek,Holidays)))</f>
        <v/>
      </c>
      <c r="FD12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2" s="42">
        <f>AND(Tasks[[#This Row],[_IsLeaf]]=1,Tasks[[#This Row],[_LeafProgress]]&lt;1,N(Tasks[[#This Row],[_LeafTotalSlack]])&lt;=CriticalSlackDays)</f>
        <v/>
      </c>
      <c r="FF122" s="42">
        <f>IF(AND(Tasks[[#This Row],[_IsLeaf]]=1,Tasks[[#This Row],[_ConstraintCode]]=1,Tasks[[#This Row],[Mode]]&lt;&gt;"Manual",N(Tasks[[#This Row],[Actual Start]])=0),MAX(0,N(Tasks[[#This Row],[Free Slack]])),0)</f>
        <v/>
      </c>
      <c r="FG122" s="88">
        <f>IF(NOT(Tasks[[#This Row],[_IsLeaf]]=1),"",IF(Tasks[[#This Row],[_AlapShift]]=0,Tasks[[#This Row],[_LeafCalcStart]],WORKDAY.INTL(Tasks[[#This Row],[_LeafCalcStart]],Tasks[[#This Row],[_AlapShift]],WorkWeek,Holidays)))</f>
        <v/>
      </c>
      <c r="FH122" s="88">
        <f>IF(NOT(Tasks[[#This Row],[_IsLeaf]]=1),"",IF(Tasks[[#This Row],[_AlapShift]]=0,Tasks[[#This Row],[_LeafCalcFinish]],WORKDAY.INTL(Tasks[[#This Row],[_LeafCalcFinish]],Tasks[[#This Row],[_AlapShift]],WorkWeek,Holidays)))</f>
        <v/>
      </c>
      <c r="FI122" s="88">
        <f>IF(NOT(Tasks[[#This Row],[_IsLeaf]]=1),"",IF(Tasks[[#This Row],[_AlapShift]]=0,Tasks[[#This Row],[_LeafFcstStart]],WORKDAY.INTL(Tasks[[#This Row],[_LeafFcstStart]],Tasks[[#This Row],[_AlapShift]],WorkWeek,Holidays)))</f>
        <v/>
      </c>
      <c r="FJ122" s="88">
        <f>IF(NOT(Tasks[[#This Row],[_IsLeaf]]=1),"",IF(Tasks[[#This Row],[_AlapShift]]=0,Tasks[[#This Row],[_LeafFcstFinish]],WORKDAY.INTL(Tasks[[#This Row],[_LeafFcstFinish]],Tasks[[#This Row],[_AlapShift]],WorkWeek,Holidays)))</f>
        <v/>
      </c>
      <c r="FK122" s="88">
        <f>IF(Tasks[[#This Row],[Task Name]]="","",IF(Tasks[[#This Row],[_IsSummary]],MIN(INDEX(Tasks[_ShownCalcStart],Tasks[[#This Row],[_Row]]+1):INDEX(Tasks[_ShownCalcStart],Tasks[[#This Row],[_Row]]+Tasks[[#This Row],[_Descendants]])),Tasks[[#This Row],[_ShownCalcStart]]))</f>
        <v/>
      </c>
      <c r="FL122" s="88">
        <f>IF(Tasks[[#This Row],[Task Name]]="","",IF(Tasks[[#This Row],[_IsSummary]],MAX(INDEX(Tasks[_ShownCalcFinish],Tasks[[#This Row],[_Row]]+1):INDEX(Tasks[_ShownCalcFinish],Tasks[[#This Row],[_Row]]+Tasks[[#This Row],[_Descendants]])),Tasks[[#This Row],[_ShownCalcFinish]]))</f>
        <v/>
      </c>
      <c r="FM12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2" s="42">
        <f>IF(AND(Tasks[[#This Row],[_IsLeaf]]=1,Tasks[[#This Row],[_LeafTotalWork]]&gt;0),NETWORKDAYS.INTL(ProjectStart,Tasks[[#This Row],[_ShownFcstStart]],WorkWeek,Holidays),0)</f>
        <v/>
      </c>
      <c r="FZ122" s="42">
        <f>IF(AND(Tasks[[#This Row],[_IsLeaf]]=1,Tasks[[#This Row],[_LeafTotalWork]]&gt;0),MAX(Tasks[[#This Row],[_StartWorkday]],NETWORKDAYS.INTL(ProjectStart,Tasks[[#This Row],[_ShownFcstFinish]],WorkWeek,Holidays)),0)</f>
        <v/>
      </c>
      <c r="GA122" s="42">
        <f>IF(AND(Tasks[[#This Row],[_IsLeaf]]=1,Tasks[[#This Row],[_LeafTotalWork]]&gt;0),Tasks[[#This Row],[_LeafWork]]/(Tasks[[#This Row],[_FinishWorkday]]-Tasks[[#This Row],[_StartWorkday]]+1),0)</f>
        <v/>
      </c>
      <c r="GB122" s="42">
        <f>Tasks[[#This Row],[_WorkPerWorkday]]*(Tasks[[#This Row],[_StartWorkday]]-1)</f>
        <v/>
      </c>
      <c r="GC122" s="42">
        <f>IF(Tasks[[#This Row],[_IsLeaf]]=1,MAX(N(Tasks[[#This Row],[_Days]]),0.1),0)</f>
        <v/>
      </c>
      <c r="GD122" s="42">
        <f>Tasks[[#This Row],[_WeightDur]]*Tasks[[#This Row],[_LeafProgress]]</f>
        <v/>
      </c>
      <c r="GE122" s="42">
        <f>Tasks[[#This Row],[_WeightDur]]*Tasks[[#This Row],[_PlannedPct]]</f>
        <v/>
      </c>
      <c r="GF12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2" s="42">
        <f>IF(AND(Tasks[[#This Row],[_IsLeaf]]=1,N(Tasks[[#This Row],[_Days]])=0,Tasks[[#This Row],[_LeafProgress]]&lt;1),Tasks[[#This Row],[_ShownFcstFinish]]+Tasks[[#This Row],[_Row]]/100000,"")</f>
        <v/>
      </c>
      <c r="GH12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2" s="42">
        <f>IF(Tasks[[#This Row],[Task Name]]="","",LEFT(Tasks[[#This Row],[WBS]],FIND(".",Tasks[[#This Row],[WBS]]&amp;".")-1))</f>
        <v/>
      </c>
      <c r="GJ122" s="42">
        <f>IF(AND(Tasks[[#This Row],[Task Name]]&lt;&gt;"",Tasks[[#This Row],[_Level]]=1),Tasks[[#This Row],[_Row]],"")</f>
        <v/>
      </c>
      <c r="GK122" s="42">
        <f>IF(AND(Tasks[[#This Row],[_IsLeaf]]=1,N(Tasks[[#This Row],[_Days]])=0),Tasks[[#This Row],[Planned Finish]]+Tasks[[#This Row],[_Row]]/100000,"")</f>
        <v/>
      </c>
      <c r="GL122" s="42">
        <f>IF(AND(Tasks[[#This Row],[_IsLeaf]]=1,Tasks[[#This Row],[_LeafProgress]]&lt;1,OR(N(Tasks[[#This Row],[Finish Var]])&gt;0,Tasks[[#This Row],[Status]]="Late Start")),MAX(0,Tasks[[#This Row],[Finish Var]])+1-Tasks[[#This Row],[_Row]]/1000000,"")</f>
        <v/>
      </c>
      <c r="GM122" s="42">
        <f>IF(AND(Tasks[[#This Row],[_IsLeaf]]=1,N(Tasks[[#This Row],[Actual Start]])=0,Tasks[[#This Row],[_ShownFcstStart]]&gt;=StatusDate,Tasks[[#This Row],[_ShownFcstStart]]&lt;=LookaheadEnd),Tasks[[#This Row],[_ShownFcstStart]]+Tasks[[#This Row],[_Row]]/100000,"")</f>
        <v/>
      </c>
      <c r="GN122" s="42">
        <f>IF(AND(Tasks[[#This Row],[_IsLeaf]]=1,Tasks[[#This Row],[_LeafProgress]]&lt;1,Tasks[[#This Row],[_ShownFcstFinish]]&gt;=StatusDate,Tasks[[#This Row],[_ShownFcstFinish]]&lt;=LookaheadEnd),Tasks[[#This Row],[_ShownFcstFinish]]+Tasks[[#This Row],[_Row]]/100000,"")</f>
        <v/>
      </c>
      <c r="GO122" s="42">
        <f>IF(Tasks[[#This Row],[_LeafCritical]],Tasks[[#This Row],[_ShownFcstStart]]+Tasks[[#This Row],[_Row]]/100000,"")</f>
        <v/>
      </c>
      <c r="GP122" s="42">
        <f>Tasks[[#This Row],[_LeafWork]]*Tasks[[#This Row],[_LeafProgress]]</f>
        <v/>
      </c>
      <c r="GQ122" s="88">
        <f>IF(AND(Tasks[[#This Row],[_IsLeaf]]=1,Tasks[[#This Row],[_LeafProgress]]&gt;=1),IF(N(Tasks[[#This Row],[Actual Finish]])&gt;0,Tasks[[#This Row],[Actual Finish]],Tasks[[#This Row],[_ShownFcstFinish]]),"")</f>
        <v/>
      </c>
      <c r="GR122" s="42">
        <f>IF(Tasks[[#This Row],[_IsLeaf]]=1,N(Tasks[[#This Row],[Story Points]]),0)</f>
        <v/>
      </c>
      <c r="GS122" s="42">
        <f>""</f>
        <v/>
      </c>
      <c r="GT122" s="42">
        <f>IF(Tasks[[#This Row],[Task Name]]="",FALSE(),AND(Tasks[[#This Row],[_IsLeaf]]=1,N(Tasks[[#This Row],[_Days]])=0))</f>
        <v/>
      </c>
      <c r="GU122" s="88">
        <f>IF(Tasks[[#This Row],[Task Name]]="",0,IF(AND(Tasks[[#This Row],[_IsLeaf]]=1,NOT(Tasks[[#This Row],[_IsMilestone]]),N(Tasks[[#This Row],[Progress]])&gt;0),Tasks[[#This Row],[Start]],0))</f>
        <v/>
      </c>
      <c r="GV122" s="88">
        <f>IF(Tasks[[#This Row],[_DoneFrom]]=0,0,IF(Tasks[[#This Row],[Progress]]&gt;=1,Tasks[[#This Row],[Finish]],MAX(Tasks[[#This Row],[_DoneFrom]],Tasks[[#This Row],[Start]]+ROUND((Tasks[[#This Row],[Finish]]-Tasks[[#This Row],[Start]]+1)*Tasks[[#This Row],[Progress]],0)-1)))</f>
        <v/>
      </c>
      <c r="GW122" s="88">
        <f>IF(Tasks[[#This Row],[Task Name]]="",0,IF(OR(NOT(Tasks[[#This Row],[_IsLeaf]]=1),Tasks[[#This Row],[_IsMilestone]],N(Tasks[[#This Row],[Progress]])&gt;=1),0,IF(Tasks[[#This Row],[_DoneTo]]&gt;0,Tasks[[#This Row],[_DoneTo]]+1,Tasks[[#This Row],[Start]])))</f>
        <v/>
      </c>
      <c r="GX122" s="88">
        <f>IF(Tasks[[#This Row],[_RemFrom]]=0,0,Tasks[[#This Row],[Finish]])</f>
        <v/>
      </c>
      <c r="GY122" s="42">
        <f>IF(Tasks[[#This Row],[Task Name]]="",FALSE(),OR(NOT(BaselineSet),N(Tasks[[#This Row],[Baseline Start]])&gt;0))</f>
        <v/>
      </c>
      <c r="GZ122" s="42">
        <f>IF(AND(Sandbox="Yes",L_PARSE_DURATION(Tasks[[#This Row],[Sandbox Duration]])&lt;&gt;""),L_PARSE_DURATION(Tasks[[#This Row],[Sandbox Duration]]),L_PARSE_DURATION(Tasks[[#This Row],[Duration]]))</f>
        <v/>
      </c>
      <c r="HA12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2" s="42">
        <f>IF(Tasks[[#This Row],[_IsLeaf]]=1,Tasks[[#This Row],[_Row]],"")</f>
        <v/>
      </c>
      <c r="HD122" s="42">
        <f>IFERROR(INDEX(Tasks[UID],SMALL(Tasks[_PickKey],Tasks[[#This Row],[_Row]]))&amp;" "&amp;INDEX(Tasks[Task Name],SMALL(Tasks[_PickKey],Tasks[[#This Row],[_Row]])),"")</f>
        <v/>
      </c>
      <c r="HE122" s="42">
        <f>IF(Tasks[[#This Row],[Task Name]]="","",IF(Tasks[[#This Row],[_IsSummary]],NETWORKDAYS.INTL(Tasks[[#This Row],[Start]],Tasks[[#This Row],[Finish]],WorkWeek,Holidays),N(Tasks[[#This Row],[_Days]])))</f>
        <v/>
      </c>
      <c r="HF122" s="42">
        <f>IF(Tasks[[#This Row],[Expected]]="",0,((Tasks[[#This Row],[Pessimistic]]-Tasks[[#This Row],[Optimistic]])/6)^2)</f>
        <v/>
      </c>
      <c r="HG122" s="42">
        <f>IF(Tasks[[#This Row],[Expected]]="",0,Tasks[[#This Row],[Expected]]-N(Tasks[[#This Row],[_Days]]))</f>
        <v/>
      </c>
    </row>
    <row r="123">
      <c r="A123" s="21">
        <f>IF(Tasks[[#This Row],[Task Name]]="","",COUNTA(Tasks[[#Headers],[Task Name]]:Tasks[[#This Row],[Task Name]])-1)</f>
        <v/>
      </c>
      <c r="B123" s="22" t="n">
        <v>131</v>
      </c>
      <c r="C123" s="22" t="n"/>
      <c r="D123" s="23" t="n"/>
      <c r="E123" s="22" t="n"/>
      <c r="F123" s="23" t="n"/>
      <c r="G123" s="22" t="n"/>
      <c r="H123" s="22" t="n"/>
      <c r="I123" s="23" t="n"/>
      <c r="J123" s="22" t="n"/>
      <c r="K123" s="22" t="n"/>
      <c r="L123" s="23" t="n"/>
      <c r="M123" s="22" t="n"/>
      <c r="N123" s="22" t="n"/>
      <c r="O123" s="23" t="n"/>
      <c r="P123" s="22" t="n"/>
      <c r="Q123" s="22" t="n"/>
      <c r="R123" s="23" t="n"/>
      <c r="S123" s="23" t="n"/>
      <c r="T123" s="82" t="n"/>
      <c r="U123" s="23" t="n"/>
      <c r="V123" s="82" t="n"/>
      <c r="W123" s="23" t="n"/>
      <c r="X123" s="82" t="n"/>
      <c r="Y123" s="23" t="n"/>
      <c r="Z123" s="82" t="n"/>
      <c r="AA123" s="23" t="n"/>
      <c r="AB123" s="23" t="n"/>
      <c r="AC123" s="7" t="n"/>
      <c r="AD123" s="7" t="n"/>
      <c r="AE123" s="61">
        <f>IF(Tasks[[#This Row],[Task Name]]="","",IF(Tasks[[#This Row],[_IsSummary]],MIN(INDEX(Tasks[_ShownFcstStart],Tasks[[#This Row],[_Row]]+1):INDEX(Tasks[_ShownFcstStart],Tasks[[#This Row],[_Row]]+Tasks[[#This Row],[_Descendants]])),Tasks[[#This Row],[_ShownFcstStart]]))</f>
        <v/>
      </c>
      <c r="AF123" s="61">
        <f>IF(Tasks[[#This Row],[Task Name]]="","",IF(Tasks[[#This Row],[_IsSummary]],MAX(INDEX(Tasks[_ShownFcstFinish],Tasks[[#This Row],[_Row]]+1):INDEX(Tasks[_ShownFcstFinish],Tasks[[#This Row],[_Row]]+Tasks[[#This Row],[_Descendants]])),Tasks[[#This Row],[_ShownFcstFinish]]))</f>
        <v/>
      </c>
      <c r="AG123" s="21">
        <f>""</f>
        <v/>
      </c>
      <c r="AH123" s="23" t="n"/>
      <c r="AI12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3" s="7" t="n"/>
      <c r="AK123" s="22" t="n"/>
      <c r="AL123" s="23" t="n"/>
      <c r="AM123" s="7" t="n"/>
      <c r="AN123" s="21">
        <f>IF(Tasks[[#This Row],[Task Name]]="","",IF(Tasks[[#This Row],[Finish]]&gt;=Tasks[[#This Row],[Planned Finish]],NETWORKDAYS.INTL(Tasks[[#This Row],[Planned Finish]],Tasks[[#This Row],[Finish]],WorkWeek,Holidays)-1,1-NETWORKDAYS.INTL(Tasks[[#This Row],[Finish]],Tasks[[#This Row],[Planned Finish]],WorkWeek,Holidays)))</f>
        <v/>
      </c>
      <c r="AO123" s="21">
        <f>IF(Tasks[[#This Row],[Task Name]]="","",IF(Tasks[[#This Row],[Progress]]&gt;=1,"Complete",IF(OR(N(Tasks[[#This Row],[Actual Start]])&gt;0,Tasks[[#This Row],[Progress]]&gt;0),IF(Tasks[[#This Row],[Finish Var]]&gt;0,"Behind","In Progress"),IF(Tasks[[#This Row],[Planned Start]]&lt;StatusDate,"Late Start","Not Started"))))</f>
        <v/>
      </c>
      <c r="AP123" s="21">
        <f>IF(Tasks[[#This Row],[Task Name]]="","",IF(IF(Tasks[[#This Row],[_IsSummary]],COUNTIF(INDEX(Tasks[_LeafCritical],Tasks[[#This Row],[_Row]]+1):INDEX(Tasks[_LeafCritical],Tasks[[#This Row],[_Row]]+Tasks[[#This Row],[_Descendants]]),TRUE())&gt;0,Tasks[[#This Row],[_LeafCritical]]),"Yes",""))</f>
        <v/>
      </c>
      <c r="AQ123" s="61">
        <f>IF(Tasks[[#This Row],[Task Name]]="","",IF(N(Tasks[[#This Row],[Baseline Start]])&gt;0,Tasks[[#This Row],[Baseline Start]],Tasks[[#This Row],[_CalcStart]]))</f>
        <v/>
      </c>
      <c r="AR123" s="61">
        <f>IF(Tasks[[#This Row],[Task Name]]="","",IF(N(Tasks[[#This Row],[Baseline Finish]])&gt;0,Tasks[[#This Row],[Baseline Finish]],Tasks[[#This Row],[_CalcFinish]]))</f>
        <v/>
      </c>
      <c r="AS123" s="21">
        <f>IF(Tasks[[#This Row],[Task Name]]="","",IF(Tasks[[#This Row],[Start]]&gt;=Tasks[[#This Row],[Planned Start]],NETWORKDAYS.INTL(Tasks[[#This Row],[Planned Start]],Tasks[[#This Row],[Start]],WorkWeek,Holidays)-1,1-NETWORKDAYS.INTL(Tasks[[#This Row],[Start]],Tasks[[#This Row],[Planned Start]],WorkWeek,Holidays)))</f>
        <v/>
      </c>
      <c r="AT123" s="61">
        <f>IF(Tasks[[#This Row],[Task Name]]="","",IF(Tasks[[#This Row],[_IsSummary]],MIN(INDEX(Tasks[_LeafLateStart],Tasks[[#This Row],[_Row]]+1):INDEX(Tasks[_LeafLateStart],Tasks[[#This Row],[_Row]]+Tasks[[#This Row],[_Descendants]])),Tasks[[#This Row],[_LeafLateStart]]))</f>
        <v/>
      </c>
      <c r="AU123" s="61">
        <f>IF(Tasks[[#This Row],[Task Name]]="","",IF(Tasks[[#This Row],[_IsSummary]],MAX(INDEX(Tasks[_LeafLateFinish],Tasks[[#This Row],[_Row]]+1):INDEX(Tasks[_LeafLateFinish],Tasks[[#This Row],[_Row]]+Tasks[[#This Row],[_Descendants]])),Tasks[[#This Row],[_LeafLateFinish]]))</f>
        <v/>
      </c>
      <c r="AV123" s="21">
        <f>IF(Tasks[[#This Row],[Task Name]]="","",IF(Tasks[[#This Row],[_IsSummary]],MIN(INDEX(Tasks[_LeafTotalSlack],Tasks[[#This Row],[_Row]]+1):INDEX(Tasks[_LeafTotalSlack],Tasks[[#This Row],[_Row]]+Tasks[[#This Row],[_Descendants]])),Tasks[[#This Row],[_LeafTotalSlack]]))</f>
        <v/>
      </c>
      <c r="AW12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3" t="n"/>
      <c r="BA12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f>IF(Tasks[[#This Row],[Task Name]]="","",IF(Tasks[[#This Row],[_Level]]&lt;=OutlineShowLevel,"Yes","No"))</f>
        <v/>
      </c>
      <c r="BE123" s="84">
        <f>IF(Tasks[[#This Row],[Task Name]]="","",IF(Tasks[[#This Row],[_IsSummary]],SUM(INDEX(Tasks[_LeafTotalWork],Tasks[[#This Row],[_Row]]+1):INDEX(Tasks[_LeafTotalWork],Tasks[[#This Row],[_Row]]+Tasks[[#This Row],[_Descendants]])),Tasks[[#This Row],[_LeafTotalWork]]))</f>
        <v/>
      </c>
      <c r="BF123" s="23" t="n"/>
      <c r="BG12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f>""</f>
        <v/>
      </c>
      <c r="BI123" s="85" t="n"/>
      <c r="BJ123" s="22" t="n"/>
      <c r="BK123" s="21">
        <f>IF(OR(Tasks[[#This Row],[Task Name]]="",Tasks[[#This Row],[Baseline Duration]]=""),"",Tasks[[#This Row],[_SpanDays]]-N(Tasks[[#This Row],[Baseline Duration]]))</f>
        <v/>
      </c>
      <c r="BL123" s="84">
        <f>IF(OR(Tasks[[#This Row],[Task Name]]="",Tasks[[#This Row],[Baseline Work]]=""),"",Tasks[[#This Row],[Work]]-N(Tasks[[#This Row],[Baseline Work]]))</f>
        <v/>
      </c>
      <c r="BM123" s="61">
        <f>IF(Tasks[[#This Row],[Task Name]]="","",IF(OR(TakeBaseline="Yes",N(Tasks[[#This Row],[Baseline Start]])=0),Tasks[[#This Row],[Start]],Tasks[[#This Row],[Baseline Start]]))</f>
        <v/>
      </c>
      <c r="BN123" s="61">
        <f>IF(Tasks[[#This Row],[Task Name]]="","",IF(OR(TakeBaseline="Yes",N(Tasks[[#This Row],[Baseline Finish]])=0),Tasks[[#This Row],[Finish]],Tasks[[#This Row],[Baseline Finish]]))</f>
        <v/>
      </c>
      <c r="BO123" s="21">
        <f>IF(Tasks[[#This Row],[Task Name]]="","",IF(OR(TakeBaseline="Yes",N(Tasks[[#This Row],[Baseline Duration]])=0),Tasks[[#This Row],[_SpanDays]],Tasks[[#This Row],[Baseline Duration]]))</f>
        <v/>
      </c>
      <c r="BP123" s="84">
        <f>IF(Tasks[[#This Row],[Task Name]]="","",IF(OR(TakeBaseline="Yes",N(Tasks[[#This Row],[Baseline Work]])=0),Tasks[[#This Row],[Work]],Tasks[[#This Row],[Baseline Work]]))</f>
        <v/>
      </c>
      <c r="BQ123" s="7" t="n"/>
      <c r="BR123" s="7" t="n"/>
      <c r="BS123" s="22" t="n"/>
      <c r="BT123" s="86" t="n"/>
      <c r="BU123" s="23" t="n"/>
      <c r="BV123" s="23" t="n"/>
      <c r="BW123" s="23" t="n"/>
      <c r="BX123" s="87">
        <f>IF(AND(Tasks[[#This Row],[_IsLeaf]]=1,ISNUMBER(Tasks[[#This Row],[Optimistic]]),ISNUMBER(Tasks[[#This Row],[Pessimistic]])),ROUND((Tasks[[#This Row],[Optimistic]]+4*N(Tasks[[#This Row],[_Days]])+Tasks[[#This Row],[Pessimistic]])/6,1),"")</f>
        <v/>
      </c>
      <c r="BY123" s="85" t="n"/>
      <c r="BZ123" s="85" t="n"/>
      <c r="CA123" s="22" t="n"/>
      <c r="CB123" s="42">
        <f>IF(Tasks[[#This Row],[Task Name]]="","",MAX(1,N(Tasks[[#This Row],[Level]])))</f>
        <v/>
      </c>
      <c r="CC123" s="42">
        <f>ROW()-ROW(Tasks[[#Headers],[ID]])</f>
        <v/>
      </c>
      <c r="CD123" s="42">
        <f>IF(OR(Tasks[[#This Row],[Task Name]]="",Tasks[[#This Row],[_Level]]&lt;=1),0,IFERROR(LOOKUP(2,1/(Tasks[[#Headers],[_Level]]:Tasks[[#This Row],[_Level]]=Tasks[[#This Row],[_Level]]-1),ROW(Tasks[[#Headers],[_Level]]:Tasks[[#This Row],[_Level]])),0))</f>
        <v/>
      </c>
      <c r="CE123" s="42">
        <f>IFERROR(N(INDEX(Tasks[_Level],Tasks[[#This Row],[_Row]]+1)),0)</f>
        <v/>
      </c>
      <c r="CF123" s="42">
        <f>AND(Tasks[[#This Row],[Task Name]]&lt;&gt;"",Tasks[[#This Row],[_NextLevel]]&gt;Tasks[[#This Row],[_Level]])</f>
        <v/>
      </c>
      <c r="CG123" s="42">
        <f>IF(Tasks[[#This Row],[_IsSummary]],COUNTIF(Tasks[WBS],Tasks[[#This Row],[WBS]]&amp;".*"),0)</f>
        <v/>
      </c>
      <c r="CH123" s="42">
        <f>IF(AND(Tasks[[#This Row],[Task Name]]&lt;&gt;"",NOT(Tasks[[#This Row],[_IsSummary]])),1,0)</f>
        <v/>
      </c>
      <c r="CI123" s="42">
        <f>IF(N(Tasks[[#This Row],[_Pred1UID]])=0,0,IFERROR(MATCH(Tasks[[#This Row],[_Pred1UID]],Tasks[UID],0),-1))</f>
        <v/>
      </c>
      <c r="CJ123" s="42">
        <f>IF(N(Tasks[[#This Row],[_Pred2UID]])=0,0,IFERROR(MATCH(Tasks[[#This Row],[_Pred2UID]],Tasks[UID],0),-1))</f>
        <v/>
      </c>
      <c r="CK123" s="42">
        <f>IF(N(Tasks[[#This Row],[_Pred3UID]])=0,0,IFERROR(MATCH(Tasks[[#This Row],[_Pred3UID]],Tasks[UID],0),-1))</f>
        <v/>
      </c>
      <c r="CL123" s="42">
        <f>IF(N(Tasks[[#This Row],[_Pred4UID]])=0,0,IFERROR(MATCH(Tasks[[#This Row],[_Pred4UID]],Tasks[UID],0),-1))</f>
        <v/>
      </c>
      <c r="CM12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3" s="88">
        <f>IF(N(Tasks[[#This Row],[Constraint Date]])=0,0,IF(AND(OR(Tasks[[#This Row],[_ConstraintCode]]=3,Tasks[[#This Row],[_ConstraintCode]]=6,Tasks[[#This Row],[_ConstraintCode]]=7),N(Tasks[[#This Row],[_Days]])&gt;1),WORKDAY.INTL(N(Tasks[[#This Row],[Constraint Date]]),-(N(Tasks[[#This Row],[_Days]])-1),WorkWeek,Holidays),N(Tasks[[#This Row],[Constraint Date]])))</f>
        <v/>
      </c>
      <c r="CO123" s="88">
        <f>IF(OR(Tasks[[#This Row],[_ConstraintCode]]=2,Tasks[[#This Row],[_ConstraintCode]]=3,Tasks[[#This Row],[_ConstraintCode]]=4,Tasks[[#This Row],[_ConstraintCode]]=6),Tasks[[#This Row],[_ConstraintStart]],0)</f>
        <v/>
      </c>
      <c r="CP123" s="88">
        <f>IF(OR(Tasks[[#This Row],[_ConstraintCode]]=2,Tasks[[#This Row],[_ConstraintCode]]=3,Tasks[[#This Row],[_ConstraintCode]]=5,Tasks[[#This Row],[_ConstraintCode]]=7),Tasks[[#This Row],[_ConstraintStart]],2958465)</f>
        <v/>
      </c>
      <c r="CQ12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3" s="88">
        <f>IF(NOT(Tasks[[#This Row],[_IsLeaf]]=1),"",IF(N(Tasks[[#This Row],[_Days]])&lt;=0,Tasks[[#This Row],[_LeafCalcStart]],WORKDAY.INTL(Tasks[[#This Row],[_LeafCalcStart]],Tasks[[#This Row],[_Days]]-1,WorkWeek,Holidays)))</f>
        <v/>
      </c>
      <c r="CS12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3" s="42">
        <f>IF(Tasks[[#This Row],[_Predecessors]]="","",TRIM(MID(SUBSTITUTE(SUBSTITUTE(SUBSTITUTE(UPPER(Tasks[[#This Row],[_Predecessors]]),";",",")," ",""),",",REPT(" ",99)),1,99)))</f>
        <v/>
      </c>
      <c r="CV123" s="42">
        <f>IF(Tasks[[#This Row],[_Pred1Text]]="","",IFERROR(VALUE(LEFT(Tasks[[#This Row],[_Pred1Text]],MIN(FIND("F",Tasks[[#This Row],[_Pred1Text]]&amp;"F"),FIND("S",Tasks[[#This Row],[_Pred1Text]]&amp;"S"),FIND("+",Tasks[[#This Row],[_Pred1Text]]&amp;"+"),FIND("-",Tasks[[#This Row],[_Pred1Text]]&amp;"-"))-1)),""))</f>
        <v/>
      </c>
      <c r="CW12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3" s="42">
        <f>IF(Tasks[[#This Row],[_Pred1Text]]="","",TRIM(MID(SUBSTITUTE(SUBSTITUTE(SUBSTITUTE(UPPER(Tasks[[#This Row],[_Predecessors]]),";",",")," ",""),",",REPT(" ",99)),100,99)))</f>
        <v/>
      </c>
      <c r="CZ123" s="42">
        <f>IF(Tasks[[#This Row],[_Pred2Text]]="","",IFERROR(VALUE(LEFT(Tasks[[#This Row],[_Pred2Text]],MIN(FIND("F",Tasks[[#This Row],[_Pred2Text]]&amp;"F"),FIND("S",Tasks[[#This Row],[_Pred2Text]]&amp;"S"),FIND("+",Tasks[[#This Row],[_Pred2Text]]&amp;"+"),FIND("-",Tasks[[#This Row],[_Pred2Text]]&amp;"-"))-1)),""))</f>
        <v/>
      </c>
      <c r="DA12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3" s="42">
        <f>IF(Tasks[[#This Row],[_Pred2Text]]="","",TRIM(MID(SUBSTITUTE(SUBSTITUTE(SUBSTITUTE(UPPER(Tasks[[#This Row],[_Predecessors]]),";",",")," ",""),",",REPT(" ",99)),199,99)))</f>
        <v/>
      </c>
      <c r="DD123" s="42">
        <f>IF(Tasks[[#This Row],[_Pred3Text]]="","",IFERROR(VALUE(LEFT(Tasks[[#This Row],[_Pred3Text]],MIN(FIND("F",Tasks[[#This Row],[_Pred3Text]]&amp;"F"),FIND("S",Tasks[[#This Row],[_Pred3Text]]&amp;"S"),FIND("+",Tasks[[#This Row],[_Pred3Text]]&amp;"+"),FIND("-",Tasks[[#This Row],[_Pred3Text]]&amp;"-"))-1)),""))</f>
        <v/>
      </c>
      <c r="DE12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3" s="42">
        <f>IF(Tasks[[#This Row],[_Pred3Text]]="","",TRIM(MID(SUBSTITUTE(SUBSTITUTE(SUBSTITUTE(UPPER(Tasks[[#This Row],[_Predecessors]]),";",",")," ",""),",",REPT(" ",99)),298,99)))</f>
        <v/>
      </c>
      <c r="DH123" s="42">
        <f>IF(Tasks[[#This Row],[_Pred4Text]]="","",IFERROR(VALUE(LEFT(Tasks[[#This Row],[_Pred4Text]],MIN(FIND("F",Tasks[[#This Row],[_Pred4Text]]&amp;"F"),FIND("S",Tasks[[#This Row],[_Pred4Text]]&amp;"S"),FIND("+",Tasks[[#This Row],[_Pred4Text]]&amp;"+"),FIND("-",Tasks[[#This Row],[_Pred4Text]]&amp;"-"))-1)),""))</f>
        <v/>
      </c>
      <c r="DI12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3" s="42">
        <f>IF(OR(Tasks[[#This Row],[Task Name]]="",Tasks[[#This Row],[_Resources]]=""),"",TRIM(MID(SUBSTITUTE(Tasks[[#This Row],[_Resources]],",",REPT(" ",99)),1,99)))</f>
        <v/>
      </c>
      <c r="DL123" s="42">
        <f>IF(Tasks[[#This Row],[_Res1Text]]="","",TRIM(MID(SUBSTITUTE(Tasks[[#This Row],[_Resources]],",",REPT(" ",99)),100,99)))</f>
        <v/>
      </c>
      <c r="DM123" s="42">
        <f>IF(Tasks[[#This Row],[_Res2Text]]="","",TRIM(MID(SUBSTITUTE(Tasks[[#This Row],[_Resources]],",",REPT(" ",99)),199,99)))</f>
        <v/>
      </c>
      <c r="DN123" s="42">
        <f>IF(Tasks[[#This Row],[_Res3Text]]="","",TRIM(MID(SUBSTITUTE(Tasks[[#This Row],[_Resources]],",",REPT(" ",99)),298,99)))</f>
        <v/>
      </c>
      <c r="DO123" s="42">
        <f>IF(Tasks[[#This Row],[_Res1Text]]="",0,IFERROR(MATCH(TRIM(LEFT(Tasks[[#This Row],[_Res1Text]],FIND("[",Tasks[[#This Row],[_Res1Text]]&amp;"[")-1)),res_Name,0),IFERROR(MATCH(TRIM(LEFT(Tasks[[#This Row],[_Res1Text]],FIND("[",Tasks[[#This Row],[_Res1Text]]&amp;"[")-1)),res_Initials,0),0)))</f>
        <v/>
      </c>
      <c r="DP123" s="42">
        <f>IF(Tasks[[#This Row],[_Res2Text]]="",0,IFERROR(MATCH(TRIM(LEFT(Tasks[[#This Row],[_Res2Text]],FIND("[",Tasks[[#This Row],[_Res2Text]]&amp;"[")-1)),res_Name,0),IFERROR(MATCH(TRIM(LEFT(Tasks[[#This Row],[_Res2Text]],FIND("[",Tasks[[#This Row],[_Res2Text]]&amp;"[")-1)),res_Initials,0),0)))</f>
        <v/>
      </c>
      <c r="DQ123" s="42">
        <f>IF(Tasks[[#This Row],[_Res3Text]]="",0,IFERROR(MATCH(TRIM(LEFT(Tasks[[#This Row],[_Res3Text]],FIND("[",Tasks[[#This Row],[_Res3Text]]&amp;"[")-1)),res_Name,0),IFERROR(MATCH(TRIM(LEFT(Tasks[[#This Row],[_Res3Text]],FIND("[",Tasks[[#This Row],[_Res3Text]]&amp;"[")-1)),res_Initials,0),0)))</f>
        <v/>
      </c>
      <c r="DR123" s="42">
        <f>IF(Tasks[[#This Row],[_Res4Text]]="",0,IFERROR(MATCH(TRIM(LEFT(Tasks[[#This Row],[_Res4Text]],FIND("[",Tasks[[#This Row],[_Res4Text]]&amp;"[")-1)),res_Name,0),IFERROR(MATCH(TRIM(LEFT(Tasks[[#This Row],[_Res4Text]],FIND("[",Tasks[[#This Row],[_Res4Text]]&amp;"[")-1)),res_Initials,0),0)))</f>
        <v/>
      </c>
      <c r="DS123" s="42">
        <f>IF(Tasks[[#This Row],[_Res1Text]]="","",IF(Tasks[[#This Row],[_Res1Row]]&gt;0,INDEX(res_Name,Tasks[[#This Row],[_Res1Row]]),TRIM(LEFT(Tasks[[#This Row],[_Res1Text]],FIND("[",Tasks[[#This Row],[_Res1Text]]&amp;"[")-1))))</f>
        <v/>
      </c>
      <c r="DT12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3" s="42">
        <f>IF(NOT(Tasks[[#This Row],[_IsLeaf]]=1),0,(Tasks[[#This Row],[_Resource1]]&lt;&gt;"")+(Tasks[[#This Row],[_Res2]]&lt;&gt;"")+(Tasks[[#This Row],[_Res3]]&lt;&gt;"")+(Tasks[[#This Row],[_Res4]]&lt;&gt;""))</f>
        <v/>
      </c>
      <c r="DV123" s="42">
        <f>IF(Tasks[[#This Row],[_Res2Text]]="","",IF(Tasks[[#This Row],[_Res2Row]]&gt;0,INDEX(res_Name,Tasks[[#This Row],[_Res2Row]]),TRIM(LEFT(Tasks[[#This Row],[_Res2Text]],FIND("[",Tasks[[#This Row],[_Res2Text]]&amp;"[")-1))))</f>
        <v/>
      </c>
      <c r="DW12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3" s="42">
        <f>IF(OR(NOT(Tasks[[#This Row],[_IsLeaf]]=1),Tasks[[#This Row],[_Res2Row]]=0),0,N(Tasks[[#This Row],[_Days]])*HoursPerDay*IF(Tasks[[#This Row],[_Res2Units]]="",DefaultUnits,Tasks[[#This Row],[_Res2Units]]))</f>
        <v/>
      </c>
      <c r="DY123" s="42">
        <f>IF(AND(AND(Tasks[[#This Row],[_IsLeaf]]=1,Tasks[[#This Row],[_LeafTotalWork]]&gt;0),Tasks[[#This Row],[_Res2Work]]&gt;0),Tasks[[#This Row],[_Res2Work]]/(Tasks[[#This Row],[_FinishWorkday]]-Tasks[[#This Row],[_StartWorkday]]+1),0)</f>
        <v/>
      </c>
      <c r="DZ123" s="42">
        <f>Tasks[[#This Row],[_Res2WorkPerWD]]*MAX(0,Tasks[[#This Row],[_StartWorkday]]-1)</f>
        <v/>
      </c>
      <c r="EA123" s="42">
        <f>Tasks[[#This Row],[_Res2Work]]*Tasks[[#This Row],[_LeafProgress]]</f>
        <v/>
      </c>
      <c r="EB123" s="42">
        <f>IF(Tasks[[#This Row],[_Res3Text]]="","",IF(Tasks[[#This Row],[_Res3Row]]&gt;0,INDEX(res_Name,Tasks[[#This Row],[_Res3Row]]),TRIM(LEFT(Tasks[[#This Row],[_Res3Text]],FIND("[",Tasks[[#This Row],[_Res3Text]]&amp;"[")-1))))</f>
        <v/>
      </c>
      <c r="EC12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3" s="42">
        <f>IF(OR(NOT(Tasks[[#This Row],[_IsLeaf]]=1),Tasks[[#This Row],[_Res3Row]]=0),0,N(Tasks[[#This Row],[_Days]])*HoursPerDay*IF(Tasks[[#This Row],[_Res3Units]]="",DefaultUnits,Tasks[[#This Row],[_Res3Units]]))</f>
        <v/>
      </c>
      <c r="EE123" s="42">
        <f>IF(AND(AND(Tasks[[#This Row],[_IsLeaf]]=1,Tasks[[#This Row],[_LeafTotalWork]]&gt;0),Tasks[[#This Row],[_Res3Work]]&gt;0),Tasks[[#This Row],[_Res3Work]]/(Tasks[[#This Row],[_FinishWorkday]]-Tasks[[#This Row],[_StartWorkday]]+1),0)</f>
        <v/>
      </c>
      <c r="EF123" s="42">
        <f>Tasks[[#This Row],[_Res3WorkPerWD]]*MAX(0,Tasks[[#This Row],[_StartWorkday]]-1)</f>
        <v/>
      </c>
      <c r="EG123" s="42">
        <f>Tasks[[#This Row],[_Res3Work]]*Tasks[[#This Row],[_LeafProgress]]</f>
        <v/>
      </c>
      <c r="EH123" s="42">
        <f>IF(Tasks[[#This Row],[_Res4Text]]="","",IF(Tasks[[#This Row],[_Res4Row]]&gt;0,INDEX(res_Name,Tasks[[#This Row],[_Res4Row]]),TRIM(LEFT(Tasks[[#This Row],[_Res4Text]],FIND("[",Tasks[[#This Row],[_Res4Text]]&amp;"[")-1))))</f>
        <v/>
      </c>
      <c r="EI12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3" s="42">
        <f>IF(OR(NOT(Tasks[[#This Row],[_IsLeaf]]=1),Tasks[[#This Row],[_Res4Row]]=0),0,N(Tasks[[#This Row],[_Days]])*HoursPerDay*IF(Tasks[[#This Row],[_Res4Units]]="",DefaultUnits,Tasks[[#This Row],[_Res4Units]]))</f>
        <v/>
      </c>
      <c r="EK123" s="42">
        <f>IF(AND(AND(Tasks[[#This Row],[_IsLeaf]]=1,Tasks[[#This Row],[_LeafTotalWork]]&gt;0),Tasks[[#This Row],[_Res4Work]]&gt;0),Tasks[[#This Row],[_Res4Work]]/(Tasks[[#This Row],[_FinishWorkday]]-Tasks[[#This Row],[_StartWorkday]]+1),0)</f>
        <v/>
      </c>
      <c r="EL123" s="42">
        <f>Tasks[[#This Row],[_Res4WorkPerWD]]*MAX(0,Tasks[[#This Row],[_StartWorkday]]-1)</f>
        <v/>
      </c>
      <c r="EM123" s="42">
        <f>Tasks[[#This Row],[_Res4Work]]*Tasks[[#This Row],[_LeafProgress]]</f>
        <v/>
      </c>
      <c r="EN123" s="42">
        <f>IF(ISNUMBER(Tasks[[#This Row],[% Complete]]),Tasks[[#This Row],[% Complete]],IF(Tasks[[#This Row],[Stage]]="",0,IFERROR(INDEX(stg_Pct,MATCH(Tasks[[#This Row],[Stage]],stg_Name,0)),0)))</f>
        <v/>
      </c>
      <c r="EO123" s="42">
        <f>IF(NOT(Tasks[[#This Row],[_IsLeaf]]=1),0,IF(N(Tasks[[#This Row],[Actual Finish]])&gt;0,1,MIN(1,Tasks[[#This Row],[_Pct]])))</f>
        <v/>
      </c>
      <c r="EP123" s="42">
        <f>IF(OR(NOT(Tasks[[#This Row],[_IsLeaf]]=1),Tasks[[#This Row],[_Res1Row]]=0),0,N(Tasks[[#This Row],[_Days]])*HoursPerDay*IF(Tasks[[#This Row],[_Units1]]="",DefaultUnits,Tasks[[#This Row],[_Units1]]))</f>
        <v/>
      </c>
      <c r="EQ123" s="42">
        <f>Tasks[[#This Row],[_LeafWork]]+Tasks[[#This Row],[_Res2Work]]+Tasks[[#This Row],[_Res3Work]]+Tasks[[#This Row],[_Res4Work]]</f>
        <v/>
      </c>
      <c r="ER12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3" s="42">
        <f>IF(NOT(Tasks[[#This Row],[_IsLeaf]]=1),0,MAX(_xlfn.MAXIFS(Tasks[_Row],Tasks[_Pred1UID],Tasks[[#This Row],[UID]]),_xlfn.MAXIFS(Tasks[_Row],Tasks[_Pred2UID],Tasks[[#This Row],[UID]]),_xlfn.MAXIFS(Tasks[_Row],Tasks[_Pred3UID],Tasks[[#This Row],[UID]]),_xlfn.MAXIFS(Tasks[_Row],Tasks[_Pred4UID],Tasks[[#This Row],[UID]])))</f>
        <v/>
      </c>
      <c r="FA12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3" s="88">
        <f>IF(NOT(Tasks[[#This Row],[_IsLeaf]]=1),"",IF(N(Tasks[[#This Row],[_Days]])&lt;=0,Tasks[[#This Row],[_LeafLateFinish]],WORKDAY.INTL(Tasks[[#This Row],[_LeafLateFinish]],-(Tasks[[#This Row],[_Days]]-1),WorkWeek,Holidays)))</f>
        <v/>
      </c>
      <c r="FD12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3" s="42">
        <f>AND(Tasks[[#This Row],[_IsLeaf]]=1,Tasks[[#This Row],[_LeafProgress]]&lt;1,N(Tasks[[#This Row],[_LeafTotalSlack]])&lt;=CriticalSlackDays)</f>
        <v/>
      </c>
      <c r="FF123" s="42">
        <f>IF(AND(Tasks[[#This Row],[_IsLeaf]]=1,Tasks[[#This Row],[_ConstraintCode]]=1,Tasks[[#This Row],[Mode]]&lt;&gt;"Manual",N(Tasks[[#This Row],[Actual Start]])=0),MAX(0,N(Tasks[[#This Row],[Free Slack]])),0)</f>
        <v/>
      </c>
      <c r="FG123" s="88">
        <f>IF(NOT(Tasks[[#This Row],[_IsLeaf]]=1),"",IF(Tasks[[#This Row],[_AlapShift]]=0,Tasks[[#This Row],[_LeafCalcStart]],WORKDAY.INTL(Tasks[[#This Row],[_LeafCalcStart]],Tasks[[#This Row],[_AlapShift]],WorkWeek,Holidays)))</f>
        <v/>
      </c>
      <c r="FH123" s="88">
        <f>IF(NOT(Tasks[[#This Row],[_IsLeaf]]=1),"",IF(Tasks[[#This Row],[_AlapShift]]=0,Tasks[[#This Row],[_LeafCalcFinish]],WORKDAY.INTL(Tasks[[#This Row],[_LeafCalcFinish]],Tasks[[#This Row],[_AlapShift]],WorkWeek,Holidays)))</f>
        <v/>
      </c>
      <c r="FI123" s="88">
        <f>IF(NOT(Tasks[[#This Row],[_IsLeaf]]=1),"",IF(Tasks[[#This Row],[_AlapShift]]=0,Tasks[[#This Row],[_LeafFcstStart]],WORKDAY.INTL(Tasks[[#This Row],[_LeafFcstStart]],Tasks[[#This Row],[_AlapShift]],WorkWeek,Holidays)))</f>
        <v/>
      </c>
      <c r="FJ123" s="88">
        <f>IF(NOT(Tasks[[#This Row],[_IsLeaf]]=1),"",IF(Tasks[[#This Row],[_AlapShift]]=0,Tasks[[#This Row],[_LeafFcstFinish]],WORKDAY.INTL(Tasks[[#This Row],[_LeafFcstFinish]],Tasks[[#This Row],[_AlapShift]],WorkWeek,Holidays)))</f>
        <v/>
      </c>
      <c r="FK123" s="88">
        <f>IF(Tasks[[#This Row],[Task Name]]="","",IF(Tasks[[#This Row],[_IsSummary]],MIN(INDEX(Tasks[_ShownCalcStart],Tasks[[#This Row],[_Row]]+1):INDEX(Tasks[_ShownCalcStart],Tasks[[#This Row],[_Row]]+Tasks[[#This Row],[_Descendants]])),Tasks[[#This Row],[_ShownCalcStart]]))</f>
        <v/>
      </c>
      <c r="FL123" s="88">
        <f>IF(Tasks[[#This Row],[Task Name]]="","",IF(Tasks[[#This Row],[_IsSummary]],MAX(INDEX(Tasks[_ShownCalcFinish],Tasks[[#This Row],[_Row]]+1):INDEX(Tasks[_ShownCalcFinish],Tasks[[#This Row],[_Row]]+Tasks[[#This Row],[_Descendants]])),Tasks[[#This Row],[_ShownCalcFinish]]))</f>
        <v/>
      </c>
      <c r="FM12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3" s="42">
        <f>IF(AND(Tasks[[#This Row],[_IsLeaf]]=1,Tasks[[#This Row],[_LeafTotalWork]]&gt;0),NETWORKDAYS.INTL(ProjectStart,Tasks[[#This Row],[_ShownFcstStart]],WorkWeek,Holidays),0)</f>
        <v/>
      </c>
      <c r="FZ123" s="42">
        <f>IF(AND(Tasks[[#This Row],[_IsLeaf]]=1,Tasks[[#This Row],[_LeafTotalWork]]&gt;0),MAX(Tasks[[#This Row],[_StartWorkday]],NETWORKDAYS.INTL(ProjectStart,Tasks[[#This Row],[_ShownFcstFinish]],WorkWeek,Holidays)),0)</f>
        <v/>
      </c>
      <c r="GA123" s="42">
        <f>IF(AND(Tasks[[#This Row],[_IsLeaf]]=1,Tasks[[#This Row],[_LeafTotalWork]]&gt;0),Tasks[[#This Row],[_LeafWork]]/(Tasks[[#This Row],[_FinishWorkday]]-Tasks[[#This Row],[_StartWorkday]]+1),0)</f>
        <v/>
      </c>
      <c r="GB123" s="42">
        <f>Tasks[[#This Row],[_WorkPerWorkday]]*(Tasks[[#This Row],[_StartWorkday]]-1)</f>
        <v/>
      </c>
      <c r="GC123" s="42">
        <f>IF(Tasks[[#This Row],[_IsLeaf]]=1,MAX(N(Tasks[[#This Row],[_Days]]),0.1),0)</f>
        <v/>
      </c>
      <c r="GD123" s="42">
        <f>Tasks[[#This Row],[_WeightDur]]*Tasks[[#This Row],[_LeafProgress]]</f>
        <v/>
      </c>
      <c r="GE123" s="42">
        <f>Tasks[[#This Row],[_WeightDur]]*Tasks[[#This Row],[_PlannedPct]]</f>
        <v/>
      </c>
      <c r="GF12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3" s="42">
        <f>IF(AND(Tasks[[#This Row],[_IsLeaf]]=1,N(Tasks[[#This Row],[_Days]])=0,Tasks[[#This Row],[_LeafProgress]]&lt;1),Tasks[[#This Row],[_ShownFcstFinish]]+Tasks[[#This Row],[_Row]]/100000,"")</f>
        <v/>
      </c>
      <c r="GH12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3" s="42">
        <f>IF(Tasks[[#This Row],[Task Name]]="","",LEFT(Tasks[[#This Row],[WBS]],FIND(".",Tasks[[#This Row],[WBS]]&amp;".")-1))</f>
        <v/>
      </c>
      <c r="GJ123" s="42">
        <f>IF(AND(Tasks[[#This Row],[Task Name]]&lt;&gt;"",Tasks[[#This Row],[_Level]]=1),Tasks[[#This Row],[_Row]],"")</f>
        <v/>
      </c>
      <c r="GK123" s="42">
        <f>IF(AND(Tasks[[#This Row],[_IsLeaf]]=1,N(Tasks[[#This Row],[_Days]])=0),Tasks[[#This Row],[Planned Finish]]+Tasks[[#This Row],[_Row]]/100000,"")</f>
        <v/>
      </c>
      <c r="GL123" s="42">
        <f>IF(AND(Tasks[[#This Row],[_IsLeaf]]=1,Tasks[[#This Row],[_LeafProgress]]&lt;1,OR(N(Tasks[[#This Row],[Finish Var]])&gt;0,Tasks[[#This Row],[Status]]="Late Start")),MAX(0,Tasks[[#This Row],[Finish Var]])+1-Tasks[[#This Row],[_Row]]/1000000,"")</f>
        <v/>
      </c>
      <c r="GM123" s="42">
        <f>IF(AND(Tasks[[#This Row],[_IsLeaf]]=1,N(Tasks[[#This Row],[Actual Start]])=0,Tasks[[#This Row],[_ShownFcstStart]]&gt;=StatusDate,Tasks[[#This Row],[_ShownFcstStart]]&lt;=LookaheadEnd),Tasks[[#This Row],[_ShownFcstStart]]+Tasks[[#This Row],[_Row]]/100000,"")</f>
        <v/>
      </c>
      <c r="GN123" s="42">
        <f>IF(AND(Tasks[[#This Row],[_IsLeaf]]=1,Tasks[[#This Row],[_LeafProgress]]&lt;1,Tasks[[#This Row],[_ShownFcstFinish]]&gt;=StatusDate,Tasks[[#This Row],[_ShownFcstFinish]]&lt;=LookaheadEnd),Tasks[[#This Row],[_ShownFcstFinish]]+Tasks[[#This Row],[_Row]]/100000,"")</f>
        <v/>
      </c>
      <c r="GO123" s="42">
        <f>IF(Tasks[[#This Row],[_LeafCritical]],Tasks[[#This Row],[_ShownFcstStart]]+Tasks[[#This Row],[_Row]]/100000,"")</f>
        <v/>
      </c>
      <c r="GP123" s="42">
        <f>Tasks[[#This Row],[_LeafWork]]*Tasks[[#This Row],[_LeafProgress]]</f>
        <v/>
      </c>
      <c r="GQ123" s="88">
        <f>IF(AND(Tasks[[#This Row],[_IsLeaf]]=1,Tasks[[#This Row],[_LeafProgress]]&gt;=1),IF(N(Tasks[[#This Row],[Actual Finish]])&gt;0,Tasks[[#This Row],[Actual Finish]],Tasks[[#This Row],[_ShownFcstFinish]]),"")</f>
        <v/>
      </c>
      <c r="GR123" s="42">
        <f>IF(Tasks[[#This Row],[_IsLeaf]]=1,N(Tasks[[#This Row],[Story Points]]),0)</f>
        <v/>
      </c>
      <c r="GS123" s="42">
        <f>""</f>
        <v/>
      </c>
      <c r="GT123" s="42">
        <f>IF(Tasks[[#This Row],[Task Name]]="",FALSE(),AND(Tasks[[#This Row],[_IsLeaf]]=1,N(Tasks[[#This Row],[_Days]])=0))</f>
        <v/>
      </c>
      <c r="GU123" s="88">
        <f>IF(Tasks[[#This Row],[Task Name]]="",0,IF(AND(Tasks[[#This Row],[_IsLeaf]]=1,NOT(Tasks[[#This Row],[_IsMilestone]]),N(Tasks[[#This Row],[Progress]])&gt;0),Tasks[[#This Row],[Start]],0))</f>
        <v/>
      </c>
      <c r="GV123" s="88">
        <f>IF(Tasks[[#This Row],[_DoneFrom]]=0,0,IF(Tasks[[#This Row],[Progress]]&gt;=1,Tasks[[#This Row],[Finish]],MAX(Tasks[[#This Row],[_DoneFrom]],Tasks[[#This Row],[Start]]+ROUND((Tasks[[#This Row],[Finish]]-Tasks[[#This Row],[Start]]+1)*Tasks[[#This Row],[Progress]],0)-1)))</f>
        <v/>
      </c>
      <c r="GW123" s="88">
        <f>IF(Tasks[[#This Row],[Task Name]]="",0,IF(OR(NOT(Tasks[[#This Row],[_IsLeaf]]=1),Tasks[[#This Row],[_IsMilestone]],N(Tasks[[#This Row],[Progress]])&gt;=1),0,IF(Tasks[[#This Row],[_DoneTo]]&gt;0,Tasks[[#This Row],[_DoneTo]]+1,Tasks[[#This Row],[Start]])))</f>
        <v/>
      </c>
      <c r="GX123" s="88">
        <f>IF(Tasks[[#This Row],[_RemFrom]]=0,0,Tasks[[#This Row],[Finish]])</f>
        <v/>
      </c>
      <c r="GY123" s="42">
        <f>IF(Tasks[[#This Row],[Task Name]]="",FALSE(),OR(NOT(BaselineSet),N(Tasks[[#This Row],[Baseline Start]])&gt;0))</f>
        <v/>
      </c>
      <c r="GZ123" s="42">
        <f>IF(AND(Sandbox="Yes",L_PARSE_DURATION(Tasks[[#This Row],[Sandbox Duration]])&lt;&gt;""),L_PARSE_DURATION(Tasks[[#This Row],[Sandbox Duration]]),L_PARSE_DURATION(Tasks[[#This Row],[Duration]]))</f>
        <v/>
      </c>
      <c r="HA12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3" s="42">
        <f>IF(Tasks[[#This Row],[_IsLeaf]]=1,Tasks[[#This Row],[_Row]],"")</f>
        <v/>
      </c>
      <c r="HD123" s="42">
        <f>IFERROR(INDEX(Tasks[UID],SMALL(Tasks[_PickKey],Tasks[[#This Row],[_Row]]))&amp;" "&amp;INDEX(Tasks[Task Name],SMALL(Tasks[_PickKey],Tasks[[#This Row],[_Row]])),"")</f>
        <v/>
      </c>
      <c r="HE123" s="42">
        <f>IF(Tasks[[#This Row],[Task Name]]="","",IF(Tasks[[#This Row],[_IsSummary]],NETWORKDAYS.INTL(Tasks[[#This Row],[Start]],Tasks[[#This Row],[Finish]],WorkWeek,Holidays),N(Tasks[[#This Row],[_Days]])))</f>
        <v/>
      </c>
      <c r="HF123" s="42">
        <f>IF(Tasks[[#This Row],[Expected]]="",0,((Tasks[[#This Row],[Pessimistic]]-Tasks[[#This Row],[Optimistic]])/6)^2)</f>
        <v/>
      </c>
      <c r="HG123" s="42">
        <f>IF(Tasks[[#This Row],[Expected]]="",0,Tasks[[#This Row],[Expected]]-N(Tasks[[#This Row],[_Days]]))</f>
        <v/>
      </c>
    </row>
    <row r="124">
      <c r="A124" s="21">
        <f>IF(Tasks[[#This Row],[Task Name]]="","",COUNTA(Tasks[[#Headers],[Task Name]]:Tasks[[#This Row],[Task Name]])-1)</f>
        <v/>
      </c>
      <c r="B124" s="22" t="n">
        <v>132</v>
      </c>
      <c r="C124" s="22" t="n"/>
      <c r="D124" s="23" t="n"/>
      <c r="E124" s="22" t="n"/>
      <c r="F124" s="23" t="n"/>
      <c r="G124" s="22" t="n"/>
      <c r="H124" s="22" t="n"/>
      <c r="I124" s="23" t="n"/>
      <c r="J124" s="22" t="n"/>
      <c r="K124" s="22" t="n"/>
      <c r="L124" s="23" t="n"/>
      <c r="M124" s="22" t="n"/>
      <c r="N124" s="22" t="n"/>
      <c r="O124" s="23" t="n"/>
      <c r="P124" s="22" t="n"/>
      <c r="Q124" s="22" t="n"/>
      <c r="R124" s="23" t="n"/>
      <c r="S124" s="23" t="n"/>
      <c r="T124" s="82" t="n"/>
      <c r="U124" s="23" t="n"/>
      <c r="V124" s="82" t="n"/>
      <c r="W124" s="23" t="n"/>
      <c r="X124" s="82" t="n"/>
      <c r="Y124" s="23" t="n"/>
      <c r="Z124" s="82" t="n"/>
      <c r="AA124" s="23" t="n"/>
      <c r="AB124" s="23" t="n"/>
      <c r="AC124" s="7" t="n"/>
      <c r="AD124" s="7" t="n"/>
      <c r="AE124" s="61">
        <f>IF(Tasks[[#This Row],[Task Name]]="","",IF(Tasks[[#This Row],[_IsSummary]],MIN(INDEX(Tasks[_ShownFcstStart],Tasks[[#This Row],[_Row]]+1):INDEX(Tasks[_ShownFcstStart],Tasks[[#This Row],[_Row]]+Tasks[[#This Row],[_Descendants]])),Tasks[[#This Row],[_ShownFcstStart]]))</f>
        <v/>
      </c>
      <c r="AF124" s="61">
        <f>IF(Tasks[[#This Row],[Task Name]]="","",IF(Tasks[[#This Row],[_IsSummary]],MAX(INDEX(Tasks[_ShownFcstFinish],Tasks[[#This Row],[_Row]]+1):INDEX(Tasks[_ShownFcstFinish],Tasks[[#This Row],[_Row]]+Tasks[[#This Row],[_Descendants]])),Tasks[[#This Row],[_ShownFcstFinish]]))</f>
        <v/>
      </c>
      <c r="AG124" s="21">
        <f>""</f>
        <v/>
      </c>
      <c r="AH124" s="23" t="n"/>
      <c r="AI12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4" s="7" t="n"/>
      <c r="AK124" s="22" t="n"/>
      <c r="AL124" s="23" t="n"/>
      <c r="AM124" s="7" t="n"/>
      <c r="AN124" s="21">
        <f>IF(Tasks[[#This Row],[Task Name]]="","",IF(Tasks[[#This Row],[Finish]]&gt;=Tasks[[#This Row],[Planned Finish]],NETWORKDAYS.INTL(Tasks[[#This Row],[Planned Finish]],Tasks[[#This Row],[Finish]],WorkWeek,Holidays)-1,1-NETWORKDAYS.INTL(Tasks[[#This Row],[Finish]],Tasks[[#This Row],[Planned Finish]],WorkWeek,Holidays)))</f>
        <v/>
      </c>
      <c r="AO124" s="21">
        <f>IF(Tasks[[#This Row],[Task Name]]="","",IF(Tasks[[#This Row],[Progress]]&gt;=1,"Complete",IF(OR(N(Tasks[[#This Row],[Actual Start]])&gt;0,Tasks[[#This Row],[Progress]]&gt;0),IF(Tasks[[#This Row],[Finish Var]]&gt;0,"Behind","In Progress"),IF(Tasks[[#This Row],[Planned Start]]&lt;StatusDate,"Late Start","Not Started"))))</f>
        <v/>
      </c>
      <c r="AP124" s="21">
        <f>IF(Tasks[[#This Row],[Task Name]]="","",IF(IF(Tasks[[#This Row],[_IsSummary]],COUNTIF(INDEX(Tasks[_LeafCritical],Tasks[[#This Row],[_Row]]+1):INDEX(Tasks[_LeafCritical],Tasks[[#This Row],[_Row]]+Tasks[[#This Row],[_Descendants]]),TRUE())&gt;0,Tasks[[#This Row],[_LeafCritical]]),"Yes",""))</f>
        <v/>
      </c>
      <c r="AQ124" s="61">
        <f>IF(Tasks[[#This Row],[Task Name]]="","",IF(N(Tasks[[#This Row],[Baseline Start]])&gt;0,Tasks[[#This Row],[Baseline Start]],Tasks[[#This Row],[_CalcStart]]))</f>
        <v/>
      </c>
      <c r="AR124" s="61">
        <f>IF(Tasks[[#This Row],[Task Name]]="","",IF(N(Tasks[[#This Row],[Baseline Finish]])&gt;0,Tasks[[#This Row],[Baseline Finish]],Tasks[[#This Row],[_CalcFinish]]))</f>
        <v/>
      </c>
      <c r="AS124" s="21">
        <f>IF(Tasks[[#This Row],[Task Name]]="","",IF(Tasks[[#This Row],[Start]]&gt;=Tasks[[#This Row],[Planned Start]],NETWORKDAYS.INTL(Tasks[[#This Row],[Planned Start]],Tasks[[#This Row],[Start]],WorkWeek,Holidays)-1,1-NETWORKDAYS.INTL(Tasks[[#This Row],[Start]],Tasks[[#This Row],[Planned Start]],WorkWeek,Holidays)))</f>
        <v/>
      </c>
      <c r="AT124" s="61">
        <f>IF(Tasks[[#This Row],[Task Name]]="","",IF(Tasks[[#This Row],[_IsSummary]],MIN(INDEX(Tasks[_LeafLateStart],Tasks[[#This Row],[_Row]]+1):INDEX(Tasks[_LeafLateStart],Tasks[[#This Row],[_Row]]+Tasks[[#This Row],[_Descendants]])),Tasks[[#This Row],[_LeafLateStart]]))</f>
        <v/>
      </c>
      <c r="AU124" s="61">
        <f>IF(Tasks[[#This Row],[Task Name]]="","",IF(Tasks[[#This Row],[_IsSummary]],MAX(INDEX(Tasks[_LeafLateFinish],Tasks[[#This Row],[_Row]]+1):INDEX(Tasks[_LeafLateFinish],Tasks[[#This Row],[_Row]]+Tasks[[#This Row],[_Descendants]])),Tasks[[#This Row],[_LeafLateFinish]]))</f>
        <v/>
      </c>
      <c r="AV124" s="21">
        <f>IF(Tasks[[#This Row],[Task Name]]="","",IF(Tasks[[#This Row],[_IsSummary]],MIN(INDEX(Tasks[_LeafTotalSlack],Tasks[[#This Row],[_Row]]+1):INDEX(Tasks[_LeafTotalSlack],Tasks[[#This Row],[_Row]]+Tasks[[#This Row],[_Descendants]])),Tasks[[#This Row],[_LeafTotalSlack]]))</f>
        <v/>
      </c>
      <c r="AW12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3" t="n"/>
      <c r="BA12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f>IF(Tasks[[#This Row],[Task Name]]="","",IF(Tasks[[#This Row],[_Level]]&lt;=OutlineShowLevel,"Yes","No"))</f>
        <v/>
      </c>
      <c r="BE124" s="84">
        <f>IF(Tasks[[#This Row],[Task Name]]="","",IF(Tasks[[#This Row],[_IsSummary]],SUM(INDEX(Tasks[_LeafTotalWork],Tasks[[#This Row],[_Row]]+1):INDEX(Tasks[_LeafTotalWork],Tasks[[#This Row],[_Row]]+Tasks[[#This Row],[_Descendants]])),Tasks[[#This Row],[_LeafTotalWork]]))</f>
        <v/>
      </c>
      <c r="BF124" s="23" t="n"/>
      <c r="BG12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f>""</f>
        <v/>
      </c>
      <c r="BI124" s="85" t="n"/>
      <c r="BJ124" s="22" t="n"/>
      <c r="BK124" s="21">
        <f>IF(OR(Tasks[[#This Row],[Task Name]]="",Tasks[[#This Row],[Baseline Duration]]=""),"",Tasks[[#This Row],[_SpanDays]]-N(Tasks[[#This Row],[Baseline Duration]]))</f>
        <v/>
      </c>
      <c r="BL124" s="84">
        <f>IF(OR(Tasks[[#This Row],[Task Name]]="",Tasks[[#This Row],[Baseline Work]]=""),"",Tasks[[#This Row],[Work]]-N(Tasks[[#This Row],[Baseline Work]]))</f>
        <v/>
      </c>
      <c r="BM124" s="61">
        <f>IF(Tasks[[#This Row],[Task Name]]="","",IF(OR(TakeBaseline="Yes",N(Tasks[[#This Row],[Baseline Start]])=0),Tasks[[#This Row],[Start]],Tasks[[#This Row],[Baseline Start]]))</f>
        <v/>
      </c>
      <c r="BN124" s="61">
        <f>IF(Tasks[[#This Row],[Task Name]]="","",IF(OR(TakeBaseline="Yes",N(Tasks[[#This Row],[Baseline Finish]])=0),Tasks[[#This Row],[Finish]],Tasks[[#This Row],[Baseline Finish]]))</f>
        <v/>
      </c>
      <c r="BO124" s="21">
        <f>IF(Tasks[[#This Row],[Task Name]]="","",IF(OR(TakeBaseline="Yes",N(Tasks[[#This Row],[Baseline Duration]])=0),Tasks[[#This Row],[_SpanDays]],Tasks[[#This Row],[Baseline Duration]]))</f>
        <v/>
      </c>
      <c r="BP124" s="84">
        <f>IF(Tasks[[#This Row],[Task Name]]="","",IF(OR(TakeBaseline="Yes",N(Tasks[[#This Row],[Baseline Work]])=0),Tasks[[#This Row],[Work]],Tasks[[#This Row],[Baseline Work]]))</f>
        <v/>
      </c>
      <c r="BQ124" s="7" t="n"/>
      <c r="BR124" s="7" t="n"/>
      <c r="BS124" s="22" t="n"/>
      <c r="BT124" s="86" t="n"/>
      <c r="BU124" s="23" t="n"/>
      <c r="BV124" s="23" t="n"/>
      <c r="BW124" s="23" t="n"/>
      <c r="BX124" s="87">
        <f>IF(AND(Tasks[[#This Row],[_IsLeaf]]=1,ISNUMBER(Tasks[[#This Row],[Optimistic]]),ISNUMBER(Tasks[[#This Row],[Pessimistic]])),ROUND((Tasks[[#This Row],[Optimistic]]+4*N(Tasks[[#This Row],[_Days]])+Tasks[[#This Row],[Pessimistic]])/6,1),"")</f>
        <v/>
      </c>
      <c r="BY124" s="85" t="n"/>
      <c r="BZ124" s="85" t="n"/>
      <c r="CA124" s="22" t="n"/>
      <c r="CB124" s="42">
        <f>IF(Tasks[[#This Row],[Task Name]]="","",MAX(1,N(Tasks[[#This Row],[Level]])))</f>
        <v/>
      </c>
      <c r="CC124" s="42">
        <f>ROW()-ROW(Tasks[[#Headers],[ID]])</f>
        <v/>
      </c>
      <c r="CD124" s="42">
        <f>IF(OR(Tasks[[#This Row],[Task Name]]="",Tasks[[#This Row],[_Level]]&lt;=1),0,IFERROR(LOOKUP(2,1/(Tasks[[#Headers],[_Level]]:Tasks[[#This Row],[_Level]]=Tasks[[#This Row],[_Level]]-1),ROW(Tasks[[#Headers],[_Level]]:Tasks[[#This Row],[_Level]])),0))</f>
        <v/>
      </c>
      <c r="CE124" s="42">
        <f>IFERROR(N(INDEX(Tasks[_Level],Tasks[[#This Row],[_Row]]+1)),0)</f>
        <v/>
      </c>
      <c r="CF124" s="42">
        <f>AND(Tasks[[#This Row],[Task Name]]&lt;&gt;"",Tasks[[#This Row],[_NextLevel]]&gt;Tasks[[#This Row],[_Level]])</f>
        <v/>
      </c>
      <c r="CG124" s="42">
        <f>IF(Tasks[[#This Row],[_IsSummary]],COUNTIF(Tasks[WBS],Tasks[[#This Row],[WBS]]&amp;".*"),0)</f>
        <v/>
      </c>
      <c r="CH124" s="42">
        <f>IF(AND(Tasks[[#This Row],[Task Name]]&lt;&gt;"",NOT(Tasks[[#This Row],[_IsSummary]])),1,0)</f>
        <v/>
      </c>
      <c r="CI124" s="42">
        <f>IF(N(Tasks[[#This Row],[_Pred1UID]])=0,0,IFERROR(MATCH(Tasks[[#This Row],[_Pred1UID]],Tasks[UID],0),-1))</f>
        <v/>
      </c>
      <c r="CJ124" s="42">
        <f>IF(N(Tasks[[#This Row],[_Pred2UID]])=0,0,IFERROR(MATCH(Tasks[[#This Row],[_Pred2UID]],Tasks[UID],0),-1))</f>
        <v/>
      </c>
      <c r="CK124" s="42">
        <f>IF(N(Tasks[[#This Row],[_Pred3UID]])=0,0,IFERROR(MATCH(Tasks[[#This Row],[_Pred3UID]],Tasks[UID],0),-1))</f>
        <v/>
      </c>
      <c r="CL124" s="42">
        <f>IF(N(Tasks[[#This Row],[_Pred4UID]])=0,0,IFERROR(MATCH(Tasks[[#This Row],[_Pred4UID]],Tasks[UID],0),-1))</f>
        <v/>
      </c>
      <c r="CM12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4" s="88">
        <f>IF(N(Tasks[[#This Row],[Constraint Date]])=0,0,IF(AND(OR(Tasks[[#This Row],[_ConstraintCode]]=3,Tasks[[#This Row],[_ConstraintCode]]=6,Tasks[[#This Row],[_ConstraintCode]]=7),N(Tasks[[#This Row],[_Days]])&gt;1),WORKDAY.INTL(N(Tasks[[#This Row],[Constraint Date]]),-(N(Tasks[[#This Row],[_Days]])-1),WorkWeek,Holidays),N(Tasks[[#This Row],[Constraint Date]])))</f>
        <v/>
      </c>
      <c r="CO124" s="88">
        <f>IF(OR(Tasks[[#This Row],[_ConstraintCode]]=2,Tasks[[#This Row],[_ConstraintCode]]=3,Tasks[[#This Row],[_ConstraintCode]]=4,Tasks[[#This Row],[_ConstraintCode]]=6),Tasks[[#This Row],[_ConstraintStart]],0)</f>
        <v/>
      </c>
      <c r="CP124" s="88">
        <f>IF(OR(Tasks[[#This Row],[_ConstraintCode]]=2,Tasks[[#This Row],[_ConstraintCode]]=3,Tasks[[#This Row],[_ConstraintCode]]=5,Tasks[[#This Row],[_ConstraintCode]]=7),Tasks[[#This Row],[_ConstraintStart]],2958465)</f>
        <v/>
      </c>
      <c r="CQ12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4" s="88">
        <f>IF(NOT(Tasks[[#This Row],[_IsLeaf]]=1),"",IF(N(Tasks[[#This Row],[_Days]])&lt;=0,Tasks[[#This Row],[_LeafCalcStart]],WORKDAY.INTL(Tasks[[#This Row],[_LeafCalcStart]],Tasks[[#This Row],[_Days]]-1,WorkWeek,Holidays)))</f>
        <v/>
      </c>
      <c r="CS12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4" s="42">
        <f>IF(Tasks[[#This Row],[_Predecessors]]="","",TRIM(MID(SUBSTITUTE(SUBSTITUTE(SUBSTITUTE(UPPER(Tasks[[#This Row],[_Predecessors]]),";",",")," ",""),",",REPT(" ",99)),1,99)))</f>
        <v/>
      </c>
      <c r="CV124" s="42">
        <f>IF(Tasks[[#This Row],[_Pred1Text]]="","",IFERROR(VALUE(LEFT(Tasks[[#This Row],[_Pred1Text]],MIN(FIND("F",Tasks[[#This Row],[_Pred1Text]]&amp;"F"),FIND("S",Tasks[[#This Row],[_Pred1Text]]&amp;"S"),FIND("+",Tasks[[#This Row],[_Pred1Text]]&amp;"+"),FIND("-",Tasks[[#This Row],[_Pred1Text]]&amp;"-"))-1)),""))</f>
        <v/>
      </c>
      <c r="CW12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4" s="42">
        <f>IF(Tasks[[#This Row],[_Pred1Text]]="","",TRIM(MID(SUBSTITUTE(SUBSTITUTE(SUBSTITUTE(UPPER(Tasks[[#This Row],[_Predecessors]]),";",",")," ",""),",",REPT(" ",99)),100,99)))</f>
        <v/>
      </c>
      <c r="CZ124" s="42">
        <f>IF(Tasks[[#This Row],[_Pred2Text]]="","",IFERROR(VALUE(LEFT(Tasks[[#This Row],[_Pred2Text]],MIN(FIND("F",Tasks[[#This Row],[_Pred2Text]]&amp;"F"),FIND("S",Tasks[[#This Row],[_Pred2Text]]&amp;"S"),FIND("+",Tasks[[#This Row],[_Pred2Text]]&amp;"+"),FIND("-",Tasks[[#This Row],[_Pred2Text]]&amp;"-"))-1)),""))</f>
        <v/>
      </c>
      <c r="DA12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4" s="42">
        <f>IF(Tasks[[#This Row],[_Pred2Text]]="","",TRIM(MID(SUBSTITUTE(SUBSTITUTE(SUBSTITUTE(UPPER(Tasks[[#This Row],[_Predecessors]]),";",",")," ",""),",",REPT(" ",99)),199,99)))</f>
        <v/>
      </c>
      <c r="DD124" s="42">
        <f>IF(Tasks[[#This Row],[_Pred3Text]]="","",IFERROR(VALUE(LEFT(Tasks[[#This Row],[_Pred3Text]],MIN(FIND("F",Tasks[[#This Row],[_Pred3Text]]&amp;"F"),FIND("S",Tasks[[#This Row],[_Pred3Text]]&amp;"S"),FIND("+",Tasks[[#This Row],[_Pred3Text]]&amp;"+"),FIND("-",Tasks[[#This Row],[_Pred3Text]]&amp;"-"))-1)),""))</f>
        <v/>
      </c>
      <c r="DE12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4" s="42">
        <f>IF(Tasks[[#This Row],[_Pred3Text]]="","",TRIM(MID(SUBSTITUTE(SUBSTITUTE(SUBSTITUTE(UPPER(Tasks[[#This Row],[_Predecessors]]),";",",")," ",""),",",REPT(" ",99)),298,99)))</f>
        <v/>
      </c>
      <c r="DH124" s="42">
        <f>IF(Tasks[[#This Row],[_Pred4Text]]="","",IFERROR(VALUE(LEFT(Tasks[[#This Row],[_Pred4Text]],MIN(FIND("F",Tasks[[#This Row],[_Pred4Text]]&amp;"F"),FIND("S",Tasks[[#This Row],[_Pred4Text]]&amp;"S"),FIND("+",Tasks[[#This Row],[_Pred4Text]]&amp;"+"),FIND("-",Tasks[[#This Row],[_Pred4Text]]&amp;"-"))-1)),""))</f>
        <v/>
      </c>
      <c r="DI12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4" s="42">
        <f>IF(OR(Tasks[[#This Row],[Task Name]]="",Tasks[[#This Row],[_Resources]]=""),"",TRIM(MID(SUBSTITUTE(Tasks[[#This Row],[_Resources]],",",REPT(" ",99)),1,99)))</f>
        <v/>
      </c>
      <c r="DL124" s="42">
        <f>IF(Tasks[[#This Row],[_Res1Text]]="","",TRIM(MID(SUBSTITUTE(Tasks[[#This Row],[_Resources]],",",REPT(" ",99)),100,99)))</f>
        <v/>
      </c>
      <c r="DM124" s="42">
        <f>IF(Tasks[[#This Row],[_Res2Text]]="","",TRIM(MID(SUBSTITUTE(Tasks[[#This Row],[_Resources]],",",REPT(" ",99)),199,99)))</f>
        <v/>
      </c>
      <c r="DN124" s="42">
        <f>IF(Tasks[[#This Row],[_Res3Text]]="","",TRIM(MID(SUBSTITUTE(Tasks[[#This Row],[_Resources]],",",REPT(" ",99)),298,99)))</f>
        <v/>
      </c>
      <c r="DO124" s="42">
        <f>IF(Tasks[[#This Row],[_Res1Text]]="",0,IFERROR(MATCH(TRIM(LEFT(Tasks[[#This Row],[_Res1Text]],FIND("[",Tasks[[#This Row],[_Res1Text]]&amp;"[")-1)),res_Name,0),IFERROR(MATCH(TRIM(LEFT(Tasks[[#This Row],[_Res1Text]],FIND("[",Tasks[[#This Row],[_Res1Text]]&amp;"[")-1)),res_Initials,0),0)))</f>
        <v/>
      </c>
      <c r="DP124" s="42">
        <f>IF(Tasks[[#This Row],[_Res2Text]]="",0,IFERROR(MATCH(TRIM(LEFT(Tasks[[#This Row],[_Res2Text]],FIND("[",Tasks[[#This Row],[_Res2Text]]&amp;"[")-1)),res_Name,0),IFERROR(MATCH(TRIM(LEFT(Tasks[[#This Row],[_Res2Text]],FIND("[",Tasks[[#This Row],[_Res2Text]]&amp;"[")-1)),res_Initials,0),0)))</f>
        <v/>
      </c>
      <c r="DQ124" s="42">
        <f>IF(Tasks[[#This Row],[_Res3Text]]="",0,IFERROR(MATCH(TRIM(LEFT(Tasks[[#This Row],[_Res3Text]],FIND("[",Tasks[[#This Row],[_Res3Text]]&amp;"[")-1)),res_Name,0),IFERROR(MATCH(TRIM(LEFT(Tasks[[#This Row],[_Res3Text]],FIND("[",Tasks[[#This Row],[_Res3Text]]&amp;"[")-1)),res_Initials,0),0)))</f>
        <v/>
      </c>
      <c r="DR124" s="42">
        <f>IF(Tasks[[#This Row],[_Res4Text]]="",0,IFERROR(MATCH(TRIM(LEFT(Tasks[[#This Row],[_Res4Text]],FIND("[",Tasks[[#This Row],[_Res4Text]]&amp;"[")-1)),res_Name,0),IFERROR(MATCH(TRIM(LEFT(Tasks[[#This Row],[_Res4Text]],FIND("[",Tasks[[#This Row],[_Res4Text]]&amp;"[")-1)),res_Initials,0),0)))</f>
        <v/>
      </c>
      <c r="DS124" s="42">
        <f>IF(Tasks[[#This Row],[_Res1Text]]="","",IF(Tasks[[#This Row],[_Res1Row]]&gt;0,INDEX(res_Name,Tasks[[#This Row],[_Res1Row]]),TRIM(LEFT(Tasks[[#This Row],[_Res1Text]],FIND("[",Tasks[[#This Row],[_Res1Text]]&amp;"[")-1))))</f>
        <v/>
      </c>
      <c r="DT12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4" s="42">
        <f>IF(NOT(Tasks[[#This Row],[_IsLeaf]]=1),0,(Tasks[[#This Row],[_Resource1]]&lt;&gt;"")+(Tasks[[#This Row],[_Res2]]&lt;&gt;"")+(Tasks[[#This Row],[_Res3]]&lt;&gt;"")+(Tasks[[#This Row],[_Res4]]&lt;&gt;""))</f>
        <v/>
      </c>
      <c r="DV124" s="42">
        <f>IF(Tasks[[#This Row],[_Res2Text]]="","",IF(Tasks[[#This Row],[_Res2Row]]&gt;0,INDEX(res_Name,Tasks[[#This Row],[_Res2Row]]),TRIM(LEFT(Tasks[[#This Row],[_Res2Text]],FIND("[",Tasks[[#This Row],[_Res2Text]]&amp;"[")-1))))</f>
        <v/>
      </c>
      <c r="DW12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4" s="42">
        <f>IF(OR(NOT(Tasks[[#This Row],[_IsLeaf]]=1),Tasks[[#This Row],[_Res2Row]]=0),0,N(Tasks[[#This Row],[_Days]])*HoursPerDay*IF(Tasks[[#This Row],[_Res2Units]]="",DefaultUnits,Tasks[[#This Row],[_Res2Units]]))</f>
        <v/>
      </c>
      <c r="DY124" s="42">
        <f>IF(AND(AND(Tasks[[#This Row],[_IsLeaf]]=1,Tasks[[#This Row],[_LeafTotalWork]]&gt;0),Tasks[[#This Row],[_Res2Work]]&gt;0),Tasks[[#This Row],[_Res2Work]]/(Tasks[[#This Row],[_FinishWorkday]]-Tasks[[#This Row],[_StartWorkday]]+1),0)</f>
        <v/>
      </c>
      <c r="DZ124" s="42">
        <f>Tasks[[#This Row],[_Res2WorkPerWD]]*MAX(0,Tasks[[#This Row],[_StartWorkday]]-1)</f>
        <v/>
      </c>
      <c r="EA124" s="42">
        <f>Tasks[[#This Row],[_Res2Work]]*Tasks[[#This Row],[_LeafProgress]]</f>
        <v/>
      </c>
      <c r="EB124" s="42">
        <f>IF(Tasks[[#This Row],[_Res3Text]]="","",IF(Tasks[[#This Row],[_Res3Row]]&gt;0,INDEX(res_Name,Tasks[[#This Row],[_Res3Row]]),TRIM(LEFT(Tasks[[#This Row],[_Res3Text]],FIND("[",Tasks[[#This Row],[_Res3Text]]&amp;"[")-1))))</f>
        <v/>
      </c>
      <c r="EC12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4" s="42">
        <f>IF(OR(NOT(Tasks[[#This Row],[_IsLeaf]]=1),Tasks[[#This Row],[_Res3Row]]=0),0,N(Tasks[[#This Row],[_Days]])*HoursPerDay*IF(Tasks[[#This Row],[_Res3Units]]="",DefaultUnits,Tasks[[#This Row],[_Res3Units]]))</f>
        <v/>
      </c>
      <c r="EE124" s="42">
        <f>IF(AND(AND(Tasks[[#This Row],[_IsLeaf]]=1,Tasks[[#This Row],[_LeafTotalWork]]&gt;0),Tasks[[#This Row],[_Res3Work]]&gt;0),Tasks[[#This Row],[_Res3Work]]/(Tasks[[#This Row],[_FinishWorkday]]-Tasks[[#This Row],[_StartWorkday]]+1),0)</f>
        <v/>
      </c>
      <c r="EF124" s="42">
        <f>Tasks[[#This Row],[_Res3WorkPerWD]]*MAX(0,Tasks[[#This Row],[_StartWorkday]]-1)</f>
        <v/>
      </c>
      <c r="EG124" s="42">
        <f>Tasks[[#This Row],[_Res3Work]]*Tasks[[#This Row],[_LeafProgress]]</f>
        <v/>
      </c>
      <c r="EH124" s="42">
        <f>IF(Tasks[[#This Row],[_Res4Text]]="","",IF(Tasks[[#This Row],[_Res4Row]]&gt;0,INDEX(res_Name,Tasks[[#This Row],[_Res4Row]]),TRIM(LEFT(Tasks[[#This Row],[_Res4Text]],FIND("[",Tasks[[#This Row],[_Res4Text]]&amp;"[")-1))))</f>
        <v/>
      </c>
      <c r="EI12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4" s="42">
        <f>IF(OR(NOT(Tasks[[#This Row],[_IsLeaf]]=1),Tasks[[#This Row],[_Res4Row]]=0),0,N(Tasks[[#This Row],[_Days]])*HoursPerDay*IF(Tasks[[#This Row],[_Res4Units]]="",DefaultUnits,Tasks[[#This Row],[_Res4Units]]))</f>
        <v/>
      </c>
      <c r="EK124" s="42">
        <f>IF(AND(AND(Tasks[[#This Row],[_IsLeaf]]=1,Tasks[[#This Row],[_LeafTotalWork]]&gt;0),Tasks[[#This Row],[_Res4Work]]&gt;0),Tasks[[#This Row],[_Res4Work]]/(Tasks[[#This Row],[_FinishWorkday]]-Tasks[[#This Row],[_StartWorkday]]+1),0)</f>
        <v/>
      </c>
      <c r="EL124" s="42">
        <f>Tasks[[#This Row],[_Res4WorkPerWD]]*MAX(0,Tasks[[#This Row],[_StartWorkday]]-1)</f>
        <v/>
      </c>
      <c r="EM124" s="42">
        <f>Tasks[[#This Row],[_Res4Work]]*Tasks[[#This Row],[_LeafProgress]]</f>
        <v/>
      </c>
      <c r="EN124" s="42">
        <f>IF(ISNUMBER(Tasks[[#This Row],[% Complete]]),Tasks[[#This Row],[% Complete]],IF(Tasks[[#This Row],[Stage]]="",0,IFERROR(INDEX(stg_Pct,MATCH(Tasks[[#This Row],[Stage]],stg_Name,0)),0)))</f>
        <v/>
      </c>
      <c r="EO124" s="42">
        <f>IF(NOT(Tasks[[#This Row],[_IsLeaf]]=1),0,IF(N(Tasks[[#This Row],[Actual Finish]])&gt;0,1,MIN(1,Tasks[[#This Row],[_Pct]])))</f>
        <v/>
      </c>
      <c r="EP124" s="42">
        <f>IF(OR(NOT(Tasks[[#This Row],[_IsLeaf]]=1),Tasks[[#This Row],[_Res1Row]]=0),0,N(Tasks[[#This Row],[_Days]])*HoursPerDay*IF(Tasks[[#This Row],[_Units1]]="",DefaultUnits,Tasks[[#This Row],[_Units1]]))</f>
        <v/>
      </c>
      <c r="EQ124" s="42">
        <f>Tasks[[#This Row],[_LeafWork]]+Tasks[[#This Row],[_Res2Work]]+Tasks[[#This Row],[_Res3Work]]+Tasks[[#This Row],[_Res4Work]]</f>
        <v/>
      </c>
      <c r="ER12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4" s="42">
        <f>IF(NOT(Tasks[[#This Row],[_IsLeaf]]=1),0,MAX(_xlfn.MAXIFS(Tasks[_Row],Tasks[_Pred1UID],Tasks[[#This Row],[UID]]),_xlfn.MAXIFS(Tasks[_Row],Tasks[_Pred2UID],Tasks[[#This Row],[UID]]),_xlfn.MAXIFS(Tasks[_Row],Tasks[_Pred3UID],Tasks[[#This Row],[UID]]),_xlfn.MAXIFS(Tasks[_Row],Tasks[_Pred4UID],Tasks[[#This Row],[UID]])))</f>
        <v/>
      </c>
      <c r="FA12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4" s="88">
        <f>IF(NOT(Tasks[[#This Row],[_IsLeaf]]=1),"",IF(N(Tasks[[#This Row],[_Days]])&lt;=0,Tasks[[#This Row],[_LeafLateFinish]],WORKDAY.INTL(Tasks[[#This Row],[_LeafLateFinish]],-(Tasks[[#This Row],[_Days]]-1),WorkWeek,Holidays)))</f>
        <v/>
      </c>
      <c r="FD12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4" s="42">
        <f>AND(Tasks[[#This Row],[_IsLeaf]]=1,Tasks[[#This Row],[_LeafProgress]]&lt;1,N(Tasks[[#This Row],[_LeafTotalSlack]])&lt;=CriticalSlackDays)</f>
        <v/>
      </c>
      <c r="FF124" s="42">
        <f>IF(AND(Tasks[[#This Row],[_IsLeaf]]=1,Tasks[[#This Row],[_ConstraintCode]]=1,Tasks[[#This Row],[Mode]]&lt;&gt;"Manual",N(Tasks[[#This Row],[Actual Start]])=0),MAX(0,N(Tasks[[#This Row],[Free Slack]])),0)</f>
        <v/>
      </c>
      <c r="FG124" s="88">
        <f>IF(NOT(Tasks[[#This Row],[_IsLeaf]]=1),"",IF(Tasks[[#This Row],[_AlapShift]]=0,Tasks[[#This Row],[_LeafCalcStart]],WORKDAY.INTL(Tasks[[#This Row],[_LeafCalcStart]],Tasks[[#This Row],[_AlapShift]],WorkWeek,Holidays)))</f>
        <v/>
      </c>
      <c r="FH124" s="88">
        <f>IF(NOT(Tasks[[#This Row],[_IsLeaf]]=1),"",IF(Tasks[[#This Row],[_AlapShift]]=0,Tasks[[#This Row],[_LeafCalcFinish]],WORKDAY.INTL(Tasks[[#This Row],[_LeafCalcFinish]],Tasks[[#This Row],[_AlapShift]],WorkWeek,Holidays)))</f>
        <v/>
      </c>
      <c r="FI124" s="88">
        <f>IF(NOT(Tasks[[#This Row],[_IsLeaf]]=1),"",IF(Tasks[[#This Row],[_AlapShift]]=0,Tasks[[#This Row],[_LeafFcstStart]],WORKDAY.INTL(Tasks[[#This Row],[_LeafFcstStart]],Tasks[[#This Row],[_AlapShift]],WorkWeek,Holidays)))</f>
        <v/>
      </c>
      <c r="FJ124" s="88">
        <f>IF(NOT(Tasks[[#This Row],[_IsLeaf]]=1),"",IF(Tasks[[#This Row],[_AlapShift]]=0,Tasks[[#This Row],[_LeafFcstFinish]],WORKDAY.INTL(Tasks[[#This Row],[_LeafFcstFinish]],Tasks[[#This Row],[_AlapShift]],WorkWeek,Holidays)))</f>
        <v/>
      </c>
      <c r="FK124" s="88">
        <f>IF(Tasks[[#This Row],[Task Name]]="","",IF(Tasks[[#This Row],[_IsSummary]],MIN(INDEX(Tasks[_ShownCalcStart],Tasks[[#This Row],[_Row]]+1):INDEX(Tasks[_ShownCalcStart],Tasks[[#This Row],[_Row]]+Tasks[[#This Row],[_Descendants]])),Tasks[[#This Row],[_ShownCalcStart]]))</f>
        <v/>
      </c>
      <c r="FL124" s="88">
        <f>IF(Tasks[[#This Row],[Task Name]]="","",IF(Tasks[[#This Row],[_IsSummary]],MAX(INDEX(Tasks[_ShownCalcFinish],Tasks[[#This Row],[_Row]]+1):INDEX(Tasks[_ShownCalcFinish],Tasks[[#This Row],[_Row]]+Tasks[[#This Row],[_Descendants]])),Tasks[[#This Row],[_ShownCalcFinish]]))</f>
        <v/>
      </c>
      <c r="FM12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4" s="42">
        <f>IF(AND(Tasks[[#This Row],[_IsLeaf]]=1,Tasks[[#This Row],[_LeafTotalWork]]&gt;0),NETWORKDAYS.INTL(ProjectStart,Tasks[[#This Row],[_ShownFcstStart]],WorkWeek,Holidays),0)</f>
        <v/>
      </c>
      <c r="FZ124" s="42">
        <f>IF(AND(Tasks[[#This Row],[_IsLeaf]]=1,Tasks[[#This Row],[_LeafTotalWork]]&gt;0),MAX(Tasks[[#This Row],[_StartWorkday]],NETWORKDAYS.INTL(ProjectStart,Tasks[[#This Row],[_ShownFcstFinish]],WorkWeek,Holidays)),0)</f>
        <v/>
      </c>
      <c r="GA124" s="42">
        <f>IF(AND(Tasks[[#This Row],[_IsLeaf]]=1,Tasks[[#This Row],[_LeafTotalWork]]&gt;0),Tasks[[#This Row],[_LeafWork]]/(Tasks[[#This Row],[_FinishWorkday]]-Tasks[[#This Row],[_StartWorkday]]+1),0)</f>
        <v/>
      </c>
      <c r="GB124" s="42">
        <f>Tasks[[#This Row],[_WorkPerWorkday]]*(Tasks[[#This Row],[_StartWorkday]]-1)</f>
        <v/>
      </c>
      <c r="GC124" s="42">
        <f>IF(Tasks[[#This Row],[_IsLeaf]]=1,MAX(N(Tasks[[#This Row],[_Days]]),0.1),0)</f>
        <v/>
      </c>
      <c r="GD124" s="42">
        <f>Tasks[[#This Row],[_WeightDur]]*Tasks[[#This Row],[_LeafProgress]]</f>
        <v/>
      </c>
      <c r="GE124" s="42">
        <f>Tasks[[#This Row],[_WeightDur]]*Tasks[[#This Row],[_PlannedPct]]</f>
        <v/>
      </c>
      <c r="GF12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4" s="42">
        <f>IF(AND(Tasks[[#This Row],[_IsLeaf]]=1,N(Tasks[[#This Row],[_Days]])=0,Tasks[[#This Row],[_LeafProgress]]&lt;1),Tasks[[#This Row],[_ShownFcstFinish]]+Tasks[[#This Row],[_Row]]/100000,"")</f>
        <v/>
      </c>
      <c r="GH12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4" s="42">
        <f>IF(Tasks[[#This Row],[Task Name]]="","",LEFT(Tasks[[#This Row],[WBS]],FIND(".",Tasks[[#This Row],[WBS]]&amp;".")-1))</f>
        <v/>
      </c>
      <c r="GJ124" s="42">
        <f>IF(AND(Tasks[[#This Row],[Task Name]]&lt;&gt;"",Tasks[[#This Row],[_Level]]=1),Tasks[[#This Row],[_Row]],"")</f>
        <v/>
      </c>
      <c r="GK124" s="42">
        <f>IF(AND(Tasks[[#This Row],[_IsLeaf]]=1,N(Tasks[[#This Row],[_Days]])=0),Tasks[[#This Row],[Planned Finish]]+Tasks[[#This Row],[_Row]]/100000,"")</f>
        <v/>
      </c>
      <c r="GL124" s="42">
        <f>IF(AND(Tasks[[#This Row],[_IsLeaf]]=1,Tasks[[#This Row],[_LeafProgress]]&lt;1,OR(N(Tasks[[#This Row],[Finish Var]])&gt;0,Tasks[[#This Row],[Status]]="Late Start")),MAX(0,Tasks[[#This Row],[Finish Var]])+1-Tasks[[#This Row],[_Row]]/1000000,"")</f>
        <v/>
      </c>
      <c r="GM124" s="42">
        <f>IF(AND(Tasks[[#This Row],[_IsLeaf]]=1,N(Tasks[[#This Row],[Actual Start]])=0,Tasks[[#This Row],[_ShownFcstStart]]&gt;=StatusDate,Tasks[[#This Row],[_ShownFcstStart]]&lt;=LookaheadEnd),Tasks[[#This Row],[_ShownFcstStart]]+Tasks[[#This Row],[_Row]]/100000,"")</f>
        <v/>
      </c>
      <c r="GN124" s="42">
        <f>IF(AND(Tasks[[#This Row],[_IsLeaf]]=1,Tasks[[#This Row],[_LeafProgress]]&lt;1,Tasks[[#This Row],[_ShownFcstFinish]]&gt;=StatusDate,Tasks[[#This Row],[_ShownFcstFinish]]&lt;=LookaheadEnd),Tasks[[#This Row],[_ShownFcstFinish]]+Tasks[[#This Row],[_Row]]/100000,"")</f>
        <v/>
      </c>
      <c r="GO124" s="42">
        <f>IF(Tasks[[#This Row],[_LeafCritical]],Tasks[[#This Row],[_ShownFcstStart]]+Tasks[[#This Row],[_Row]]/100000,"")</f>
        <v/>
      </c>
      <c r="GP124" s="42">
        <f>Tasks[[#This Row],[_LeafWork]]*Tasks[[#This Row],[_LeafProgress]]</f>
        <v/>
      </c>
      <c r="GQ124" s="88">
        <f>IF(AND(Tasks[[#This Row],[_IsLeaf]]=1,Tasks[[#This Row],[_LeafProgress]]&gt;=1),IF(N(Tasks[[#This Row],[Actual Finish]])&gt;0,Tasks[[#This Row],[Actual Finish]],Tasks[[#This Row],[_ShownFcstFinish]]),"")</f>
        <v/>
      </c>
      <c r="GR124" s="42">
        <f>IF(Tasks[[#This Row],[_IsLeaf]]=1,N(Tasks[[#This Row],[Story Points]]),0)</f>
        <v/>
      </c>
      <c r="GS124" s="42">
        <f>""</f>
        <v/>
      </c>
      <c r="GT124" s="42">
        <f>IF(Tasks[[#This Row],[Task Name]]="",FALSE(),AND(Tasks[[#This Row],[_IsLeaf]]=1,N(Tasks[[#This Row],[_Days]])=0))</f>
        <v/>
      </c>
      <c r="GU124" s="88">
        <f>IF(Tasks[[#This Row],[Task Name]]="",0,IF(AND(Tasks[[#This Row],[_IsLeaf]]=1,NOT(Tasks[[#This Row],[_IsMilestone]]),N(Tasks[[#This Row],[Progress]])&gt;0),Tasks[[#This Row],[Start]],0))</f>
        <v/>
      </c>
      <c r="GV124" s="88">
        <f>IF(Tasks[[#This Row],[_DoneFrom]]=0,0,IF(Tasks[[#This Row],[Progress]]&gt;=1,Tasks[[#This Row],[Finish]],MAX(Tasks[[#This Row],[_DoneFrom]],Tasks[[#This Row],[Start]]+ROUND((Tasks[[#This Row],[Finish]]-Tasks[[#This Row],[Start]]+1)*Tasks[[#This Row],[Progress]],0)-1)))</f>
        <v/>
      </c>
      <c r="GW124" s="88">
        <f>IF(Tasks[[#This Row],[Task Name]]="",0,IF(OR(NOT(Tasks[[#This Row],[_IsLeaf]]=1),Tasks[[#This Row],[_IsMilestone]],N(Tasks[[#This Row],[Progress]])&gt;=1),0,IF(Tasks[[#This Row],[_DoneTo]]&gt;0,Tasks[[#This Row],[_DoneTo]]+1,Tasks[[#This Row],[Start]])))</f>
        <v/>
      </c>
      <c r="GX124" s="88">
        <f>IF(Tasks[[#This Row],[_RemFrom]]=0,0,Tasks[[#This Row],[Finish]])</f>
        <v/>
      </c>
      <c r="GY124" s="42">
        <f>IF(Tasks[[#This Row],[Task Name]]="",FALSE(),OR(NOT(BaselineSet),N(Tasks[[#This Row],[Baseline Start]])&gt;0))</f>
        <v/>
      </c>
      <c r="GZ124" s="42">
        <f>IF(AND(Sandbox="Yes",L_PARSE_DURATION(Tasks[[#This Row],[Sandbox Duration]])&lt;&gt;""),L_PARSE_DURATION(Tasks[[#This Row],[Sandbox Duration]]),L_PARSE_DURATION(Tasks[[#This Row],[Duration]]))</f>
        <v/>
      </c>
      <c r="HA12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4" s="42">
        <f>IF(Tasks[[#This Row],[_IsLeaf]]=1,Tasks[[#This Row],[_Row]],"")</f>
        <v/>
      </c>
      <c r="HD124" s="42">
        <f>IFERROR(INDEX(Tasks[UID],SMALL(Tasks[_PickKey],Tasks[[#This Row],[_Row]]))&amp;" "&amp;INDEX(Tasks[Task Name],SMALL(Tasks[_PickKey],Tasks[[#This Row],[_Row]])),"")</f>
        <v/>
      </c>
      <c r="HE124" s="42">
        <f>IF(Tasks[[#This Row],[Task Name]]="","",IF(Tasks[[#This Row],[_IsSummary]],NETWORKDAYS.INTL(Tasks[[#This Row],[Start]],Tasks[[#This Row],[Finish]],WorkWeek,Holidays),N(Tasks[[#This Row],[_Days]])))</f>
        <v/>
      </c>
      <c r="HF124" s="42">
        <f>IF(Tasks[[#This Row],[Expected]]="",0,((Tasks[[#This Row],[Pessimistic]]-Tasks[[#This Row],[Optimistic]])/6)^2)</f>
        <v/>
      </c>
      <c r="HG124" s="42">
        <f>IF(Tasks[[#This Row],[Expected]]="",0,Tasks[[#This Row],[Expected]]-N(Tasks[[#This Row],[_Days]]))</f>
        <v/>
      </c>
    </row>
    <row r="125">
      <c r="A125" s="21">
        <f>IF(Tasks[[#This Row],[Task Name]]="","",COUNTA(Tasks[[#Headers],[Task Name]]:Tasks[[#This Row],[Task Name]])-1)</f>
        <v/>
      </c>
      <c r="B125" s="22" t="n">
        <v>133</v>
      </c>
      <c r="C125" s="22" t="n"/>
      <c r="D125" s="23" t="n"/>
      <c r="E125" s="22" t="n"/>
      <c r="F125" s="23" t="n"/>
      <c r="G125" s="22" t="n"/>
      <c r="H125" s="22" t="n"/>
      <c r="I125" s="23" t="n"/>
      <c r="J125" s="22" t="n"/>
      <c r="K125" s="22" t="n"/>
      <c r="L125" s="23" t="n"/>
      <c r="M125" s="22" t="n"/>
      <c r="N125" s="22" t="n"/>
      <c r="O125" s="23" t="n"/>
      <c r="P125" s="22" t="n"/>
      <c r="Q125" s="22" t="n"/>
      <c r="R125" s="23" t="n"/>
      <c r="S125" s="23" t="n"/>
      <c r="T125" s="82" t="n"/>
      <c r="U125" s="23" t="n"/>
      <c r="V125" s="82" t="n"/>
      <c r="W125" s="23" t="n"/>
      <c r="X125" s="82" t="n"/>
      <c r="Y125" s="23" t="n"/>
      <c r="Z125" s="82" t="n"/>
      <c r="AA125" s="23" t="n"/>
      <c r="AB125" s="23" t="n"/>
      <c r="AC125" s="7" t="n"/>
      <c r="AD125" s="7" t="n"/>
      <c r="AE125" s="61">
        <f>IF(Tasks[[#This Row],[Task Name]]="","",IF(Tasks[[#This Row],[_IsSummary]],MIN(INDEX(Tasks[_ShownFcstStart],Tasks[[#This Row],[_Row]]+1):INDEX(Tasks[_ShownFcstStart],Tasks[[#This Row],[_Row]]+Tasks[[#This Row],[_Descendants]])),Tasks[[#This Row],[_ShownFcstStart]]))</f>
        <v/>
      </c>
      <c r="AF125" s="61">
        <f>IF(Tasks[[#This Row],[Task Name]]="","",IF(Tasks[[#This Row],[_IsSummary]],MAX(INDEX(Tasks[_ShownFcstFinish],Tasks[[#This Row],[_Row]]+1):INDEX(Tasks[_ShownFcstFinish],Tasks[[#This Row],[_Row]]+Tasks[[#This Row],[_Descendants]])),Tasks[[#This Row],[_ShownFcstFinish]]))</f>
        <v/>
      </c>
      <c r="AG125" s="21">
        <f>""</f>
        <v/>
      </c>
      <c r="AH125" s="23" t="n"/>
      <c r="AI12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5" s="7" t="n"/>
      <c r="AK125" s="22" t="n"/>
      <c r="AL125" s="23" t="n"/>
      <c r="AM125" s="7" t="n"/>
      <c r="AN125" s="21">
        <f>IF(Tasks[[#This Row],[Task Name]]="","",IF(Tasks[[#This Row],[Finish]]&gt;=Tasks[[#This Row],[Planned Finish]],NETWORKDAYS.INTL(Tasks[[#This Row],[Planned Finish]],Tasks[[#This Row],[Finish]],WorkWeek,Holidays)-1,1-NETWORKDAYS.INTL(Tasks[[#This Row],[Finish]],Tasks[[#This Row],[Planned Finish]],WorkWeek,Holidays)))</f>
        <v/>
      </c>
      <c r="AO125" s="21">
        <f>IF(Tasks[[#This Row],[Task Name]]="","",IF(Tasks[[#This Row],[Progress]]&gt;=1,"Complete",IF(OR(N(Tasks[[#This Row],[Actual Start]])&gt;0,Tasks[[#This Row],[Progress]]&gt;0),IF(Tasks[[#This Row],[Finish Var]]&gt;0,"Behind","In Progress"),IF(Tasks[[#This Row],[Planned Start]]&lt;StatusDate,"Late Start","Not Started"))))</f>
        <v/>
      </c>
      <c r="AP125" s="21">
        <f>IF(Tasks[[#This Row],[Task Name]]="","",IF(IF(Tasks[[#This Row],[_IsSummary]],COUNTIF(INDEX(Tasks[_LeafCritical],Tasks[[#This Row],[_Row]]+1):INDEX(Tasks[_LeafCritical],Tasks[[#This Row],[_Row]]+Tasks[[#This Row],[_Descendants]]),TRUE())&gt;0,Tasks[[#This Row],[_LeafCritical]]),"Yes",""))</f>
        <v/>
      </c>
      <c r="AQ125" s="61">
        <f>IF(Tasks[[#This Row],[Task Name]]="","",IF(N(Tasks[[#This Row],[Baseline Start]])&gt;0,Tasks[[#This Row],[Baseline Start]],Tasks[[#This Row],[_CalcStart]]))</f>
        <v/>
      </c>
      <c r="AR125" s="61">
        <f>IF(Tasks[[#This Row],[Task Name]]="","",IF(N(Tasks[[#This Row],[Baseline Finish]])&gt;0,Tasks[[#This Row],[Baseline Finish]],Tasks[[#This Row],[_CalcFinish]]))</f>
        <v/>
      </c>
      <c r="AS125" s="21">
        <f>IF(Tasks[[#This Row],[Task Name]]="","",IF(Tasks[[#This Row],[Start]]&gt;=Tasks[[#This Row],[Planned Start]],NETWORKDAYS.INTL(Tasks[[#This Row],[Planned Start]],Tasks[[#This Row],[Start]],WorkWeek,Holidays)-1,1-NETWORKDAYS.INTL(Tasks[[#This Row],[Start]],Tasks[[#This Row],[Planned Start]],WorkWeek,Holidays)))</f>
        <v/>
      </c>
      <c r="AT125" s="61">
        <f>IF(Tasks[[#This Row],[Task Name]]="","",IF(Tasks[[#This Row],[_IsSummary]],MIN(INDEX(Tasks[_LeafLateStart],Tasks[[#This Row],[_Row]]+1):INDEX(Tasks[_LeafLateStart],Tasks[[#This Row],[_Row]]+Tasks[[#This Row],[_Descendants]])),Tasks[[#This Row],[_LeafLateStart]]))</f>
        <v/>
      </c>
      <c r="AU125" s="61">
        <f>IF(Tasks[[#This Row],[Task Name]]="","",IF(Tasks[[#This Row],[_IsSummary]],MAX(INDEX(Tasks[_LeafLateFinish],Tasks[[#This Row],[_Row]]+1):INDEX(Tasks[_LeafLateFinish],Tasks[[#This Row],[_Row]]+Tasks[[#This Row],[_Descendants]])),Tasks[[#This Row],[_LeafLateFinish]]))</f>
        <v/>
      </c>
      <c r="AV125" s="21">
        <f>IF(Tasks[[#This Row],[Task Name]]="","",IF(Tasks[[#This Row],[_IsSummary]],MIN(INDEX(Tasks[_LeafTotalSlack],Tasks[[#This Row],[_Row]]+1):INDEX(Tasks[_LeafTotalSlack],Tasks[[#This Row],[_Row]]+Tasks[[#This Row],[_Descendants]])),Tasks[[#This Row],[_LeafTotalSlack]]))</f>
        <v/>
      </c>
      <c r="AW12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3" t="n"/>
      <c r="BA12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f>IF(Tasks[[#This Row],[Task Name]]="","",IF(Tasks[[#This Row],[_Level]]&lt;=OutlineShowLevel,"Yes","No"))</f>
        <v/>
      </c>
      <c r="BE125" s="84">
        <f>IF(Tasks[[#This Row],[Task Name]]="","",IF(Tasks[[#This Row],[_IsSummary]],SUM(INDEX(Tasks[_LeafTotalWork],Tasks[[#This Row],[_Row]]+1):INDEX(Tasks[_LeafTotalWork],Tasks[[#This Row],[_Row]]+Tasks[[#This Row],[_Descendants]])),Tasks[[#This Row],[_LeafTotalWork]]))</f>
        <v/>
      </c>
      <c r="BF125" s="23" t="n"/>
      <c r="BG12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f>""</f>
        <v/>
      </c>
      <c r="BI125" s="85" t="n"/>
      <c r="BJ125" s="22" t="n"/>
      <c r="BK125" s="21">
        <f>IF(OR(Tasks[[#This Row],[Task Name]]="",Tasks[[#This Row],[Baseline Duration]]=""),"",Tasks[[#This Row],[_SpanDays]]-N(Tasks[[#This Row],[Baseline Duration]]))</f>
        <v/>
      </c>
      <c r="BL125" s="84">
        <f>IF(OR(Tasks[[#This Row],[Task Name]]="",Tasks[[#This Row],[Baseline Work]]=""),"",Tasks[[#This Row],[Work]]-N(Tasks[[#This Row],[Baseline Work]]))</f>
        <v/>
      </c>
      <c r="BM125" s="61">
        <f>IF(Tasks[[#This Row],[Task Name]]="","",IF(OR(TakeBaseline="Yes",N(Tasks[[#This Row],[Baseline Start]])=0),Tasks[[#This Row],[Start]],Tasks[[#This Row],[Baseline Start]]))</f>
        <v/>
      </c>
      <c r="BN125" s="61">
        <f>IF(Tasks[[#This Row],[Task Name]]="","",IF(OR(TakeBaseline="Yes",N(Tasks[[#This Row],[Baseline Finish]])=0),Tasks[[#This Row],[Finish]],Tasks[[#This Row],[Baseline Finish]]))</f>
        <v/>
      </c>
      <c r="BO125" s="21">
        <f>IF(Tasks[[#This Row],[Task Name]]="","",IF(OR(TakeBaseline="Yes",N(Tasks[[#This Row],[Baseline Duration]])=0),Tasks[[#This Row],[_SpanDays]],Tasks[[#This Row],[Baseline Duration]]))</f>
        <v/>
      </c>
      <c r="BP125" s="84">
        <f>IF(Tasks[[#This Row],[Task Name]]="","",IF(OR(TakeBaseline="Yes",N(Tasks[[#This Row],[Baseline Work]])=0),Tasks[[#This Row],[Work]],Tasks[[#This Row],[Baseline Work]]))</f>
        <v/>
      </c>
      <c r="BQ125" s="7" t="n"/>
      <c r="BR125" s="7" t="n"/>
      <c r="BS125" s="22" t="n"/>
      <c r="BT125" s="86" t="n"/>
      <c r="BU125" s="23" t="n"/>
      <c r="BV125" s="23" t="n"/>
      <c r="BW125" s="23" t="n"/>
      <c r="BX125" s="87">
        <f>IF(AND(Tasks[[#This Row],[_IsLeaf]]=1,ISNUMBER(Tasks[[#This Row],[Optimistic]]),ISNUMBER(Tasks[[#This Row],[Pessimistic]])),ROUND((Tasks[[#This Row],[Optimistic]]+4*N(Tasks[[#This Row],[_Days]])+Tasks[[#This Row],[Pessimistic]])/6,1),"")</f>
        <v/>
      </c>
      <c r="BY125" s="85" t="n"/>
      <c r="BZ125" s="85" t="n"/>
      <c r="CA125" s="22" t="n"/>
      <c r="CB125" s="42">
        <f>IF(Tasks[[#This Row],[Task Name]]="","",MAX(1,N(Tasks[[#This Row],[Level]])))</f>
        <v/>
      </c>
      <c r="CC125" s="42">
        <f>ROW()-ROW(Tasks[[#Headers],[ID]])</f>
        <v/>
      </c>
      <c r="CD125" s="42">
        <f>IF(OR(Tasks[[#This Row],[Task Name]]="",Tasks[[#This Row],[_Level]]&lt;=1),0,IFERROR(LOOKUP(2,1/(Tasks[[#Headers],[_Level]]:Tasks[[#This Row],[_Level]]=Tasks[[#This Row],[_Level]]-1),ROW(Tasks[[#Headers],[_Level]]:Tasks[[#This Row],[_Level]])),0))</f>
        <v/>
      </c>
      <c r="CE125" s="42">
        <f>IFERROR(N(INDEX(Tasks[_Level],Tasks[[#This Row],[_Row]]+1)),0)</f>
        <v/>
      </c>
      <c r="CF125" s="42">
        <f>AND(Tasks[[#This Row],[Task Name]]&lt;&gt;"",Tasks[[#This Row],[_NextLevel]]&gt;Tasks[[#This Row],[_Level]])</f>
        <v/>
      </c>
      <c r="CG125" s="42">
        <f>IF(Tasks[[#This Row],[_IsSummary]],COUNTIF(Tasks[WBS],Tasks[[#This Row],[WBS]]&amp;".*"),0)</f>
        <v/>
      </c>
      <c r="CH125" s="42">
        <f>IF(AND(Tasks[[#This Row],[Task Name]]&lt;&gt;"",NOT(Tasks[[#This Row],[_IsSummary]])),1,0)</f>
        <v/>
      </c>
      <c r="CI125" s="42">
        <f>IF(N(Tasks[[#This Row],[_Pred1UID]])=0,0,IFERROR(MATCH(Tasks[[#This Row],[_Pred1UID]],Tasks[UID],0),-1))</f>
        <v/>
      </c>
      <c r="CJ125" s="42">
        <f>IF(N(Tasks[[#This Row],[_Pred2UID]])=0,0,IFERROR(MATCH(Tasks[[#This Row],[_Pred2UID]],Tasks[UID],0),-1))</f>
        <v/>
      </c>
      <c r="CK125" s="42">
        <f>IF(N(Tasks[[#This Row],[_Pred3UID]])=0,0,IFERROR(MATCH(Tasks[[#This Row],[_Pred3UID]],Tasks[UID],0),-1))</f>
        <v/>
      </c>
      <c r="CL125" s="42">
        <f>IF(N(Tasks[[#This Row],[_Pred4UID]])=0,0,IFERROR(MATCH(Tasks[[#This Row],[_Pred4UID]],Tasks[UID],0),-1))</f>
        <v/>
      </c>
      <c r="CM12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5" s="88">
        <f>IF(N(Tasks[[#This Row],[Constraint Date]])=0,0,IF(AND(OR(Tasks[[#This Row],[_ConstraintCode]]=3,Tasks[[#This Row],[_ConstraintCode]]=6,Tasks[[#This Row],[_ConstraintCode]]=7),N(Tasks[[#This Row],[_Days]])&gt;1),WORKDAY.INTL(N(Tasks[[#This Row],[Constraint Date]]),-(N(Tasks[[#This Row],[_Days]])-1),WorkWeek,Holidays),N(Tasks[[#This Row],[Constraint Date]])))</f>
        <v/>
      </c>
      <c r="CO125" s="88">
        <f>IF(OR(Tasks[[#This Row],[_ConstraintCode]]=2,Tasks[[#This Row],[_ConstraintCode]]=3,Tasks[[#This Row],[_ConstraintCode]]=4,Tasks[[#This Row],[_ConstraintCode]]=6),Tasks[[#This Row],[_ConstraintStart]],0)</f>
        <v/>
      </c>
      <c r="CP125" s="88">
        <f>IF(OR(Tasks[[#This Row],[_ConstraintCode]]=2,Tasks[[#This Row],[_ConstraintCode]]=3,Tasks[[#This Row],[_ConstraintCode]]=5,Tasks[[#This Row],[_ConstraintCode]]=7),Tasks[[#This Row],[_ConstraintStart]],2958465)</f>
        <v/>
      </c>
      <c r="CQ12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5" s="88">
        <f>IF(NOT(Tasks[[#This Row],[_IsLeaf]]=1),"",IF(N(Tasks[[#This Row],[_Days]])&lt;=0,Tasks[[#This Row],[_LeafCalcStart]],WORKDAY.INTL(Tasks[[#This Row],[_LeafCalcStart]],Tasks[[#This Row],[_Days]]-1,WorkWeek,Holidays)))</f>
        <v/>
      </c>
      <c r="CS12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5" s="42">
        <f>IF(Tasks[[#This Row],[_Predecessors]]="","",TRIM(MID(SUBSTITUTE(SUBSTITUTE(SUBSTITUTE(UPPER(Tasks[[#This Row],[_Predecessors]]),";",",")," ",""),",",REPT(" ",99)),1,99)))</f>
        <v/>
      </c>
      <c r="CV125" s="42">
        <f>IF(Tasks[[#This Row],[_Pred1Text]]="","",IFERROR(VALUE(LEFT(Tasks[[#This Row],[_Pred1Text]],MIN(FIND("F",Tasks[[#This Row],[_Pred1Text]]&amp;"F"),FIND("S",Tasks[[#This Row],[_Pred1Text]]&amp;"S"),FIND("+",Tasks[[#This Row],[_Pred1Text]]&amp;"+"),FIND("-",Tasks[[#This Row],[_Pred1Text]]&amp;"-"))-1)),""))</f>
        <v/>
      </c>
      <c r="CW12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5" s="42">
        <f>IF(Tasks[[#This Row],[_Pred1Text]]="","",TRIM(MID(SUBSTITUTE(SUBSTITUTE(SUBSTITUTE(UPPER(Tasks[[#This Row],[_Predecessors]]),";",",")," ",""),",",REPT(" ",99)),100,99)))</f>
        <v/>
      </c>
      <c r="CZ125" s="42">
        <f>IF(Tasks[[#This Row],[_Pred2Text]]="","",IFERROR(VALUE(LEFT(Tasks[[#This Row],[_Pred2Text]],MIN(FIND("F",Tasks[[#This Row],[_Pred2Text]]&amp;"F"),FIND("S",Tasks[[#This Row],[_Pred2Text]]&amp;"S"),FIND("+",Tasks[[#This Row],[_Pred2Text]]&amp;"+"),FIND("-",Tasks[[#This Row],[_Pred2Text]]&amp;"-"))-1)),""))</f>
        <v/>
      </c>
      <c r="DA12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5" s="42">
        <f>IF(Tasks[[#This Row],[_Pred2Text]]="","",TRIM(MID(SUBSTITUTE(SUBSTITUTE(SUBSTITUTE(UPPER(Tasks[[#This Row],[_Predecessors]]),";",",")," ",""),",",REPT(" ",99)),199,99)))</f>
        <v/>
      </c>
      <c r="DD125" s="42">
        <f>IF(Tasks[[#This Row],[_Pred3Text]]="","",IFERROR(VALUE(LEFT(Tasks[[#This Row],[_Pred3Text]],MIN(FIND("F",Tasks[[#This Row],[_Pred3Text]]&amp;"F"),FIND("S",Tasks[[#This Row],[_Pred3Text]]&amp;"S"),FIND("+",Tasks[[#This Row],[_Pred3Text]]&amp;"+"),FIND("-",Tasks[[#This Row],[_Pred3Text]]&amp;"-"))-1)),""))</f>
        <v/>
      </c>
      <c r="DE12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5" s="42">
        <f>IF(Tasks[[#This Row],[_Pred3Text]]="","",TRIM(MID(SUBSTITUTE(SUBSTITUTE(SUBSTITUTE(UPPER(Tasks[[#This Row],[_Predecessors]]),";",",")," ",""),",",REPT(" ",99)),298,99)))</f>
        <v/>
      </c>
      <c r="DH125" s="42">
        <f>IF(Tasks[[#This Row],[_Pred4Text]]="","",IFERROR(VALUE(LEFT(Tasks[[#This Row],[_Pred4Text]],MIN(FIND("F",Tasks[[#This Row],[_Pred4Text]]&amp;"F"),FIND("S",Tasks[[#This Row],[_Pred4Text]]&amp;"S"),FIND("+",Tasks[[#This Row],[_Pred4Text]]&amp;"+"),FIND("-",Tasks[[#This Row],[_Pred4Text]]&amp;"-"))-1)),""))</f>
        <v/>
      </c>
      <c r="DI12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5" s="42">
        <f>IF(OR(Tasks[[#This Row],[Task Name]]="",Tasks[[#This Row],[_Resources]]=""),"",TRIM(MID(SUBSTITUTE(Tasks[[#This Row],[_Resources]],",",REPT(" ",99)),1,99)))</f>
        <v/>
      </c>
      <c r="DL125" s="42">
        <f>IF(Tasks[[#This Row],[_Res1Text]]="","",TRIM(MID(SUBSTITUTE(Tasks[[#This Row],[_Resources]],",",REPT(" ",99)),100,99)))</f>
        <v/>
      </c>
      <c r="DM125" s="42">
        <f>IF(Tasks[[#This Row],[_Res2Text]]="","",TRIM(MID(SUBSTITUTE(Tasks[[#This Row],[_Resources]],",",REPT(" ",99)),199,99)))</f>
        <v/>
      </c>
      <c r="DN125" s="42">
        <f>IF(Tasks[[#This Row],[_Res3Text]]="","",TRIM(MID(SUBSTITUTE(Tasks[[#This Row],[_Resources]],",",REPT(" ",99)),298,99)))</f>
        <v/>
      </c>
      <c r="DO125" s="42">
        <f>IF(Tasks[[#This Row],[_Res1Text]]="",0,IFERROR(MATCH(TRIM(LEFT(Tasks[[#This Row],[_Res1Text]],FIND("[",Tasks[[#This Row],[_Res1Text]]&amp;"[")-1)),res_Name,0),IFERROR(MATCH(TRIM(LEFT(Tasks[[#This Row],[_Res1Text]],FIND("[",Tasks[[#This Row],[_Res1Text]]&amp;"[")-1)),res_Initials,0),0)))</f>
        <v/>
      </c>
      <c r="DP125" s="42">
        <f>IF(Tasks[[#This Row],[_Res2Text]]="",0,IFERROR(MATCH(TRIM(LEFT(Tasks[[#This Row],[_Res2Text]],FIND("[",Tasks[[#This Row],[_Res2Text]]&amp;"[")-1)),res_Name,0),IFERROR(MATCH(TRIM(LEFT(Tasks[[#This Row],[_Res2Text]],FIND("[",Tasks[[#This Row],[_Res2Text]]&amp;"[")-1)),res_Initials,0),0)))</f>
        <v/>
      </c>
      <c r="DQ125" s="42">
        <f>IF(Tasks[[#This Row],[_Res3Text]]="",0,IFERROR(MATCH(TRIM(LEFT(Tasks[[#This Row],[_Res3Text]],FIND("[",Tasks[[#This Row],[_Res3Text]]&amp;"[")-1)),res_Name,0),IFERROR(MATCH(TRIM(LEFT(Tasks[[#This Row],[_Res3Text]],FIND("[",Tasks[[#This Row],[_Res3Text]]&amp;"[")-1)),res_Initials,0),0)))</f>
        <v/>
      </c>
      <c r="DR125" s="42">
        <f>IF(Tasks[[#This Row],[_Res4Text]]="",0,IFERROR(MATCH(TRIM(LEFT(Tasks[[#This Row],[_Res4Text]],FIND("[",Tasks[[#This Row],[_Res4Text]]&amp;"[")-1)),res_Name,0),IFERROR(MATCH(TRIM(LEFT(Tasks[[#This Row],[_Res4Text]],FIND("[",Tasks[[#This Row],[_Res4Text]]&amp;"[")-1)),res_Initials,0),0)))</f>
        <v/>
      </c>
      <c r="DS125" s="42">
        <f>IF(Tasks[[#This Row],[_Res1Text]]="","",IF(Tasks[[#This Row],[_Res1Row]]&gt;0,INDEX(res_Name,Tasks[[#This Row],[_Res1Row]]),TRIM(LEFT(Tasks[[#This Row],[_Res1Text]],FIND("[",Tasks[[#This Row],[_Res1Text]]&amp;"[")-1))))</f>
        <v/>
      </c>
      <c r="DT12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5" s="42">
        <f>IF(NOT(Tasks[[#This Row],[_IsLeaf]]=1),0,(Tasks[[#This Row],[_Resource1]]&lt;&gt;"")+(Tasks[[#This Row],[_Res2]]&lt;&gt;"")+(Tasks[[#This Row],[_Res3]]&lt;&gt;"")+(Tasks[[#This Row],[_Res4]]&lt;&gt;""))</f>
        <v/>
      </c>
      <c r="DV125" s="42">
        <f>IF(Tasks[[#This Row],[_Res2Text]]="","",IF(Tasks[[#This Row],[_Res2Row]]&gt;0,INDEX(res_Name,Tasks[[#This Row],[_Res2Row]]),TRIM(LEFT(Tasks[[#This Row],[_Res2Text]],FIND("[",Tasks[[#This Row],[_Res2Text]]&amp;"[")-1))))</f>
        <v/>
      </c>
      <c r="DW12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5" s="42">
        <f>IF(OR(NOT(Tasks[[#This Row],[_IsLeaf]]=1),Tasks[[#This Row],[_Res2Row]]=0),0,N(Tasks[[#This Row],[_Days]])*HoursPerDay*IF(Tasks[[#This Row],[_Res2Units]]="",DefaultUnits,Tasks[[#This Row],[_Res2Units]]))</f>
        <v/>
      </c>
      <c r="DY125" s="42">
        <f>IF(AND(AND(Tasks[[#This Row],[_IsLeaf]]=1,Tasks[[#This Row],[_LeafTotalWork]]&gt;0),Tasks[[#This Row],[_Res2Work]]&gt;0),Tasks[[#This Row],[_Res2Work]]/(Tasks[[#This Row],[_FinishWorkday]]-Tasks[[#This Row],[_StartWorkday]]+1),0)</f>
        <v/>
      </c>
      <c r="DZ125" s="42">
        <f>Tasks[[#This Row],[_Res2WorkPerWD]]*MAX(0,Tasks[[#This Row],[_StartWorkday]]-1)</f>
        <v/>
      </c>
      <c r="EA125" s="42">
        <f>Tasks[[#This Row],[_Res2Work]]*Tasks[[#This Row],[_LeafProgress]]</f>
        <v/>
      </c>
      <c r="EB125" s="42">
        <f>IF(Tasks[[#This Row],[_Res3Text]]="","",IF(Tasks[[#This Row],[_Res3Row]]&gt;0,INDEX(res_Name,Tasks[[#This Row],[_Res3Row]]),TRIM(LEFT(Tasks[[#This Row],[_Res3Text]],FIND("[",Tasks[[#This Row],[_Res3Text]]&amp;"[")-1))))</f>
        <v/>
      </c>
      <c r="EC12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5" s="42">
        <f>IF(OR(NOT(Tasks[[#This Row],[_IsLeaf]]=1),Tasks[[#This Row],[_Res3Row]]=0),0,N(Tasks[[#This Row],[_Days]])*HoursPerDay*IF(Tasks[[#This Row],[_Res3Units]]="",DefaultUnits,Tasks[[#This Row],[_Res3Units]]))</f>
        <v/>
      </c>
      <c r="EE125" s="42">
        <f>IF(AND(AND(Tasks[[#This Row],[_IsLeaf]]=1,Tasks[[#This Row],[_LeafTotalWork]]&gt;0),Tasks[[#This Row],[_Res3Work]]&gt;0),Tasks[[#This Row],[_Res3Work]]/(Tasks[[#This Row],[_FinishWorkday]]-Tasks[[#This Row],[_StartWorkday]]+1),0)</f>
        <v/>
      </c>
      <c r="EF125" s="42">
        <f>Tasks[[#This Row],[_Res3WorkPerWD]]*MAX(0,Tasks[[#This Row],[_StartWorkday]]-1)</f>
        <v/>
      </c>
      <c r="EG125" s="42">
        <f>Tasks[[#This Row],[_Res3Work]]*Tasks[[#This Row],[_LeafProgress]]</f>
        <v/>
      </c>
      <c r="EH125" s="42">
        <f>IF(Tasks[[#This Row],[_Res4Text]]="","",IF(Tasks[[#This Row],[_Res4Row]]&gt;0,INDEX(res_Name,Tasks[[#This Row],[_Res4Row]]),TRIM(LEFT(Tasks[[#This Row],[_Res4Text]],FIND("[",Tasks[[#This Row],[_Res4Text]]&amp;"[")-1))))</f>
        <v/>
      </c>
      <c r="EI12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5" s="42">
        <f>IF(OR(NOT(Tasks[[#This Row],[_IsLeaf]]=1),Tasks[[#This Row],[_Res4Row]]=0),0,N(Tasks[[#This Row],[_Days]])*HoursPerDay*IF(Tasks[[#This Row],[_Res4Units]]="",DefaultUnits,Tasks[[#This Row],[_Res4Units]]))</f>
        <v/>
      </c>
      <c r="EK125" s="42">
        <f>IF(AND(AND(Tasks[[#This Row],[_IsLeaf]]=1,Tasks[[#This Row],[_LeafTotalWork]]&gt;0),Tasks[[#This Row],[_Res4Work]]&gt;0),Tasks[[#This Row],[_Res4Work]]/(Tasks[[#This Row],[_FinishWorkday]]-Tasks[[#This Row],[_StartWorkday]]+1),0)</f>
        <v/>
      </c>
      <c r="EL125" s="42">
        <f>Tasks[[#This Row],[_Res4WorkPerWD]]*MAX(0,Tasks[[#This Row],[_StartWorkday]]-1)</f>
        <v/>
      </c>
      <c r="EM125" s="42">
        <f>Tasks[[#This Row],[_Res4Work]]*Tasks[[#This Row],[_LeafProgress]]</f>
        <v/>
      </c>
      <c r="EN125" s="42">
        <f>IF(ISNUMBER(Tasks[[#This Row],[% Complete]]),Tasks[[#This Row],[% Complete]],IF(Tasks[[#This Row],[Stage]]="",0,IFERROR(INDEX(stg_Pct,MATCH(Tasks[[#This Row],[Stage]],stg_Name,0)),0)))</f>
        <v/>
      </c>
      <c r="EO125" s="42">
        <f>IF(NOT(Tasks[[#This Row],[_IsLeaf]]=1),0,IF(N(Tasks[[#This Row],[Actual Finish]])&gt;0,1,MIN(1,Tasks[[#This Row],[_Pct]])))</f>
        <v/>
      </c>
      <c r="EP125" s="42">
        <f>IF(OR(NOT(Tasks[[#This Row],[_IsLeaf]]=1),Tasks[[#This Row],[_Res1Row]]=0),0,N(Tasks[[#This Row],[_Days]])*HoursPerDay*IF(Tasks[[#This Row],[_Units1]]="",DefaultUnits,Tasks[[#This Row],[_Units1]]))</f>
        <v/>
      </c>
      <c r="EQ125" s="42">
        <f>Tasks[[#This Row],[_LeafWork]]+Tasks[[#This Row],[_Res2Work]]+Tasks[[#This Row],[_Res3Work]]+Tasks[[#This Row],[_Res4Work]]</f>
        <v/>
      </c>
      <c r="ER12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5" s="42">
        <f>IF(NOT(Tasks[[#This Row],[_IsLeaf]]=1),0,MAX(_xlfn.MAXIFS(Tasks[_Row],Tasks[_Pred1UID],Tasks[[#This Row],[UID]]),_xlfn.MAXIFS(Tasks[_Row],Tasks[_Pred2UID],Tasks[[#This Row],[UID]]),_xlfn.MAXIFS(Tasks[_Row],Tasks[_Pred3UID],Tasks[[#This Row],[UID]]),_xlfn.MAXIFS(Tasks[_Row],Tasks[_Pred4UID],Tasks[[#This Row],[UID]])))</f>
        <v/>
      </c>
      <c r="FA12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5" s="88">
        <f>IF(NOT(Tasks[[#This Row],[_IsLeaf]]=1),"",IF(N(Tasks[[#This Row],[_Days]])&lt;=0,Tasks[[#This Row],[_LeafLateFinish]],WORKDAY.INTL(Tasks[[#This Row],[_LeafLateFinish]],-(Tasks[[#This Row],[_Days]]-1),WorkWeek,Holidays)))</f>
        <v/>
      </c>
      <c r="FD12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5" s="42">
        <f>AND(Tasks[[#This Row],[_IsLeaf]]=1,Tasks[[#This Row],[_LeafProgress]]&lt;1,N(Tasks[[#This Row],[_LeafTotalSlack]])&lt;=CriticalSlackDays)</f>
        <v/>
      </c>
      <c r="FF125" s="42">
        <f>IF(AND(Tasks[[#This Row],[_IsLeaf]]=1,Tasks[[#This Row],[_ConstraintCode]]=1,Tasks[[#This Row],[Mode]]&lt;&gt;"Manual",N(Tasks[[#This Row],[Actual Start]])=0),MAX(0,N(Tasks[[#This Row],[Free Slack]])),0)</f>
        <v/>
      </c>
      <c r="FG125" s="88">
        <f>IF(NOT(Tasks[[#This Row],[_IsLeaf]]=1),"",IF(Tasks[[#This Row],[_AlapShift]]=0,Tasks[[#This Row],[_LeafCalcStart]],WORKDAY.INTL(Tasks[[#This Row],[_LeafCalcStart]],Tasks[[#This Row],[_AlapShift]],WorkWeek,Holidays)))</f>
        <v/>
      </c>
      <c r="FH125" s="88">
        <f>IF(NOT(Tasks[[#This Row],[_IsLeaf]]=1),"",IF(Tasks[[#This Row],[_AlapShift]]=0,Tasks[[#This Row],[_LeafCalcFinish]],WORKDAY.INTL(Tasks[[#This Row],[_LeafCalcFinish]],Tasks[[#This Row],[_AlapShift]],WorkWeek,Holidays)))</f>
        <v/>
      </c>
      <c r="FI125" s="88">
        <f>IF(NOT(Tasks[[#This Row],[_IsLeaf]]=1),"",IF(Tasks[[#This Row],[_AlapShift]]=0,Tasks[[#This Row],[_LeafFcstStart]],WORKDAY.INTL(Tasks[[#This Row],[_LeafFcstStart]],Tasks[[#This Row],[_AlapShift]],WorkWeek,Holidays)))</f>
        <v/>
      </c>
      <c r="FJ125" s="88">
        <f>IF(NOT(Tasks[[#This Row],[_IsLeaf]]=1),"",IF(Tasks[[#This Row],[_AlapShift]]=0,Tasks[[#This Row],[_LeafFcstFinish]],WORKDAY.INTL(Tasks[[#This Row],[_LeafFcstFinish]],Tasks[[#This Row],[_AlapShift]],WorkWeek,Holidays)))</f>
        <v/>
      </c>
      <c r="FK125" s="88">
        <f>IF(Tasks[[#This Row],[Task Name]]="","",IF(Tasks[[#This Row],[_IsSummary]],MIN(INDEX(Tasks[_ShownCalcStart],Tasks[[#This Row],[_Row]]+1):INDEX(Tasks[_ShownCalcStart],Tasks[[#This Row],[_Row]]+Tasks[[#This Row],[_Descendants]])),Tasks[[#This Row],[_ShownCalcStart]]))</f>
        <v/>
      </c>
      <c r="FL125" s="88">
        <f>IF(Tasks[[#This Row],[Task Name]]="","",IF(Tasks[[#This Row],[_IsSummary]],MAX(INDEX(Tasks[_ShownCalcFinish],Tasks[[#This Row],[_Row]]+1):INDEX(Tasks[_ShownCalcFinish],Tasks[[#This Row],[_Row]]+Tasks[[#This Row],[_Descendants]])),Tasks[[#This Row],[_ShownCalcFinish]]))</f>
        <v/>
      </c>
      <c r="FM12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5" s="42">
        <f>IF(AND(Tasks[[#This Row],[_IsLeaf]]=1,Tasks[[#This Row],[_LeafTotalWork]]&gt;0),NETWORKDAYS.INTL(ProjectStart,Tasks[[#This Row],[_ShownFcstStart]],WorkWeek,Holidays),0)</f>
        <v/>
      </c>
      <c r="FZ125" s="42">
        <f>IF(AND(Tasks[[#This Row],[_IsLeaf]]=1,Tasks[[#This Row],[_LeafTotalWork]]&gt;0),MAX(Tasks[[#This Row],[_StartWorkday]],NETWORKDAYS.INTL(ProjectStart,Tasks[[#This Row],[_ShownFcstFinish]],WorkWeek,Holidays)),0)</f>
        <v/>
      </c>
      <c r="GA125" s="42">
        <f>IF(AND(Tasks[[#This Row],[_IsLeaf]]=1,Tasks[[#This Row],[_LeafTotalWork]]&gt;0),Tasks[[#This Row],[_LeafWork]]/(Tasks[[#This Row],[_FinishWorkday]]-Tasks[[#This Row],[_StartWorkday]]+1),0)</f>
        <v/>
      </c>
      <c r="GB125" s="42">
        <f>Tasks[[#This Row],[_WorkPerWorkday]]*(Tasks[[#This Row],[_StartWorkday]]-1)</f>
        <v/>
      </c>
      <c r="GC125" s="42">
        <f>IF(Tasks[[#This Row],[_IsLeaf]]=1,MAX(N(Tasks[[#This Row],[_Days]]),0.1),0)</f>
        <v/>
      </c>
      <c r="GD125" s="42">
        <f>Tasks[[#This Row],[_WeightDur]]*Tasks[[#This Row],[_LeafProgress]]</f>
        <v/>
      </c>
      <c r="GE125" s="42">
        <f>Tasks[[#This Row],[_WeightDur]]*Tasks[[#This Row],[_PlannedPct]]</f>
        <v/>
      </c>
      <c r="GF12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5" s="42">
        <f>IF(AND(Tasks[[#This Row],[_IsLeaf]]=1,N(Tasks[[#This Row],[_Days]])=0,Tasks[[#This Row],[_LeafProgress]]&lt;1),Tasks[[#This Row],[_ShownFcstFinish]]+Tasks[[#This Row],[_Row]]/100000,"")</f>
        <v/>
      </c>
      <c r="GH12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5" s="42">
        <f>IF(Tasks[[#This Row],[Task Name]]="","",LEFT(Tasks[[#This Row],[WBS]],FIND(".",Tasks[[#This Row],[WBS]]&amp;".")-1))</f>
        <v/>
      </c>
      <c r="GJ125" s="42">
        <f>IF(AND(Tasks[[#This Row],[Task Name]]&lt;&gt;"",Tasks[[#This Row],[_Level]]=1),Tasks[[#This Row],[_Row]],"")</f>
        <v/>
      </c>
      <c r="GK125" s="42">
        <f>IF(AND(Tasks[[#This Row],[_IsLeaf]]=1,N(Tasks[[#This Row],[_Days]])=0),Tasks[[#This Row],[Planned Finish]]+Tasks[[#This Row],[_Row]]/100000,"")</f>
        <v/>
      </c>
      <c r="GL125" s="42">
        <f>IF(AND(Tasks[[#This Row],[_IsLeaf]]=1,Tasks[[#This Row],[_LeafProgress]]&lt;1,OR(N(Tasks[[#This Row],[Finish Var]])&gt;0,Tasks[[#This Row],[Status]]="Late Start")),MAX(0,Tasks[[#This Row],[Finish Var]])+1-Tasks[[#This Row],[_Row]]/1000000,"")</f>
        <v/>
      </c>
      <c r="GM125" s="42">
        <f>IF(AND(Tasks[[#This Row],[_IsLeaf]]=1,N(Tasks[[#This Row],[Actual Start]])=0,Tasks[[#This Row],[_ShownFcstStart]]&gt;=StatusDate,Tasks[[#This Row],[_ShownFcstStart]]&lt;=LookaheadEnd),Tasks[[#This Row],[_ShownFcstStart]]+Tasks[[#This Row],[_Row]]/100000,"")</f>
        <v/>
      </c>
      <c r="GN125" s="42">
        <f>IF(AND(Tasks[[#This Row],[_IsLeaf]]=1,Tasks[[#This Row],[_LeafProgress]]&lt;1,Tasks[[#This Row],[_ShownFcstFinish]]&gt;=StatusDate,Tasks[[#This Row],[_ShownFcstFinish]]&lt;=LookaheadEnd),Tasks[[#This Row],[_ShownFcstFinish]]+Tasks[[#This Row],[_Row]]/100000,"")</f>
        <v/>
      </c>
      <c r="GO125" s="42">
        <f>IF(Tasks[[#This Row],[_LeafCritical]],Tasks[[#This Row],[_ShownFcstStart]]+Tasks[[#This Row],[_Row]]/100000,"")</f>
        <v/>
      </c>
      <c r="GP125" s="42">
        <f>Tasks[[#This Row],[_LeafWork]]*Tasks[[#This Row],[_LeafProgress]]</f>
        <v/>
      </c>
      <c r="GQ125" s="88">
        <f>IF(AND(Tasks[[#This Row],[_IsLeaf]]=1,Tasks[[#This Row],[_LeafProgress]]&gt;=1),IF(N(Tasks[[#This Row],[Actual Finish]])&gt;0,Tasks[[#This Row],[Actual Finish]],Tasks[[#This Row],[_ShownFcstFinish]]),"")</f>
        <v/>
      </c>
      <c r="GR125" s="42">
        <f>IF(Tasks[[#This Row],[_IsLeaf]]=1,N(Tasks[[#This Row],[Story Points]]),0)</f>
        <v/>
      </c>
      <c r="GS125" s="42">
        <f>""</f>
        <v/>
      </c>
      <c r="GT125" s="42">
        <f>IF(Tasks[[#This Row],[Task Name]]="",FALSE(),AND(Tasks[[#This Row],[_IsLeaf]]=1,N(Tasks[[#This Row],[_Days]])=0))</f>
        <v/>
      </c>
      <c r="GU125" s="88">
        <f>IF(Tasks[[#This Row],[Task Name]]="",0,IF(AND(Tasks[[#This Row],[_IsLeaf]]=1,NOT(Tasks[[#This Row],[_IsMilestone]]),N(Tasks[[#This Row],[Progress]])&gt;0),Tasks[[#This Row],[Start]],0))</f>
        <v/>
      </c>
      <c r="GV125" s="88">
        <f>IF(Tasks[[#This Row],[_DoneFrom]]=0,0,IF(Tasks[[#This Row],[Progress]]&gt;=1,Tasks[[#This Row],[Finish]],MAX(Tasks[[#This Row],[_DoneFrom]],Tasks[[#This Row],[Start]]+ROUND((Tasks[[#This Row],[Finish]]-Tasks[[#This Row],[Start]]+1)*Tasks[[#This Row],[Progress]],0)-1)))</f>
        <v/>
      </c>
      <c r="GW125" s="88">
        <f>IF(Tasks[[#This Row],[Task Name]]="",0,IF(OR(NOT(Tasks[[#This Row],[_IsLeaf]]=1),Tasks[[#This Row],[_IsMilestone]],N(Tasks[[#This Row],[Progress]])&gt;=1),0,IF(Tasks[[#This Row],[_DoneTo]]&gt;0,Tasks[[#This Row],[_DoneTo]]+1,Tasks[[#This Row],[Start]])))</f>
        <v/>
      </c>
      <c r="GX125" s="88">
        <f>IF(Tasks[[#This Row],[_RemFrom]]=0,0,Tasks[[#This Row],[Finish]])</f>
        <v/>
      </c>
      <c r="GY125" s="42">
        <f>IF(Tasks[[#This Row],[Task Name]]="",FALSE(),OR(NOT(BaselineSet),N(Tasks[[#This Row],[Baseline Start]])&gt;0))</f>
        <v/>
      </c>
      <c r="GZ125" s="42">
        <f>IF(AND(Sandbox="Yes",L_PARSE_DURATION(Tasks[[#This Row],[Sandbox Duration]])&lt;&gt;""),L_PARSE_DURATION(Tasks[[#This Row],[Sandbox Duration]]),L_PARSE_DURATION(Tasks[[#This Row],[Duration]]))</f>
        <v/>
      </c>
      <c r="HA12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5" s="42">
        <f>IF(Tasks[[#This Row],[_IsLeaf]]=1,Tasks[[#This Row],[_Row]],"")</f>
        <v/>
      </c>
      <c r="HD125" s="42">
        <f>IFERROR(INDEX(Tasks[UID],SMALL(Tasks[_PickKey],Tasks[[#This Row],[_Row]]))&amp;" "&amp;INDEX(Tasks[Task Name],SMALL(Tasks[_PickKey],Tasks[[#This Row],[_Row]])),"")</f>
        <v/>
      </c>
      <c r="HE125" s="42">
        <f>IF(Tasks[[#This Row],[Task Name]]="","",IF(Tasks[[#This Row],[_IsSummary]],NETWORKDAYS.INTL(Tasks[[#This Row],[Start]],Tasks[[#This Row],[Finish]],WorkWeek,Holidays),N(Tasks[[#This Row],[_Days]])))</f>
        <v/>
      </c>
      <c r="HF125" s="42">
        <f>IF(Tasks[[#This Row],[Expected]]="",0,((Tasks[[#This Row],[Pessimistic]]-Tasks[[#This Row],[Optimistic]])/6)^2)</f>
        <v/>
      </c>
      <c r="HG125" s="42">
        <f>IF(Tasks[[#This Row],[Expected]]="",0,Tasks[[#This Row],[Expected]]-N(Tasks[[#This Row],[_Days]]))</f>
        <v/>
      </c>
    </row>
    <row r="126">
      <c r="A126" s="21">
        <f>IF(Tasks[[#This Row],[Task Name]]="","",COUNTA(Tasks[[#Headers],[Task Name]]:Tasks[[#This Row],[Task Name]])-1)</f>
        <v/>
      </c>
      <c r="B126" s="22" t="n">
        <v>134</v>
      </c>
      <c r="C126" s="22" t="n"/>
      <c r="D126" s="23" t="n"/>
      <c r="E126" s="22" t="n"/>
      <c r="F126" s="23" t="n"/>
      <c r="G126" s="22" t="n"/>
      <c r="H126" s="22" t="n"/>
      <c r="I126" s="23" t="n"/>
      <c r="J126" s="22" t="n"/>
      <c r="K126" s="22" t="n"/>
      <c r="L126" s="23" t="n"/>
      <c r="M126" s="22" t="n"/>
      <c r="N126" s="22" t="n"/>
      <c r="O126" s="23" t="n"/>
      <c r="P126" s="22" t="n"/>
      <c r="Q126" s="22" t="n"/>
      <c r="R126" s="23" t="n"/>
      <c r="S126" s="23" t="n"/>
      <c r="T126" s="82" t="n"/>
      <c r="U126" s="23" t="n"/>
      <c r="V126" s="82" t="n"/>
      <c r="W126" s="23" t="n"/>
      <c r="X126" s="82" t="n"/>
      <c r="Y126" s="23" t="n"/>
      <c r="Z126" s="82" t="n"/>
      <c r="AA126" s="23" t="n"/>
      <c r="AB126" s="23" t="n"/>
      <c r="AC126" s="7" t="n"/>
      <c r="AD126" s="7" t="n"/>
      <c r="AE126" s="61">
        <f>IF(Tasks[[#This Row],[Task Name]]="","",IF(Tasks[[#This Row],[_IsSummary]],MIN(INDEX(Tasks[_ShownFcstStart],Tasks[[#This Row],[_Row]]+1):INDEX(Tasks[_ShownFcstStart],Tasks[[#This Row],[_Row]]+Tasks[[#This Row],[_Descendants]])),Tasks[[#This Row],[_ShownFcstStart]]))</f>
        <v/>
      </c>
      <c r="AF126" s="61">
        <f>IF(Tasks[[#This Row],[Task Name]]="","",IF(Tasks[[#This Row],[_IsSummary]],MAX(INDEX(Tasks[_ShownFcstFinish],Tasks[[#This Row],[_Row]]+1):INDEX(Tasks[_ShownFcstFinish],Tasks[[#This Row],[_Row]]+Tasks[[#This Row],[_Descendants]])),Tasks[[#This Row],[_ShownFcstFinish]]))</f>
        <v/>
      </c>
      <c r="AG126" s="21">
        <f>""</f>
        <v/>
      </c>
      <c r="AH126" s="23" t="n"/>
      <c r="AI12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6" s="7" t="n"/>
      <c r="AK126" s="22" t="n"/>
      <c r="AL126" s="23" t="n"/>
      <c r="AM126" s="7" t="n"/>
      <c r="AN126" s="21">
        <f>IF(Tasks[[#This Row],[Task Name]]="","",IF(Tasks[[#This Row],[Finish]]&gt;=Tasks[[#This Row],[Planned Finish]],NETWORKDAYS.INTL(Tasks[[#This Row],[Planned Finish]],Tasks[[#This Row],[Finish]],WorkWeek,Holidays)-1,1-NETWORKDAYS.INTL(Tasks[[#This Row],[Finish]],Tasks[[#This Row],[Planned Finish]],WorkWeek,Holidays)))</f>
        <v/>
      </c>
      <c r="AO126" s="21">
        <f>IF(Tasks[[#This Row],[Task Name]]="","",IF(Tasks[[#This Row],[Progress]]&gt;=1,"Complete",IF(OR(N(Tasks[[#This Row],[Actual Start]])&gt;0,Tasks[[#This Row],[Progress]]&gt;0),IF(Tasks[[#This Row],[Finish Var]]&gt;0,"Behind","In Progress"),IF(Tasks[[#This Row],[Planned Start]]&lt;StatusDate,"Late Start","Not Started"))))</f>
        <v/>
      </c>
      <c r="AP126" s="21">
        <f>IF(Tasks[[#This Row],[Task Name]]="","",IF(IF(Tasks[[#This Row],[_IsSummary]],COUNTIF(INDEX(Tasks[_LeafCritical],Tasks[[#This Row],[_Row]]+1):INDEX(Tasks[_LeafCritical],Tasks[[#This Row],[_Row]]+Tasks[[#This Row],[_Descendants]]),TRUE())&gt;0,Tasks[[#This Row],[_LeafCritical]]),"Yes",""))</f>
        <v/>
      </c>
      <c r="AQ126" s="61">
        <f>IF(Tasks[[#This Row],[Task Name]]="","",IF(N(Tasks[[#This Row],[Baseline Start]])&gt;0,Tasks[[#This Row],[Baseline Start]],Tasks[[#This Row],[_CalcStart]]))</f>
        <v/>
      </c>
      <c r="AR126" s="61">
        <f>IF(Tasks[[#This Row],[Task Name]]="","",IF(N(Tasks[[#This Row],[Baseline Finish]])&gt;0,Tasks[[#This Row],[Baseline Finish]],Tasks[[#This Row],[_CalcFinish]]))</f>
        <v/>
      </c>
      <c r="AS126" s="21">
        <f>IF(Tasks[[#This Row],[Task Name]]="","",IF(Tasks[[#This Row],[Start]]&gt;=Tasks[[#This Row],[Planned Start]],NETWORKDAYS.INTL(Tasks[[#This Row],[Planned Start]],Tasks[[#This Row],[Start]],WorkWeek,Holidays)-1,1-NETWORKDAYS.INTL(Tasks[[#This Row],[Start]],Tasks[[#This Row],[Planned Start]],WorkWeek,Holidays)))</f>
        <v/>
      </c>
      <c r="AT126" s="61">
        <f>IF(Tasks[[#This Row],[Task Name]]="","",IF(Tasks[[#This Row],[_IsSummary]],MIN(INDEX(Tasks[_LeafLateStart],Tasks[[#This Row],[_Row]]+1):INDEX(Tasks[_LeafLateStart],Tasks[[#This Row],[_Row]]+Tasks[[#This Row],[_Descendants]])),Tasks[[#This Row],[_LeafLateStart]]))</f>
        <v/>
      </c>
      <c r="AU126" s="61">
        <f>IF(Tasks[[#This Row],[Task Name]]="","",IF(Tasks[[#This Row],[_IsSummary]],MAX(INDEX(Tasks[_LeafLateFinish],Tasks[[#This Row],[_Row]]+1):INDEX(Tasks[_LeafLateFinish],Tasks[[#This Row],[_Row]]+Tasks[[#This Row],[_Descendants]])),Tasks[[#This Row],[_LeafLateFinish]]))</f>
        <v/>
      </c>
      <c r="AV126" s="21">
        <f>IF(Tasks[[#This Row],[Task Name]]="","",IF(Tasks[[#This Row],[_IsSummary]],MIN(INDEX(Tasks[_LeafTotalSlack],Tasks[[#This Row],[_Row]]+1):INDEX(Tasks[_LeafTotalSlack],Tasks[[#This Row],[_Row]]+Tasks[[#This Row],[_Descendants]])),Tasks[[#This Row],[_LeafTotalSlack]]))</f>
        <v/>
      </c>
      <c r="AW12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3" t="n"/>
      <c r="BA12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f>IF(Tasks[[#This Row],[Task Name]]="","",IF(Tasks[[#This Row],[_Level]]&lt;=OutlineShowLevel,"Yes","No"))</f>
        <v/>
      </c>
      <c r="BE126" s="84">
        <f>IF(Tasks[[#This Row],[Task Name]]="","",IF(Tasks[[#This Row],[_IsSummary]],SUM(INDEX(Tasks[_LeafTotalWork],Tasks[[#This Row],[_Row]]+1):INDEX(Tasks[_LeafTotalWork],Tasks[[#This Row],[_Row]]+Tasks[[#This Row],[_Descendants]])),Tasks[[#This Row],[_LeafTotalWork]]))</f>
        <v/>
      </c>
      <c r="BF126" s="23" t="n"/>
      <c r="BG12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f>""</f>
        <v/>
      </c>
      <c r="BI126" s="85" t="n"/>
      <c r="BJ126" s="22" t="n"/>
      <c r="BK126" s="21">
        <f>IF(OR(Tasks[[#This Row],[Task Name]]="",Tasks[[#This Row],[Baseline Duration]]=""),"",Tasks[[#This Row],[_SpanDays]]-N(Tasks[[#This Row],[Baseline Duration]]))</f>
        <v/>
      </c>
      <c r="BL126" s="84">
        <f>IF(OR(Tasks[[#This Row],[Task Name]]="",Tasks[[#This Row],[Baseline Work]]=""),"",Tasks[[#This Row],[Work]]-N(Tasks[[#This Row],[Baseline Work]]))</f>
        <v/>
      </c>
      <c r="BM126" s="61">
        <f>IF(Tasks[[#This Row],[Task Name]]="","",IF(OR(TakeBaseline="Yes",N(Tasks[[#This Row],[Baseline Start]])=0),Tasks[[#This Row],[Start]],Tasks[[#This Row],[Baseline Start]]))</f>
        <v/>
      </c>
      <c r="BN126" s="61">
        <f>IF(Tasks[[#This Row],[Task Name]]="","",IF(OR(TakeBaseline="Yes",N(Tasks[[#This Row],[Baseline Finish]])=0),Tasks[[#This Row],[Finish]],Tasks[[#This Row],[Baseline Finish]]))</f>
        <v/>
      </c>
      <c r="BO126" s="21">
        <f>IF(Tasks[[#This Row],[Task Name]]="","",IF(OR(TakeBaseline="Yes",N(Tasks[[#This Row],[Baseline Duration]])=0),Tasks[[#This Row],[_SpanDays]],Tasks[[#This Row],[Baseline Duration]]))</f>
        <v/>
      </c>
      <c r="BP126" s="84">
        <f>IF(Tasks[[#This Row],[Task Name]]="","",IF(OR(TakeBaseline="Yes",N(Tasks[[#This Row],[Baseline Work]])=0),Tasks[[#This Row],[Work]],Tasks[[#This Row],[Baseline Work]]))</f>
        <v/>
      </c>
      <c r="BQ126" s="7" t="n"/>
      <c r="BR126" s="7" t="n"/>
      <c r="BS126" s="22" t="n"/>
      <c r="BT126" s="86" t="n"/>
      <c r="BU126" s="23" t="n"/>
      <c r="BV126" s="23" t="n"/>
      <c r="BW126" s="23" t="n"/>
      <c r="BX126" s="87">
        <f>IF(AND(Tasks[[#This Row],[_IsLeaf]]=1,ISNUMBER(Tasks[[#This Row],[Optimistic]]),ISNUMBER(Tasks[[#This Row],[Pessimistic]])),ROUND((Tasks[[#This Row],[Optimistic]]+4*N(Tasks[[#This Row],[_Days]])+Tasks[[#This Row],[Pessimistic]])/6,1),"")</f>
        <v/>
      </c>
      <c r="BY126" s="85" t="n"/>
      <c r="BZ126" s="85" t="n"/>
      <c r="CA126" s="22" t="n"/>
      <c r="CB126" s="42">
        <f>IF(Tasks[[#This Row],[Task Name]]="","",MAX(1,N(Tasks[[#This Row],[Level]])))</f>
        <v/>
      </c>
      <c r="CC126" s="42">
        <f>ROW()-ROW(Tasks[[#Headers],[ID]])</f>
        <v/>
      </c>
      <c r="CD126" s="42">
        <f>IF(OR(Tasks[[#This Row],[Task Name]]="",Tasks[[#This Row],[_Level]]&lt;=1),0,IFERROR(LOOKUP(2,1/(Tasks[[#Headers],[_Level]]:Tasks[[#This Row],[_Level]]=Tasks[[#This Row],[_Level]]-1),ROW(Tasks[[#Headers],[_Level]]:Tasks[[#This Row],[_Level]])),0))</f>
        <v/>
      </c>
      <c r="CE126" s="42">
        <f>IFERROR(N(INDEX(Tasks[_Level],Tasks[[#This Row],[_Row]]+1)),0)</f>
        <v/>
      </c>
      <c r="CF126" s="42">
        <f>AND(Tasks[[#This Row],[Task Name]]&lt;&gt;"",Tasks[[#This Row],[_NextLevel]]&gt;Tasks[[#This Row],[_Level]])</f>
        <v/>
      </c>
      <c r="CG126" s="42">
        <f>IF(Tasks[[#This Row],[_IsSummary]],COUNTIF(Tasks[WBS],Tasks[[#This Row],[WBS]]&amp;".*"),0)</f>
        <v/>
      </c>
      <c r="CH126" s="42">
        <f>IF(AND(Tasks[[#This Row],[Task Name]]&lt;&gt;"",NOT(Tasks[[#This Row],[_IsSummary]])),1,0)</f>
        <v/>
      </c>
      <c r="CI126" s="42">
        <f>IF(N(Tasks[[#This Row],[_Pred1UID]])=0,0,IFERROR(MATCH(Tasks[[#This Row],[_Pred1UID]],Tasks[UID],0),-1))</f>
        <v/>
      </c>
      <c r="CJ126" s="42">
        <f>IF(N(Tasks[[#This Row],[_Pred2UID]])=0,0,IFERROR(MATCH(Tasks[[#This Row],[_Pred2UID]],Tasks[UID],0),-1))</f>
        <v/>
      </c>
      <c r="CK126" s="42">
        <f>IF(N(Tasks[[#This Row],[_Pred3UID]])=0,0,IFERROR(MATCH(Tasks[[#This Row],[_Pred3UID]],Tasks[UID],0),-1))</f>
        <v/>
      </c>
      <c r="CL126" s="42">
        <f>IF(N(Tasks[[#This Row],[_Pred4UID]])=0,0,IFERROR(MATCH(Tasks[[#This Row],[_Pred4UID]],Tasks[UID],0),-1))</f>
        <v/>
      </c>
      <c r="CM12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6" s="88">
        <f>IF(N(Tasks[[#This Row],[Constraint Date]])=0,0,IF(AND(OR(Tasks[[#This Row],[_ConstraintCode]]=3,Tasks[[#This Row],[_ConstraintCode]]=6,Tasks[[#This Row],[_ConstraintCode]]=7),N(Tasks[[#This Row],[_Days]])&gt;1),WORKDAY.INTL(N(Tasks[[#This Row],[Constraint Date]]),-(N(Tasks[[#This Row],[_Days]])-1),WorkWeek,Holidays),N(Tasks[[#This Row],[Constraint Date]])))</f>
        <v/>
      </c>
      <c r="CO126" s="88">
        <f>IF(OR(Tasks[[#This Row],[_ConstraintCode]]=2,Tasks[[#This Row],[_ConstraintCode]]=3,Tasks[[#This Row],[_ConstraintCode]]=4,Tasks[[#This Row],[_ConstraintCode]]=6),Tasks[[#This Row],[_ConstraintStart]],0)</f>
        <v/>
      </c>
      <c r="CP126" s="88">
        <f>IF(OR(Tasks[[#This Row],[_ConstraintCode]]=2,Tasks[[#This Row],[_ConstraintCode]]=3,Tasks[[#This Row],[_ConstraintCode]]=5,Tasks[[#This Row],[_ConstraintCode]]=7),Tasks[[#This Row],[_ConstraintStart]],2958465)</f>
        <v/>
      </c>
      <c r="CQ12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6" s="88">
        <f>IF(NOT(Tasks[[#This Row],[_IsLeaf]]=1),"",IF(N(Tasks[[#This Row],[_Days]])&lt;=0,Tasks[[#This Row],[_LeafCalcStart]],WORKDAY.INTL(Tasks[[#This Row],[_LeafCalcStart]],Tasks[[#This Row],[_Days]]-1,WorkWeek,Holidays)))</f>
        <v/>
      </c>
      <c r="CS12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6" s="42">
        <f>IF(Tasks[[#This Row],[_Predecessors]]="","",TRIM(MID(SUBSTITUTE(SUBSTITUTE(SUBSTITUTE(UPPER(Tasks[[#This Row],[_Predecessors]]),";",",")," ",""),",",REPT(" ",99)),1,99)))</f>
        <v/>
      </c>
      <c r="CV126" s="42">
        <f>IF(Tasks[[#This Row],[_Pred1Text]]="","",IFERROR(VALUE(LEFT(Tasks[[#This Row],[_Pred1Text]],MIN(FIND("F",Tasks[[#This Row],[_Pred1Text]]&amp;"F"),FIND("S",Tasks[[#This Row],[_Pred1Text]]&amp;"S"),FIND("+",Tasks[[#This Row],[_Pred1Text]]&amp;"+"),FIND("-",Tasks[[#This Row],[_Pred1Text]]&amp;"-"))-1)),""))</f>
        <v/>
      </c>
      <c r="CW12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6" s="42">
        <f>IF(Tasks[[#This Row],[_Pred1Text]]="","",TRIM(MID(SUBSTITUTE(SUBSTITUTE(SUBSTITUTE(UPPER(Tasks[[#This Row],[_Predecessors]]),";",",")," ",""),",",REPT(" ",99)),100,99)))</f>
        <v/>
      </c>
      <c r="CZ126" s="42">
        <f>IF(Tasks[[#This Row],[_Pred2Text]]="","",IFERROR(VALUE(LEFT(Tasks[[#This Row],[_Pred2Text]],MIN(FIND("F",Tasks[[#This Row],[_Pred2Text]]&amp;"F"),FIND("S",Tasks[[#This Row],[_Pred2Text]]&amp;"S"),FIND("+",Tasks[[#This Row],[_Pred2Text]]&amp;"+"),FIND("-",Tasks[[#This Row],[_Pred2Text]]&amp;"-"))-1)),""))</f>
        <v/>
      </c>
      <c r="DA12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6" s="42">
        <f>IF(Tasks[[#This Row],[_Pred2Text]]="","",TRIM(MID(SUBSTITUTE(SUBSTITUTE(SUBSTITUTE(UPPER(Tasks[[#This Row],[_Predecessors]]),";",",")," ",""),",",REPT(" ",99)),199,99)))</f>
        <v/>
      </c>
      <c r="DD126" s="42">
        <f>IF(Tasks[[#This Row],[_Pred3Text]]="","",IFERROR(VALUE(LEFT(Tasks[[#This Row],[_Pred3Text]],MIN(FIND("F",Tasks[[#This Row],[_Pred3Text]]&amp;"F"),FIND("S",Tasks[[#This Row],[_Pred3Text]]&amp;"S"),FIND("+",Tasks[[#This Row],[_Pred3Text]]&amp;"+"),FIND("-",Tasks[[#This Row],[_Pred3Text]]&amp;"-"))-1)),""))</f>
        <v/>
      </c>
      <c r="DE12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6" s="42">
        <f>IF(Tasks[[#This Row],[_Pred3Text]]="","",TRIM(MID(SUBSTITUTE(SUBSTITUTE(SUBSTITUTE(UPPER(Tasks[[#This Row],[_Predecessors]]),";",",")," ",""),",",REPT(" ",99)),298,99)))</f>
        <v/>
      </c>
      <c r="DH126" s="42">
        <f>IF(Tasks[[#This Row],[_Pred4Text]]="","",IFERROR(VALUE(LEFT(Tasks[[#This Row],[_Pred4Text]],MIN(FIND("F",Tasks[[#This Row],[_Pred4Text]]&amp;"F"),FIND("S",Tasks[[#This Row],[_Pred4Text]]&amp;"S"),FIND("+",Tasks[[#This Row],[_Pred4Text]]&amp;"+"),FIND("-",Tasks[[#This Row],[_Pred4Text]]&amp;"-"))-1)),""))</f>
        <v/>
      </c>
      <c r="DI12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6" s="42">
        <f>IF(OR(Tasks[[#This Row],[Task Name]]="",Tasks[[#This Row],[_Resources]]=""),"",TRIM(MID(SUBSTITUTE(Tasks[[#This Row],[_Resources]],",",REPT(" ",99)),1,99)))</f>
        <v/>
      </c>
      <c r="DL126" s="42">
        <f>IF(Tasks[[#This Row],[_Res1Text]]="","",TRIM(MID(SUBSTITUTE(Tasks[[#This Row],[_Resources]],",",REPT(" ",99)),100,99)))</f>
        <v/>
      </c>
      <c r="DM126" s="42">
        <f>IF(Tasks[[#This Row],[_Res2Text]]="","",TRIM(MID(SUBSTITUTE(Tasks[[#This Row],[_Resources]],",",REPT(" ",99)),199,99)))</f>
        <v/>
      </c>
      <c r="DN126" s="42">
        <f>IF(Tasks[[#This Row],[_Res3Text]]="","",TRIM(MID(SUBSTITUTE(Tasks[[#This Row],[_Resources]],",",REPT(" ",99)),298,99)))</f>
        <v/>
      </c>
      <c r="DO126" s="42">
        <f>IF(Tasks[[#This Row],[_Res1Text]]="",0,IFERROR(MATCH(TRIM(LEFT(Tasks[[#This Row],[_Res1Text]],FIND("[",Tasks[[#This Row],[_Res1Text]]&amp;"[")-1)),res_Name,0),IFERROR(MATCH(TRIM(LEFT(Tasks[[#This Row],[_Res1Text]],FIND("[",Tasks[[#This Row],[_Res1Text]]&amp;"[")-1)),res_Initials,0),0)))</f>
        <v/>
      </c>
      <c r="DP126" s="42">
        <f>IF(Tasks[[#This Row],[_Res2Text]]="",0,IFERROR(MATCH(TRIM(LEFT(Tasks[[#This Row],[_Res2Text]],FIND("[",Tasks[[#This Row],[_Res2Text]]&amp;"[")-1)),res_Name,0),IFERROR(MATCH(TRIM(LEFT(Tasks[[#This Row],[_Res2Text]],FIND("[",Tasks[[#This Row],[_Res2Text]]&amp;"[")-1)),res_Initials,0),0)))</f>
        <v/>
      </c>
      <c r="DQ126" s="42">
        <f>IF(Tasks[[#This Row],[_Res3Text]]="",0,IFERROR(MATCH(TRIM(LEFT(Tasks[[#This Row],[_Res3Text]],FIND("[",Tasks[[#This Row],[_Res3Text]]&amp;"[")-1)),res_Name,0),IFERROR(MATCH(TRIM(LEFT(Tasks[[#This Row],[_Res3Text]],FIND("[",Tasks[[#This Row],[_Res3Text]]&amp;"[")-1)),res_Initials,0),0)))</f>
        <v/>
      </c>
      <c r="DR126" s="42">
        <f>IF(Tasks[[#This Row],[_Res4Text]]="",0,IFERROR(MATCH(TRIM(LEFT(Tasks[[#This Row],[_Res4Text]],FIND("[",Tasks[[#This Row],[_Res4Text]]&amp;"[")-1)),res_Name,0),IFERROR(MATCH(TRIM(LEFT(Tasks[[#This Row],[_Res4Text]],FIND("[",Tasks[[#This Row],[_Res4Text]]&amp;"[")-1)),res_Initials,0),0)))</f>
        <v/>
      </c>
      <c r="DS126" s="42">
        <f>IF(Tasks[[#This Row],[_Res1Text]]="","",IF(Tasks[[#This Row],[_Res1Row]]&gt;0,INDEX(res_Name,Tasks[[#This Row],[_Res1Row]]),TRIM(LEFT(Tasks[[#This Row],[_Res1Text]],FIND("[",Tasks[[#This Row],[_Res1Text]]&amp;"[")-1))))</f>
        <v/>
      </c>
      <c r="DT12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6" s="42">
        <f>IF(NOT(Tasks[[#This Row],[_IsLeaf]]=1),0,(Tasks[[#This Row],[_Resource1]]&lt;&gt;"")+(Tasks[[#This Row],[_Res2]]&lt;&gt;"")+(Tasks[[#This Row],[_Res3]]&lt;&gt;"")+(Tasks[[#This Row],[_Res4]]&lt;&gt;""))</f>
        <v/>
      </c>
      <c r="DV126" s="42">
        <f>IF(Tasks[[#This Row],[_Res2Text]]="","",IF(Tasks[[#This Row],[_Res2Row]]&gt;0,INDEX(res_Name,Tasks[[#This Row],[_Res2Row]]),TRIM(LEFT(Tasks[[#This Row],[_Res2Text]],FIND("[",Tasks[[#This Row],[_Res2Text]]&amp;"[")-1))))</f>
        <v/>
      </c>
      <c r="DW12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6" s="42">
        <f>IF(OR(NOT(Tasks[[#This Row],[_IsLeaf]]=1),Tasks[[#This Row],[_Res2Row]]=0),0,N(Tasks[[#This Row],[_Days]])*HoursPerDay*IF(Tasks[[#This Row],[_Res2Units]]="",DefaultUnits,Tasks[[#This Row],[_Res2Units]]))</f>
        <v/>
      </c>
      <c r="DY126" s="42">
        <f>IF(AND(AND(Tasks[[#This Row],[_IsLeaf]]=1,Tasks[[#This Row],[_LeafTotalWork]]&gt;0),Tasks[[#This Row],[_Res2Work]]&gt;0),Tasks[[#This Row],[_Res2Work]]/(Tasks[[#This Row],[_FinishWorkday]]-Tasks[[#This Row],[_StartWorkday]]+1),0)</f>
        <v/>
      </c>
      <c r="DZ126" s="42">
        <f>Tasks[[#This Row],[_Res2WorkPerWD]]*MAX(0,Tasks[[#This Row],[_StartWorkday]]-1)</f>
        <v/>
      </c>
      <c r="EA126" s="42">
        <f>Tasks[[#This Row],[_Res2Work]]*Tasks[[#This Row],[_LeafProgress]]</f>
        <v/>
      </c>
      <c r="EB126" s="42">
        <f>IF(Tasks[[#This Row],[_Res3Text]]="","",IF(Tasks[[#This Row],[_Res3Row]]&gt;0,INDEX(res_Name,Tasks[[#This Row],[_Res3Row]]),TRIM(LEFT(Tasks[[#This Row],[_Res3Text]],FIND("[",Tasks[[#This Row],[_Res3Text]]&amp;"[")-1))))</f>
        <v/>
      </c>
      <c r="EC12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6" s="42">
        <f>IF(OR(NOT(Tasks[[#This Row],[_IsLeaf]]=1),Tasks[[#This Row],[_Res3Row]]=0),0,N(Tasks[[#This Row],[_Days]])*HoursPerDay*IF(Tasks[[#This Row],[_Res3Units]]="",DefaultUnits,Tasks[[#This Row],[_Res3Units]]))</f>
        <v/>
      </c>
      <c r="EE126" s="42">
        <f>IF(AND(AND(Tasks[[#This Row],[_IsLeaf]]=1,Tasks[[#This Row],[_LeafTotalWork]]&gt;0),Tasks[[#This Row],[_Res3Work]]&gt;0),Tasks[[#This Row],[_Res3Work]]/(Tasks[[#This Row],[_FinishWorkday]]-Tasks[[#This Row],[_StartWorkday]]+1),0)</f>
        <v/>
      </c>
      <c r="EF126" s="42">
        <f>Tasks[[#This Row],[_Res3WorkPerWD]]*MAX(0,Tasks[[#This Row],[_StartWorkday]]-1)</f>
        <v/>
      </c>
      <c r="EG126" s="42">
        <f>Tasks[[#This Row],[_Res3Work]]*Tasks[[#This Row],[_LeafProgress]]</f>
        <v/>
      </c>
      <c r="EH126" s="42">
        <f>IF(Tasks[[#This Row],[_Res4Text]]="","",IF(Tasks[[#This Row],[_Res4Row]]&gt;0,INDEX(res_Name,Tasks[[#This Row],[_Res4Row]]),TRIM(LEFT(Tasks[[#This Row],[_Res4Text]],FIND("[",Tasks[[#This Row],[_Res4Text]]&amp;"[")-1))))</f>
        <v/>
      </c>
      <c r="EI12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6" s="42">
        <f>IF(OR(NOT(Tasks[[#This Row],[_IsLeaf]]=1),Tasks[[#This Row],[_Res4Row]]=0),0,N(Tasks[[#This Row],[_Days]])*HoursPerDay*IF(Tasks[[#This Row],[_Res4Units]]="",DefaultUnits,Tasks[[#This Row],[_Res4Units]]))</f>
        <v/>
      </c>
      <c r="EK126" s="42">
        <f>IF(AND(AND(Tasks[[#This Row],[_IsLeaf]]=1,Tasks[[#This Row],[_LeafTotalWork]]&gt;0),Tasks[[#This Row],[_Res4Work]]&gt;0),Tasks[[#This Row],[_Res4Work]]/(Tasks[[#This Row],[_FinishWorkday]]-Tasks[[#This Row],[_StartWorkday]]+1),0)</f>
        <v/>
      </c>
      <c r="EL126" s="42">
        <f>Tasks[[#This Row],[_Res4WorkPerWD]]*MAX(0,Tasks[[#This Row],[_StartWorkday]]-1)</f>
        <v/>
      </c>
      <c r="EM126" s="42">
        <f>Tasks[[#This Row],[_Res4Work]]*Tasks[[#This Row],[_LeafProgress]]</f>
        <v/>
      </c>
      <c r="EN126" s="42">
        <f>IF(ISNUMBER(Tasks[[#This Row],[% Complete]]),Tasks[[#This Row],[% Complete]],IF(Tasks[[#This Row],[Stage]]="",0,IFERROR(INDEX(stg_Pct,MATCH(Tasks[[#This Row],[Stage]],stg_Name,0)),0)))</f>
        <v/>
      </c>
      <c r="EO126" s="42">
        <f>IF(NOT(Tasks[[#This Row],[_IsLeaf]]=1),0,IF(N(Tasks[[#This Row],[Actual Finish]])&gt;0,1,MIN(1,Tasks[[#This Row],[_Pct]])))</f>
        <v/>
      </c>
      <c r="EP126" s="42">
        <f>IF(OR(NOT(Tasks[[#This Row],[_IsLeaf]]=1),Tasks[[#This Row],[_Res1Row]]=0),0,N(Tasks[[#This Row],[_Days]])*HoursPerDay*IF(Tasks[[#This Row],[_Units1]]="",DefaultUnits,Tasks[[#This Row],[_Units1]]))</f>
        <v/>
      </c>
      <c r="EQ126" s="42">
        <f>Tasks[[#This Row],[_LeafWork]]+Tasks[[#This Row],[_Res2Work]]+Tasks[[#This Row],[_Res3Work]]+Tasks[[#This Row],[_Res4Work]]</f>
        <v/>
      </c>
      <c r="ER12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6" s="42">
        <f>IF(NOT(Tasks[[#This Row],[_IsLeaf]]=1),0,MAX(_xlfn.MAXIFS(Tasks[_Row],Tasks[_Pred1UID],Tasks[[#This Row],[UID]]),_xlfn.MAXIFS(Tasks[_Row],Tasks[_Pred2UID],Tasks[[#This Row],[UID]]),_xlfn.MAXIFS(Tasks[_Row],Tasks[_Pred3UID],Tasks[[#This Row],[UID]]),_xlfn.MAXIFS(Tasks[_Row],Tasks[_Pred4UID],Tasks[[#This Row],[UID]])))</f>
        <v/>
      </c>
      <c r="FA12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6" s="88">
        <f>IF(NOT(Tasks[[#This Row],[_IsLeaf]]=1),"",IF(N(Tasks[[#This Row],[_Days]])&lt;=0,Tasks[[#This Row],[_LeafLateFinish]],WORKDAY.INTL(Tasks[[#This Row],[_LeafLateFinish]],-(Tasks[[#This Row],[_Days]]-1),WorkWeek,Holidays)))</f>
        <v/>
      </c>
      <c r="FD12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6" s="42">
        <f>AND(Tasks[[#This Row],[_IsLeaf]]=1,Tasks[[#This Row],[_LeafProgress]]&lt;1,N(Tasks[[#This Row],[_LeafTotalSlack]])&lt;=CriticalSlackDays)</f>
        <v/>
      </c>
      <c r="FF126" s="42">
        <f>IF(AND(Tasks[[#This Row],[_IsLeaf]]=1,Tasks[[#This Row],[_ConstraintCode]]=1,Tasks[[#This Row],[Mode]]&lt;&gt;"Manual",N(Tasks[[#This Row],[Actual Start]])=0),MAX(0,N(Tasks[[#This Row],[Free Slack]])),0)</f>
        <v/>
      </c>
      <c r="FG126" s="88">
        <f>IF(NOT(Tasks[[#This Row],[_IsLeaf]]=1),"",IF(Tasks[[#This Row],[_AlapShift]]=0,Tasks[[#This Row],[_LeafCalcStart]],WORKDAY.INTL(Tasks[[#This Row],[_LeafCalcStart]],Tasks[[#This Row],[_AlapShift]],WorkWeek,Holidays)))</f>
        <v/>
      </c>
      <c r="FH126" s="88">
        <f>IF(NOT(Tasks[[#This Row],[_IsLeaf]]=1),"",IF(Tasks[[#This Row],[_AlapShift]]=0,Tasks[[#This Row],[_LeafCalcFinish]],WORKDAY.INTL(Tasks[[#This Row],[_LeafCalcFinish]],Tasks[[#This Row],[_AlapShift]],WorkWeek,Holidays)))</f>
        <v/>
      </c>
      <c r="FI126" s="88">
        <f>IF(NOT(Tasks[[#This Row],[_IsLeaf]]=1),"",IF(Tasks[[#This Row],[_AlapShift]]=0,Tasks[[#This Row],[_LeafFcstStart]],WORKDAY.INTL(Tasks[[#This Row],[_LeafFcstStart]],Tasks[[#This Row],[_AlapShift]],WorkWeek,Holidays)))</f>
        <v/>
      </c>
      <c r="FJ126" s="88">
        <f>IF(NOT(Tasks[[#This Row],[_IsLeaf]]=1),"",IF(Tasks[[#This Row],[_AlapShift]]=0,Tasks[[#This Row],[_LeafFcstFinish]],WORKDAY.INTL(Tasks[[#This Row],[_LeafFcstFinish]],Tasks[[#This Row],[_AlapShift]],WorkWeek,Holidays)))</f>
        <v/>
      </c>
      <c r="FK126" s="88">
        <f>IF(Tasks[[#This Row],[Task Name]]="","",IF(Tasks[[#This Row],[_IsSummary]],MIN(INDEX(Tasks[_ShownCalcStart],Tasks[[#This Row],[_Row]]+1):INDEX(Tasks[_ShownCalcStart],Tasks[[#This Row],[_Row]]+Tasks[[#This Row],[_Descendants]])),Tasks[[#This Row],[_ShownCalcStart]]))</f>
        <v/>
      </c>
      <c r="FL126" s="88">
        <f>IF(Tasks[[#This Row],[Task Name]]="","",IF(Tasks[[#This Row],[_IsSummary]],MAX(INDEX(Tasks[_ShownCalcFinish],Tasks[[#This Row],[_Row]]+1):INDEX(Tasks[_ShownCalcFinish],Tasks[[#This Row],[_Row]]+Tasks[[#This Row],[_Descendants]])),Tasks[[#This Row],[_ShownCalcFinish]]))</f>
        <v/>
      </c>
      <c r="FM12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6" s="42">
        <f>IF(AND(Tasks[[#This Row],[_IsLeaf]]=1,Tasks[[#This Row],[_LeafTotalWork]]&gt;0),NETWORKDAYS.INTL(ProjectStart,Tasks[[#This Row],[_ShownFcstStart]],WorkWeek,Holidays),0)</f>
        <v/>
      </c>
      <c r="FZ126" s="42">
        <f>IF(AND(Tasks[[#This Row],[_IsLeaf]]=1,Tasks[[#This Row],[_LeafTotalWork]]&gt;0),MAX(Tasks[[#This Row],[_StartWorkday]],NETWORKDAYS.INTL(ProjectStart,Tasks[[#This Row],[_ShownFcstFinish]],WorkWeek,Holidays)),0)</f>
        <v/>
      </c>
      <c r="GA126" s="42">
        <f>IF(AND(Tasks[[#This Row],[_IsLeaf]]=1,Tasks[[#This Row],[_LeafTotalWork]]&gt;0),Tasks[[#This Row],[_LeafWork]]/(Tasks[[#This Row],[_FinishWorkday]]-Tasks[[#This Row],[_StartWorkday]]+1),0)</f>
        <v/>
      </c>
      <c r="GB126" s="42">
        <f>Tasks[[#This Row],[_WorkPerWorkday]]*(Tasks[[#This Row],[_StartWorkday]]-1)</f>
        <v/>
      </c>
      <c r="GC126" s="42">
        <f>IF(Tasks[[#This Row],[_IsLeaf]]=1,MAX(N(Tasks[[#This Row],[_Days]]),0.1),0)</f>
        <v/>
      </c>
      <c r="GD126" s="42">
        <f>Tasks[[#This Row],[_WeightDur]]*Tasks[[#This Row],[_LeafProgress]]</f>
        <v/>
      </c>
      <c r="GE126" s="42">
        <f>Tasks[[#This Row],[_WeightDur]]*Tasks[[#This Row],[_PlannedPct]]</f>
        <v/>
      </c>
      <c r="GF12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6" s="42">
        <f>IF(AND(Tasks[[#This Row],[_IsLeaf]]=1,N(Tasks[[#This Row],[_Days]])=0,Tasks[[#This Row],[_LeafProgress]]&lt;1),Tasks[[#This Row],[_ShownFcstFinish]]+Tasks[[#This Row],[_Row]]/100000,"")</f>
        <v/>
      </c>
      <c r="GH12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6" s="42">
        <f>IF(Tasks[[#This Row],[Task Name]]="","",LEFT(Tasks[[#This Row],[WBS]],FIND(".",Tasks[[#This Row],[WBS]]&amp;".")-1))</f>
        <v/>
      </c>
      <c r="GJ126" s="42">
        <f>IF(AND(Tasks[[#This Row],[Task Name]]&lt;&gt;"",Tasks[[#This Row],[_Level]]=1),Tasks[[#This Row],[_Row]],"")</f>
        <v/>
      </c>
      <c r="GK126" s="42">
        <f>IF(AND(Tasks[[#This Row],[_IsLeaf]]=1,N(Tasks[[#This Row],[_Days]])=0),Tasks[[#This Row],[Planned Finish]]+Tasks[[#This Row],[_Row]]/100000,"")</f>
        <v/>
      </c>
      <c r="GL126" s="42">
        <f>IF(AND(Tasks[[#This Row],[_IsLeaf]]=1,Tasks[[#This Row],[_LeafProgress]]&lt;1,OR(N(Tasks[[#This Row],[Finish Var]])&gt;0,Tasks[[#This Row],[Status]]="Late Start")),MAX(0,Tasks[[#This Row],[Finish Var]])+1-Tasks[[#This Row],[_Row]]/1000000,"")</f>
        <v/>
      </c>
      <c r="GM126" s="42">
        <f>IF(AND(Tasks[[#This Row],[_IsLeaf]]=1,N(Tasks[[#This Row],[Actual Start]])=0,Tasks[[#This Row],[_ShownFcstStart]]&gt;=StatusDate,Tasks[[#This Row],[_ShownFcstStart]]&lt;=LookaheadEnd),Tasks[[#This Row],[_ShownFcstStart]]+Tasks[[#This Row],[_Row]]/100000,"")</f>
        <v/>
      </c>
      <c r="GN126" s="42">
        <f>IF(AND(Tasks[[#This Row],[_IsLeaf]]=1,Tasks[[#This Row],[_LeafProgress]]&lt;1,Tasks[[#This Row],[_ShownFcstFinish]]&gt;=StatusDate,Tasks[[#This Row],[_ShownFcstFinish]]&lt;=LookaheadEnd),Tasks[[#This Row],[_ShownFcstFinish]]+Tasks[[#This Row],[_Row]]/100000,"")</f>
        <v/>
      </c>
      <c r="GO126" s="42">
        <f>IF(Tasks[[#This Row],[_LeafCritical]],Tasks[[#This Row],[_ShownFcstStart]]+Tasks[[#This Row],[_Row]]/100000,"")</f>
        <v/>
      </c>
      <c r="GP126" s="42">
        <f>Tasks[[#This Row],[_LeafWork]]*Tasks[[#This Row],[_LeafProgress]]</f>
        <v/>
      </c>
      <c r="GQ126" s="88">
        <f>IF(AND(Tasks[[#This Row],[_IsLeaf]]=1,Tasks[[#This Row],[_LeafProgress]]&gt;=1),IF(N(Tasks[[#This Row],[Actual Finish]])&gt;0,Tasks[[#This Row],[Actual Finish]],Tasks[[#This Row],[_ShownFcstFinish]]),"")</f>
        <v/>
      </c>
      <c r="GR126" s="42">
        <f>IF(Tasks[[#This Row],[_IsLeaf]]=1,N(Tasks[[#This Row],[Story Points]]),0)</f>
        <v/>
      </c>
      <c r="GS126" s="42">
        <f>""</f>
        <v/>
      </c>
      <c r="GT126" s="42">
        <f>IF(Tasks[[#This Row],[Task Name]]="",FALSE(),AND(Tasks[[#This Row],[_IsLeaf]]=1,N(Tasks[[#This Row],[_Days]])=0))</f>
        <v/>
      </c>
      <c r="GU126" s="88">
        <f>IF(Tasks[[#This Row],[Task Name]]="",0,IF(AND(Tasks[[#This Row],[_IsLeaf]]=1,NOT(Tasks[[#This Row],[_IsMilestone]]),N(Tasks[[#This Row],[Progress]])&gt;0),Tasks[[#This Row],[Start]],0))</f>
        <v/>
      </c>
      <c r="GV126" s="88">
        <f>IF(Tasks[[#This Row],[_DoneFrom]]=0,0,IF(Tasks[[#This Row],[Progress]]&gt;=1,Tasks[[#This Row],[Finish]],MAX(Tasks[[#This Row],[_DoneFrom]],Tasks[[#This Row],[Start]]+ROUND((Tasks[[#This Row],[Finish]]-Tasks[[#This Row],[Start]]+1)*Tasks[[#This Row],[Progress]],0)-1)))</f>
        <v/>
      </c>
      <c r="GW126" s="88">
        <f>IF(Tasks[[#This Row],[Task Name]]="",0,IF(OR(NOT(Tasks[[#This Row],[_IsLeaf]]=1),Tasks[[#This Row],[_IsMilestone]],N(Tasks[[#This Row],[Progress]])&gt;=1),0,IF(Tasks[[#This Row],[_DoneTo]]&gt;0,Tasks[[#This Row],[_DoneTo]]+1,Tasks[[#This Row],[Start]])))</f>
        <v/>
      </c>
      <c r="GX126" s="88">
        <f>IF(Tasks[[#This Row],[_RemFrom]]=0,0,Tasks[[#This Row],[Finish]])</f>
        <v/>
      </c>
      <c r="GY126" s="42">
        <f>IF(Tasks[[#This Row],[Task Name]]="",FALSE(),OR(NOT(BaselineSet),N(Tasks[[#This Row],[Baseline Start]])&gt;0))</f>
        <v/>
      </c>
      <c r="GZ126" s="42">
        <f>IF(AND(Sandbox="Yes",L_PARSE_DURATION(Tasks[[#This Row],[Sandbox Duration]])&lt;&gt;""),L_PARSE_DURATION(Tasks[[#This Row],[Sandbox Duration]]),L_PARSE_DURATION(Tasks[[#This Row],[Duration]]))</f>
        <v/>
      </c>
      <c r="HA12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6" s="42">
        <f>IF(Tasks[[#This Row],[_IsLeaf]]=1,Tasks[[#This Row],[_Row]],"")</f>
        <v/>
      </c>
      <c r="HD126" s="42">
        <f>IFERROR(INDEX(Tasks[UID],SMALL(Tasks[_PickKey],Tasks[[#This Row],[_Row]]))&amp;" "&amp;INDEX(Tasks[Task Name],SMALL(Tasks[_PickKey],Tasks[[#This Row],[_Row]])),"")</f>
        <v/>
      </c>
      <c r="HE126" s="42">
        <f>IF(Tasks[[#This Row],[Task Name]]="","",IF(Tasks[[#This Row],[_IsSummary]],NETWORKDAYS.INTL(Tasks[[#This Row],[Start]],Tasks[[#This Row],[Finish]],WorkWeek,Holidays),N(Tasks[[#This Row],[_Days]])))</f>
        <v/>
      </c>
      <c r="HF126" s="42">
        <f>IF(Tasks[[#This Row],[Expected]]="",0,((Tasks[[#This Row],[Pessimistic]]-Tasks[[#This Row],[Optimistic]])/6)^2)</f>
        <v/>
      </c>
      <c r="HG126" s="42">
        <f>IF(Tasks[[#This Row],[Expected]]="",0,Tasks[[#This Row],[Expected]]-N(Tasks[[#This Row],[_Days]]))</f>
        <v/>
      </c>
    </row>
    <row r="127">
      <c r="A127" s="21">
        <f>IF(Tasks[[#This Row],[Task Name]]="","",COUNTA(Tasks[[#Headers],[Task Name]]:Tasks[[#This Row],[Task Name]])-1)</f>
        <v/>
      </c>
      <c r="B127" s="22" t="n">
        <v>135</v>
      </c>
      <c r="C127" s="22" t="n"/>
      <c r="D127" s="23" t="n"/>
      <c r="E127" s="22" t="n"/>
      <c r="F127" s="23" t="n"/>
      <c r="G127" s="22" t="n"/>
      <c r="H127" s="22" t="n"/>
      <c r="I127" s="23" t="n"/>
      <c r="J127" s="22" t="n"/>
      <c r="K127" s="22" t="n"/>
      <c r="L127" s="23" t="n"/>
      <c r="M127" s="22" t="n"/>
      <c r="N127" s="22" t="n"/>
      <c r="O127" s="23" t="n"/>
      <c r="P127" s="22" t="n"/>
      <c r="Q127" s="22" t="n"/>
      <c r="R127" s="23" t="n"/>
      <c r="S127" s="23" t="n"/>
      <c r="T127" s="82" t="n"/>
      <c r="U127" s="23" t="n"/>
      <c r="V127" s="82" t="n"/>
      <c r="W127" s="23" t="n"/>
      <c r="X127" s="82" t="n"/>
      <c r="Y127" s="23" t="n"/>
      <c r="Z127" s="82" t="n"/>
      <c r="AA127" s="23" t="n"/>
      <c r="AB127" s="23" t="n"/>
      <c r="AC127" s="7" t="n"/>
      <c r="AD127" s="7" t="n"/>
      <c r="AE127" s="61">
        <f>IF(Tasks[[#This Row],[Task Name]]="","",IF(Tasks[[#This Row],[_IsSummary]],MIN(INDEX(Tasks[_ShownFcstStart],Tasks[[#This Row],[_Row]]+1):INDEX(Tasks[_ShownFcstStart],Tasks[[#This Row],[_Row]]+Tasks[[#This Row],[_Descendants]])),Tasks[[#This Row],[_ShownFcstStart]]))</f>
        <v/>
      </c>
      <c r="AF127" s="61">
        <f>IF(Tasks[[#This Row],[Task Name]]="","",IF(Tasks[[#This Row],[_IsSummary]],MAX(INDEX(Tasks[_ShownFcstFinish],Tasks[[#This Row],[_Row]]+1):INDEX(Tasks[_ShownFcstFinish],Tasks[[#This Row],[_Row]]+Tasks[[#This Row],[_Descendants]])),Tasks[[#This Row],[_ShownFcstFinish]]))</f>
        <v/>
      </c>
      <c r="AG127" s="21">
        <f>""</f>
        <v/>
      </c>
      <c r="AH127" s="23" t="n"/>
      <c r="AI12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7" s="7" t="n"/>
      <c r="AK127" s="22" t="n"/>
      <c r="AL127" s="23" t="n"/>
      <c r="AM127" s="7" t="n"/>
      <c r="AN127" s="21">
        <f>IF(Tasks[[#This Row],[Task Name]]="","",IF(Tasks[[#This Row],[Finish]]&gt;=Tasks[[#This Row],[Planned Finish]],NETWORKDAYS.INTL(Tasks[[#This Row],[Planned Finish]],Tasks[[#This Row],[Finish]],WorkWeek,Holidays)-1,1-NETWORKDAYS.INTL(Tasks[[#This Row],[Finish]],Tasks[[#This Row],[Planned Finish]],WorkWeek,Holidays)))</f>
        <v/>
      </c>
      <c r="AO127" s="21">
        <f>IF(Tasks[[#This Row],[Task Name]]="","",IF(Tasks[[#This Row],[Progress]]&gt;=1,"Complete",IF(OR(N(Tasks[[#This Row],[Actual Start]])&gt;0,Tasks[[#This Row],[Progress]]&gt;0),IF(Tasks[[#This Row],[Finish Var]]&gt;0,"Behind","In Progress"),IF(Tasks[[#This Row],[Planned Start]]&lt;StatusDate,"Late Start","Not Started"))))</f>
        <v/>
      </c>
      <c r="AP127" s="21">
        <f>IF(Tasks[[#This Row],[Task Name]]="","",IF(IF(Tasks[[#This Row],[_IsSummary]],COUNTIF(INDEX(Tasks[_LeafCritical],Tasks[[#This Row],[_Row]]+1):INDEX(Tasks[_LeafCritical],Tasks[[#This Row],[_Row]]+Tasks[[#This Row],[_Descendants]]),TRUE())&gt;0,Tasks[[#This Row],[_LeafCritical]]),"Yes",""))</f>
        <v/>
      </c>
      <c r="AQ127" s="61">
        <f>IF(Tasks[[#This Row],[Task Name]]="","",IF(N(Tasks[[#This Row],[Baseline Start]])&gt;0,Tasks[[#This Row],[Baseline Start]],Tasks[[#This Row],[_CalcStart]]))</f>
        <v/>
      </c>
      <c r="AR127" s="61">
        <f>IF(Tasks[[#This Row],[Task Name]]="","",IF(N(Tasks[[#This Row],[Baseline Finish]])&gt;0,Tasks[[#This Row],[Baseline Finish]],Tasks[[#This Row],[_CalcFinish]]))</f>
        <v/>
      </c>
      <c r="AS127" s="21">
        <f>IF(Tasks[[#This Row],[Task Name]]="","",IF(Tasks[[#This Row],[Start]]&gt;=Tasks[[#This Row],[Planned Start]],NETWORKDAYS.INTL(Tasks[[#This Row],[Planned Start]],Tasks[[#This Row],[Start]],WorkWeek,Holidays)-1,1-NETWORKDAYS.INTL(Tasks[[#This Row],[Start]],Tasks[[#This Row],[Planned Start]],WorkWeek,Holidays)))</f>
        <v/>
      </c>
      <c r="AT127" s="61">
        <f>IF(Tasks[[#This Row],[Task Name]]="","",IF(Tasks[[#This Row],[_IsSummary]],MIN(INDEX(Tasks[_LeafLateStart],Tasks[[#This Row],[_Row]]+1):INDEX(Tasks[_LeafLateStart],Tasks[[#This Row],[_Row]]+Tasks[[#This Row],[_Descendants]])),Tasks[[#This Row],[_LeafLateStart]]))</f>
        <v/>
      </c>
      <c r="AU127" s="61">
        <f>IF(Tasks[[#This Row],[Task Name]]="","",IF(Tasks[[#This Row],[_IsSummary]],MAX(INDEX(Tasks[_LeafLateFinish],Tasks[[#This Row],[_Row]]+1):INDEX(Tasks[_LeafLateFinish],Tasks[[#This Row],[_Row]]+Tasks[[#This Row],[_Descendants]])),Tasks[[#This Row],[_LeafLateFinish]]))</f>
        <v/>
      </c>
      <c r="AV127" s="21">
        <f>IF(Tasks[[#This Row],[Task Name]]="","",IF(Tasks[[#This Row],[_IsSummary]],MIN(INDEX(Tasks[_LeafTotalSlack],Tasks[[#This Row],[_Row]]+1):INDEX(Tasks[_LeafTotalSlack],Tasks[[#This Row],[_Row]]+Tasks[[#This Row],[_Descendants]])),Tasks[[#This Row],[_LeafTotalSlack]]))</f>
        <v/>
      </c>
      <c r="AW12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3" t="n"/>
      <c r="BA12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f>IF(Tasks[[#This Row],[Task Name]]="","",IF(Tasks[[#This Row],[_Level]]&lt;=OutlineShowLevel,"Yes","No"))</f>
        <v/>
      </c>
      <c r="BE127" s="84">
        <f>IF(Tasks[[#This Row],[Task Name]]="","",IF(Tasks[[#This Row],[_IsSummary]],SUM(INDEX(Tasks[_LeafTotalWork],Tasks[[#This Row],[_Row]]+1):INDEX(Tasks[_LeafTotalWork],Tasks[[#This Row],[_Row]]+Tasks[[#This Row],[_Descendants]])),Tasks[[#This Row],[_LeafTotalWork]]))</f>
        <v/>
      </c>
      <c r="BF127" s="23" t="n"/>
      <c r="BG12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f>""</f>
        <v/>
      </c>
      <c r="BI127" s="85" t="n"/>
      <c r="BJ127" s="22" t="n"/>
      <c r="BK127" s="21">
        <f>IF(OR(Tasks[[#This Row],[Task Name]]="",Tasks[[#This Row],[Baseline Duration]]=""),"",Tasks[[#This Row],[_SpanDays]]-N(Tasks[[#This Row],[Baseline Duration]]))</f>
        <v/>
      </c>
      <c r="BL127" s="84">
        <f>IF(OR(Tasks[[#This Row],[Task Name]]="",Tasks[[#This Row],[Baseline Work]]=""),"",Tasks[[#This Row],[Work]]-N(Tasks[[#This Row],[Baseline Work]]))</f>
        <v/>
      </c>
      <c r="BM127" s="61">
        <f>IF(Tasks[[#This Row],[Task Name]]="","",IF(OR(TakeBaseline="Yes",N(Tasks[[#This Row],[Baseline Start]])=0),Tasks[[#This Row],[Start]],Tasks[[#This Row],[Baseline Start]]))</f>
        <v/>
      </c>
      <c r="BN127" s="61">
        <f>IF(Tasks[[#This Row],[Task Name]]="","",IF(OR(TakeBaseline="Yes",N(Tasks[[#This Row],[Baseline Finish]])=0),Tasks[[#This Row],[Finish]],Tasks[[#This Row],[Baseline Finish]]))</f>
        <v/>
      </c>
      <c r="BO127" s="21">
        <f>IF(Tasks[[#This Row],[Task Name]]="","",IF(OR(TakeBaseline="Yes",N(Tasks[[#This Row],[Baseline Duration]])=0),Tasks[[#This Row],[_SpanDays]],Tasks[[#This Row],[Baseline Duration]]))</f>
        <v/>
      </c>
      <c r="BP127" s="84">
        <f>IF(Tasks[[#This Row],[Task Name]]="","",IF(OR(TakeBaseline="Yes",N(Tasks[[#This Row],[Baseline Work]])=0),Tasks[[#This Row],[Work]],Tasks[[#This Row],[Baseline Work]]))</f>
        <v/>
      </c>
      <c r="BQ127" s="7" t="n"/>
      <c r="BR127" s="7" t="n"/>
      <c r="BS127" s="22" t="n"/>
      <c r="BT127" s="86" t="n"/>
      <c r="BU127" s="23" t="n"/>
      <c r="BV127" s="23" t="n"/>
      <c r="BW127" s="23" t="n"/>
      <c r="BX127" s="87">
        <f>IF(AND(Tasks[[#This Row],[_IsLeaf]]=1,ISNUMBER(Tasks[[#This Row],[Optimistic]]),ISNUMBER(Tasks[[#This Row],[Pessimistic]])),ROUND((Tasks[[#This Row],[Optimistic]]+4*N(Tasks[[#This Row],[_Days]])+Tasks[[#This Row],[Pessimistic]])/6,1),"")</f>
        <v/>
      </c>
      <c r="BY127" s="85" t="n"/>
      <c r="BZ127" s="85" t="n"/>
      <c r="CA127" s="22" t="n"/>
      <c r="CB127" s="42">
        <f>IF(Tasks[[#This Row],[Task Name]]="","",MAX(1,N(Tasks[[#This Row],[Level]])))</f>
        <v/>
      </c>
      <c r="CC127" s="42">
        <f>ROW()-ROW(Tasks[[#Headers],[ID]])</f>
        <v/>
      </c>
      <c r="CD127" s="42">
        <f>IF(OR(Tasks[[#This Row],[Task Name]]="",Tasks[[#This Row],[_Level]]&lt;=1),0,IFERROR(LOOKUP(2,1/(Tasks[[#Headers],[_Level]]:Tasks[[#This Row],[_Level]]=Tasks[[#This Row],[_Level]]-1),ROW(Tasks[[#Headers],[_Level]]:Tasks[[#This Row],[_Level]])),0))</f>
        <v/>
      </c>
      <c r="CE127" s="42">
        <f>IFERROR(N(INDEX(Tasks[_Level],Tasks[[#This Row],[_Row]]+1)),0)</f>
        <v/>
      </c>
      <c r="CF127" s="42">
        <f>AND(Tasks[[#This Row],[Task Name]]&lt;&gt;"",Tasks[[#This Row],[_NextLevel]]&gt;Tasks[[#This Row],[_Level]])</f>
        <v/>
      </c>
      <c r="CG127" s="42">
        <f>IF(Tasks[[#This Row],[_IsSummary]],COUNTIF(Tasks[WBS],Tasks[[#This Row],[WBS]]&amp;".*"),0)</f>
        <v/>
      </c>
      <c r="CH127" s="42">
        <f>IF(AND(Tasks[[#This Row],[Task Name]]&lt;&gt;"",NOT(Tasks[[#This Row],[_IsSummary]])),1,0)</f>
        <v/>
      </c>
      <c r="CI127" s="42">
        <f>IF(N(Tasks[[#This Row],[_Pred1UID]])=0,0,IFERROR(MATCH(Tasks[[#This Row],[_Pred1UID]],Tasks[UID],0),-1))</f>
        <v/>
      </c>
      <c r="CJ127" s="42">
        <f>IF(N(Tasks[[#This Row],[_Pred2UID]])=0,0,IFERROR(MATCH(Tasks[[#This Row],[_Pred2UID]],Tasks[UID],0),-1))</f>
        <v/>
      </c>
      <c r="CK127" s="42">
        <f>IF(N(Tasks[[#This Row],[_Pred3UID]])=0,0,IFERROR(MATCH(Tasks[[#This Row],[_Pred3UID]],Tasks[UID],0),-1))</f>
        <v/>
      </c>
      <c r="CL127" s="42">
        <f>IF(N(Tasks[[#This Row],[_Pred4UID]])=0,0,IFERROR(MATCH(Tasks[[#This Row],[_Pred4UID]],Tasks[UID],0),-1))</f>
        <v/>
      </c>
      <c r="CM12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7" s="88">
        <f>IF(N(Tasks[[#This Row],[Constraint Date]])=0,0,IF(AND(OR(Tasks[[#This Row],[_ConstraintCode]]=3,Tasks[[#This Row],[_ConstraintCode]]=6,Tasks[[#This Row],[_ConstraintCode]]=7),N(Tasks[[#This Row],[_Days]])&gt;1),WORKDAY.INTL(N(Tasks[[#This Row],[Constraint Date]]),-(N(Tasks[[#This Row],[_Days]])-1),WorkWeek,Holidays),N(Tasks[[#This Row],[Constraint Date]])))</f>
        <v/>
      </c>
      <c r="CO127" s="88">
        <f>IF(OR(Tasks[[#This Row],[_ConstraintCode]]=2,Tasks[[#This Row],[_ConstraintCode]]=3,Tasks[[#This Row],[_ConstraintCode]]=4,Tasks[[#This Row],[_ConstraintCode]]=6),Tasks[[#This Row],[_ConstraintStart]],0)</f>
        <v/>
      </c>
      <c r="CP127" s="88">
        <f>IF(OR(Tasks[[#This Row],[_ConstraintCode]]=2,Tasks[[#This Row],[_ConstraintCode]]=3,Tasks[[#This Row],[_ConstraintCode]]=5,Tasks[[#This Row],[_ConstraintCode]]=7),Tasks[[#This Row],[_ConstraintStart]],2958465)</f>
        <v/>
      </c>
      <c r="CQ12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7" s="88">
        <f>IF(NOT(Tasks[[#This Row],[_IsLeaf]]=1),"",IF(N(Tasks[[#This Row],[_Days]])&lt;=0,Tasks[[#This Row],[_LeafCalcStart]],WORKDAY.INTL(Tasks[[#This Row],[_LeafCalcStart]],Tasks[[#This Row],[_Days]]-1,WorkWeek,Holidays)))</f>
        <v/>
      </c>
      <c r="CS12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7" s="42">
        <f>IF(Tasks[[#This Row],[_Predecessors]]="","",TRIM(MID(SUBSTITUTE(SUBSTITUTE(SUBSTITUTE(UPPER(Tasks[[#This Row],[_Predecessors]]),";",",")," ",""),",",REPT(" ",99)),1,99)))</f>
        <v/>
      </c>
      <c r="CV127" s="42">
        <f>IF(Tasks[[#This Row],[_Pred1Text]]="","",IFERROR(VALUE(LEFT(Tasks[[#This Row],[_Pred1Text]],MIN(FIND("F",Tasks[[#This Row],[_Pred1Text]]&amp;"F"),FIND("S",Tasks[[#This Row],[_Pred1Text]]&amp;"S"),FIND("+",Tasks[[#This Row],[_Pred1Text]]&amp;"+"),FIND("-",Tasks[[#This Row],[_Pred1Text]]&amp;"-"))-1)),""))</f>
        <v/>
      </c>
      <c r="CW12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7" s="42">
        <f>IF(Tasks[[#This Row],[_Pred1Text]]="","",TRIM(MID(SUBSTITUTE(SUBSTITUTE(SUBSTITUTE(UPPER(Tasks[[#This Row],[_Predecessors]]),";",",")," ",""),",",REPT(" ",99)),100,99)))</f>
        <v/>
      </c>
      <c r="CZ127" s="42">
        <f>IF(Tasks[[#This Row],[_Pred2Text]]="","",IFERROR(VALUE(LEFT(Tasks[[#This Row],[_Pred2Text]],MIN(FIND("F",Tasks[[#This Row],[_Pred2Text]]&amp;"F"),FIND("S",Tasks[[#This Row],[_Pred2Text]]&amp;"S"),FIND("+",Tasks[[#This Row],[_Pred2Text]]&amp;"+"),FIND("-",Tasks[[#This Row],[_Pred2Text]]&amp;"-"))-1)),""))</f>
        <v/>
      </c>
      <c r="DA12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7" s="42">
        <f>IF(Tasks[[#This Row],[_Pred2Text]]="","",TRIM(MID(SUBSTITUTE(SUBSTITUTE(SUBSTITUTE(UPPER(Tasks[[#This Row],[_Predecessors]]),";",",")," ",""),",",REPT(" ",99)),199,99)))</f>
        <v/>
      </c>
      <c r="DD127" s="42">
        <f>IF(Tasks[[#This Row],[_Pred3Text]]="","",IFERROR(VALUE(LEFT(Tasks[[#This Row],[_Pred3Text]],MIN(FIND("F",Tasks[[#This Row],[_Pred3Text]]&amp;"F"),FIND("S",Tasks[[#This Row],[_Pred3Text]]&amp;"S"),FIND("+",Tasks[[#This Row],[_Pred3Text]]&amp;"+"),FIND("-",Tasks[[#This Row],[_Pred3Text]]&amp;"-"))-1)),""))</f>
        <v/>
      </c>
      <c r="DE12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7" s="42">
        <f>IF(Tasks[[#This Row],[_Pred3Text]]="","",TRIM(MID(SUBSTITUTE(SUBSTITUTE(SUBSTITUTE(UPPER(Tasks[[#This Row],[_Predecessors]]),";",",")," ",""),",",REPT(" ",99)),298,99)))</f>
        <v/>
      </c>
      <c r="DH127" s="42">
        <f>IF(Tasks[[#This Row],[_Pred4Text]]="","",IFERROR(VALUE(LEFT(Tasks[[#This Row],[_Pred4Text]],MIN(FIND("F",Tasks[[#This Row],[_Pred4Text]]&amp;"F"),FIND("S",Tasks[[#This Row],[_Pred4Text]]&amp;"S"),FIND("+",Tasks[[#This Row],[_Pred4Text]]&amp;"+"),FIND("-",Tasks[[#This Row],[_Pred4Text]]&amp;"-"))-1)),""))</f>
        <v/>
      </c>
      <c r="DI12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7" s="42">
        <f>IF(OR(Tasks[[#This Row],[Task Name]]="",Tasks[[#This Row],[_Resources]]=""),"",TRIM(MID(SUBSTITUTE(Tasks[[#This Row],[_Resources]],",",REPT(" ",99)),1,99)))</f>
        <v/>
      </c>
      <c r="DL127" s="42">
        <f>IF(Tasks[[#This Row],[_Res1Text]]="","",TRIM(MID(SUBSTITUTE(Tasks[[#This Row],[_Resources]],",",REPT(" ",99)),100,99)))</f>
        <v/>
      </c>
      <c r="DM127" s="42">
        <f>IF(Tasks[[#This Row],[_Res2Text]]="","",TRIM(MID(SUBSTITUTE(Tasks[[#This Row],[_Resources]],",",REPT(" ",99)),199,99)))</f>
        <v/>
      </c>
      <c r="DN127" s="42">
        <f>IF(Tasks[[#This Row],[_Res3Text]]="","",TRIM(MID(SUBSTITUTE(Tasks[[#This Row],[_Resources]],",",REPT(" ",99)),298,99)))</f>
        <v/>
      </c>
      <c r="DO127" s="42">
        <f>IF(Tasks[[#This Row],[_Res1Text]]="",0,IFERROR(MATCH(TRIM(LEFT(Tasks[[#This Row],[_Res1Text]],FIND("[",Tasks[[#This Row],[_Res1Text]]&amp;"[")-1)),res_Name,0),IFERROR(MATCH(TRIM(LEFT(Tasks[[#This Row],[_Res1Text]],FIND("[",Tasks[[#This Row],[_Res1Text]]&amp;"[")-1)),res_Initials,0),0)))</f>
        <v/>
      </c>
      <c r="DP127" s="42">
        <f>IF(Tasks[[#This Row],[_Res2Text]]="",0,IFERROR(MATCH(TRIM(LEFT(Tasks[[#This Row],[_Res2Text]],FIND("[",Tasks[[#This Row],[_Res2Text]]&amp;"[")-1)),res_Name,0),IFERROR(MATCH(TRIM(LEFT(Tasks[[#This Row],[_Res2Text]],FIND("[",Tasks[[#This Row],[_Res2Text]]&amp;"[")-1)),res_Initials,0),0)))</f>
        <v/>
      </c>
      <c r="DQ127" s="42">
        <f>IF(Tasks[[#This Row],[_Res3Text]]="",0,IFERROR(MATCH(TRIM(LEFT(Tasks[[#This Row],[_Res3Text]],FIND("[",Tasks[[#This Row],[_Res3Text]]&amp;"[")-1)),res_Name,0),IFERROR(MATCH(TRIM(LEFT(Tasks[[#This Row],[_Res3Text]],FIND("[",Tasks[[#This Row],[_Res3Text]]&amp;"[")-1)),res_Initials,0),0)))</f>
        <v/>
      </c>
      <c r="DR127" s="42">
        <f>IF(Tasks[[#This Row],[_Res4Text]]="",0,IFERROR(MATCH(TRIM(LEFT(Tasks[[#This Row],[_Res4Text]],FIND("[",Tasks[[#This Row],[_Res4Text]]&amp;"[")-1)),res_Name,0),IFERROR(MATCH(TRIM(LEFT(Tasks[[#This Row],[_Res4Text]],FIND("[",Tasks[[#This Row],[_Res4Text]]&amp;"[")-1)),res_Initials,0),0)))</f>
        <v/>
      </c>
      <c r="DS127" s="42">
        <f>IF(Tasks[[#This Row],[_Res1Text]]="","",IF(Tasks[[#This Row],[_Res1Row]]&gt;0,INDEX(res_Name,Tasks[[#This Row],[_Res1Row]]),TRIM(LEFT(Tasks[[#This Row],[_Res1Text]],FIND("[",Tasks[[#This Row],[_Res1Text]]&amp;"[")-1))))</f>
        <v/>
      </c>
      <c r="DT12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7" s="42">
        <f>IF(NOT(Tasks[[#This Row],[_IsLeaf]]=1),0,(Tasks[[#This Row],[_Resource1]]&lt;&gt;"")+(Tasks[[#This Row],[_Res2]]&lt;&gt;"")+(Tasks[[#This Row],[_Res3]]&lt;&gt;"")+(Tasks[[#This Row],[_Res4]]&lt;&gt;""))</f>
        <v/>
      </c>
      <c r="DV127" s="42">
        <f>IF(Tasks[[#This Row],[_Res2Text]]="","",IF(Tasks[[#This Row],[_Res2Row]]&gt;0,INDEX(res_Name,Tasks[[#This Row],[_Res2Row]]),TRIM(LEFT(Tasks[[#This Row],[_Res2Text]],FIND("[",Tasks[[#This Row],[_Res2Text]]&amp;"[")-1))))</f>
        <v/>
      </c>
      <c r="DW12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7" s="42">
        <f>IF(OR(NOT(Tasks[[#This Row],[_IsLeaf]]=1),Tasks[[#This Row],[_Res2Row]]=0),0,N(Tasks[[#This Row],[_Days]])*HoursPerDay*IF(Tasks[[#This Row],[_Res2Units]]="",DefaultUnits,Tasks[[#This Row],[_Res2Units]]))</f>
        <v/>
      </c>
      <c r="DY127" s="42">
        <f>IF(AND(AND(Tasks[[#This Row],[_IsLeaf]]=1,Tasks[[#This Row],[_LeafTotalWork]]&gt;0),Tasks[[#This Row],[_Res2Work]]&gt;0),Tasks[[#This Row],[_Res2Work]]/(Tasks[[#This Row],[_FinishWorkday]]-Tasks[[#This Row],[_StartWorkday]]+1),0)</f>
        <v/>
      </c>
      <c r="DZ127" s="42">
        <f>Tasks[[#This Row],[_Res2WorkPerWD]]*MAX(0,Tasks[[#This Row],[_StartWorkday]]-1)</f>
        <v/>
      </c>
      <c r="EA127" s="42">
        <f>Tasks[[#This Row],[_Res2Work]]*Tasks[[#This Row],[_LeafProgress]]</f>
        <v/>
      </c>
      <c r="EB127" s="42">
        <f>IF(Tasks[[#This Row],[_Res3Text]]="","",IF(Tasks[[#This Row],[_Res3Row]]&gt;0,INDEX(res_Name,Tasks[[#This Row],[_Res3Row]]),TRIM(LEFT(Tasks[[#This Row],[_Res3Text]],FIND("[",Tasks[[#This Row],[_Res3Text]]&amp;"[")-1))))</f>
        <v/>
      </c>
      <c r="EC12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7" s="42">
        <f>IF(OR(NOT(Tasks[[#This Row],[_IsLeaf]]=1),Tasks[[#This Row],[_Res3Row]]=0),0,N(Tasks[[#This Row],[_Days]])*HoursPerDay*IF(Tasks[[#This Row],[_Res3Units]]="",DefaultUnits,Tasks[[#This Row],[_Res3Units]]))</f>
        <v/>
      </c>
      <c r="EE127" s="42">
        <f>IF(AND(AND(Tasks[[#This Row],[_IsLeaf]]=1,Tasks[[#This Row],[_LeafTotalWork]]&gt;0),Tasks[[#This Row],[_Res3Work]]&gt;0),Tasks[[#This Row],[_Res3Work]]/(Tasks[[#This Row],[_FinishWorkday]]-Tasks[[#This Row],[_StartWorkday]]+1),0)</f>
        <v/>
      </c>
      <c r="EF127" s="42">
        <f>Tasks[[#This Row],[_Res3WorkPerWD]]*MAX(0,Tasks[[#This Row],[_StartWorkday]]-1)</f>
        <v/>
      </c>
      <c r="EG127" s="42">
        <f>Tasks[[#This Row],[_Res3Work]]*Tasks[[#This Row],[_LeafProgress]]</f>
        <v/>
      </c>
      <c r="EH127" s="42">
        <f>IF(Tasks[[#This Row],[_Res4Text]]="","",IF(Tasks[[#This Row],[_Res4Row]]&gt;0,INDEX(res_Name,Tasks[[#This Row],[_Res4Row]]),TRIM(LEFT(Tasks[[#This Row],[_Res4Text]],FIND("[",Tasks[[#This Row],[_Res4Text]]&amp;"[")-1))))</f>
        <v/>
      </c>
      <c r="EI12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7" s="42">
        <f>IF(OR(NOT(Tasks[[#This Row],[_IsLeaf]]=1),Tasks[[#This Row],[_Res4Row]]=0),0,N(Tasks[[#This Row],[_Days]])*HoursPerDay*IF(Tasks[[#This Row],[_Res4Units]]="",DefaultUnits,Tasks[[#This Row],[_Res4Units]]))</f>
        <v/>
      </c>
      <c r="EK127" s="42">
        <f>IF(AND(AND(Tasks[[#This Row],[_IsLeaf]]=1,Tasks[[#This Row],[_LeafTotalWork]]&gt;0),Tasks[[#This Row],[_Res4Work]]&gt;0),Tasks[[#This Row],[_Res4Work]]/(Tasks[[#This Row],[_FinishWorkday]]-Tasks[[#This Row],[_StartWorkday]]+1),0)</f>
        <v/>
      </c>
      <c r="EL127" s="42">
        <f>Tasks[[#This Row],[_Res4WorkPerWD]]*MAX(0,Tasks[[#This Row],[_StartWorkday]]-1)</f>
        <v/>
      </c>
      <c r="EM127" s="42">
        <f>Tasks[[#This Row],[_Res4Work]]*Tasks[[#This Row],[_LeafProgress]]</f>
        <v/>
      </c>
      <c r="EN127" s="42">
        <f>IF(ISNUMBER(Tasks[[#This Row],[% Complete]]),Tasks[[#This Row],[% Complete]],IF(Tasks[[#This Row],[Stage]]="",0,IFERROR(INDEX(stg_Pct,MATCH(Tasks[[#This Row],[Stage]],stg_Name,0)),0)))</f>
        <v/>
      </c>
      <c r="EO127" s="42">
        <f>IF(NOT(Tasks[[#This Row],[_IsLeaf]]=1),0,IF(N(Tasks[[#This Row],[Actual Finish]])&gt;0,1,MIN(1,Tasks[[#This Row],[_Pct]])))</f>
        <v/>
      </c>
      <c r="EP127" s="42">
        <f>IF(OR(NOT(Tasks[[#This Row],[_IsLeaf]]=1),Tasks[[#This Row],[_Res1Row]]=0),0,N(Tasks[[#This Row],[_Days]])*HoursPerDay*IF(Tasks[[#This Row],[_Units1]]="",DefaultUnits,Tasks[[#This Row],[_Units1]]))</f>
        <v/>
      </c>
      <c r="EQ127" s="42">
        <f>Tasks[[#This Row],[_LeafWork]]+Tasks[[#This Row],[_Res2Work]]+Tasks[[#This Row],[_Res3Work]]+Tasks[[#This Row],[_Res4Work]]</f>
        <v/>
      </c>
      <c r="ER12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7" s="42">
        <f>IF(NOT(Tasks[[#This Row],[_IsLeaf]]=1),0,MAX(_xlfn.MAXIFS(Tasks[_Row],Tasks[_Pred1UID],Tasks[[#This Row],[UID]]),_xlfn.MAXIFS(Tasks[_Row],Tasks[_Pred2UID],Tasks[[#This Row],[UID]]),_xlfn.MAXIFS(Tasks[_Row],Tasks[_Pred3UID],Tasks[[#This Row],[UID]]),_xlfn.MAXIFS(Tasks[_Row],Tasks[_Pred4UID],Tasks[[#This Row],[UID]])))</f>
        <v/>
      </c>
      <c r="FA12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7" s="88">
        <f>IF(NOT(Tasks[[#This Row],[_IsLeaf]]=1),"",IF(N(Tasks[[#This Row],[_Days]])&lt;=0,Tasks[[#This Row],[_LeafLateFinish]],WORKDAY.INTL(Tasks[[#This Row],[_LeafLateFinish]],-(Tasks[[#This Row],[_Days]]-1),WorkWeek,Holidays)))</f>
        <v/>
      </c>
      <c r="FD12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7" s="42">
        <f>AND(Tasks[[#This Row],[_IsLeaf]]=1,Tasks[[#This Row],[_LeafProgress]]&lt;1,N(Tasks[[#This Row],[_LeafTotalSlack]])&lt;=CriticalSlackDays)</f>
        <v/>
      </c>
      <c r="FF127" s="42">
        <f>IF(AND(Tasks[[#This Row],[_IsLeaf]]=1,Tasks[[#This Row],[_ConstraintCode]]=1,Tasks[[#This Row],[Mode]]&lt;&gt;"Manual",N(Tasks[[#This Row],[Actual Start]])=0),MAX(0,N(Tasks[[#This Row],[Free Slack]])),0)</f>
        <v/>
      </c>
      <c r="FG127" s="88">
        <f>IF(NOT(Tasks[[#This Row],[_IsLeaf]]=1),"",IF(Tasks[[#This Row],[_AlapShift]]=0,Tasks[[#This Row],[_LeafCalcStart]],WORKDAY.INTL(Tasks[[#This Row],[_LeafCalcStart]],Tasks[[#This Row],[_AlapShift]],WorkWeek,Holidays)))</f>
        <v/>
      </c>
      <c r="FH127" s="88">
        <f>IF(NOT(Tasks[[#This Row],[_IsLeaf]]=1),"",IF(Tasks[[#This Row],[_AlapShift]]=0,Tasks[[#This Row],[_LeafCalcFinish]],WORKDAY.INTL(Tasks[[#This Row],[_LeafCalcFinish]],Tasks[[#This Row],[_AlapShift]],WorkWeek,Holidays)))</f>
        <v/>
      </c>
      <c r="FI127" s="88">
        <f>IF(NOT(Tasks[[#This Row],[_IsLeaf]]=1),"",IF(Tasks[[#This Row],[_AlapShift]]=0,Tasks[[#This Row],[_LeafFcstStart]],WORKDAY.INTL(Tasks[[#This Row],[_LeafFcstStart]],Tasks[[#This Row],[_AlapShift]],WorkWeek,Holidays)))</f>
        <v/>
      </c>
      <c r="FJ127" s="88">
        <f>IF(NOT(Tasks[[#This Row],[_IsLeaf]]=1),"",IF(Tasks[[#This Row],[_AlapShift]]=0,Tasks[[#This Row],[_LeafFcstFinish]],WORKDAY.INTL(Tasks[[#This Row],[_LeafFcstFinish]],Tasks[[#This Row],[_AlapShift]],WorkWeek,Holidays)))</f>
        <v/>
      </c>
      <c r="FK127" s="88">
        <f>IF(Tasks[[#This Row],[Task Name]]="","",IF(Tasks[[#This Row],[_IsSummary]],MIN(INDEX(Tasks[_ShownCalcStart],Tasks[[#This Row],[_Row]]+1):INDEX(Tasks[_ShownCalcStart],Tasks[[#This Row],[_Row]]+Tasks[[#This Row],[_Descendants]])),Tasks[[#This Row],[_ShownCalcStart]]))</f>
        <v/>
      </c>
      <c r="FL127" s="88">
        <f>IF(Tasks[[#This Row],[Task Name]]="","",IF(Tasks[[#This Row],[_IsSummary]],MAX(INDEX(Tasks[_ShownCalcFinish],Tasks[[#This Row],[_Row]]+1):INDEX(Tasks[_ShownCalcFinish],Tasks[[#This Row],[_Row]]+Tasks[[#This Row],[_Descendants]])),Tasks[[#This Row],[_ShownCalcFinish]]))</f>
        <v/>
      </c>
      <c r="FM12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7" s="42">
        <f>IF(AND(Tasks[[#This Row],[_IsLeaf]]=1,Tasks[[#This Row],[_LeafTotalWork]]&gt;0),NETWORKDAYS.INTL(ProjectStart,Tasks[[#This Row],[_ShownFcstStart]],WorkWeek,Holidays),0)</f>
        <v/>
      </c>
      <c r="FZ127" s="42">
        <f>IF(AND(Tasks[[#This Row],[_IsLeaf]]=1,Tasks[[#This Row],[_LeafTotalWork]]&gt;0),MAX(Tasks[[#This Row],[_StartWorkday]],NETWORKDAYS.INTL(ProjectStart,Tasks[[#This Row],[_ShownFcstFinish]],WorkWeek,Holidays)),0)</f>
        <v/>
      </c>
      <c r="GA127" s="42">
        <f>IF(AND(Tasks[[#This Row],[_IsLeaf]]=1,Tasks[[#This Row],[_LeafTotalWork]]&gt;0),Tasks[[#This Row],[_LeafWork]]/(Tasks[[#This Row],[_FinishWorkday]]-Tasks[[#This Row],[_StartWorkday]]+1),0)</f>
        <v/>
      </c>
      <c r="GB127" s="42">
        <f>Tasks[[#This Row],[_WorkPerWorkday]]*(Tasks[[#This Row],[_StartWorkday]]-1)</f>
        <v/>
      </c>
      <c r="GC127" s="42">
        <f>IF(Tasks[[#This Row],[_IsLeaf]]=1,MAX(N(Tasks[[#This Row],[_Days]]),0.1),0)</f>
        <v/>
      </c>
      <c r="GD127" s="42">
        <f>Tasks[[#This Row],[_WeightDur]]*Tasks[[#This Row],[_LeafProgress]]</f>
        <v/>
      </c>
      <c r="GE127" s="42">
        <f>Tasks[[#This Row],[_WeightDur]]*Tasks[[#This Row],[_PlannedPct]]</f>
        <v/>
      </c>
      <c r="GF12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7" s="42">
        <f>IF(AND(Tasks[[#This Row],[_IsLeaf]]=1,N(Tasks[[#This Row],[_Days]])=0,Tasks[[#This Row],[_LeafProgress]]&lt;1),Tasks[[#This Row],[_ShownFcstFinish]]+Tasks[[#This Row],[_Row]]/100000,"")</f>
        <v/>
      </c>
      <c r="GH12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7" s="42">
        <f>IF(Tasks[[#This Row],[Task Name]]="","",LEFT(Tasks[[#This Row],[WBS]],FIND(".",Tasks[[#This Row],[WBS]]&amp;".")-1))</f>
        <v/>
      </c>
      <c r="GJ127" s="42">
        <f>IF(AND(Tasks[[#This Row],[Task Name]]&lt;&gt;"",Tasks[[#This Row],[_Level]]=1),Tasks[[#This Row],[_Row]],"")</f>
        <v/>
      </c>
      <c r="GK127" s="42">
        <f>IF(AND(Tasks[[#This Row],[_IsLeaf]]=1,N(Tasks[[#This Row],[_Days]])=0),Tasks[[#This Row],[Planned Finish]]+Tasks[[#This Row],[_Row]]/100000,"")</f>
        <v/>
      </c>
      <c r="GL127" s="42">
        <f>IF(AND(Tasks[[#This Row],[_IsLeaf]]=1,Tasks[[#This Row],[_LeafProgress]]&lt;1,OR(N(Tasks[[#This Row],[Finish Var]])&gt;0,Tasks[[#This Row],[Status]]="Late Start")),MAX(0,Tasks[[#This Row],[Finish Var]])+1-Tasks[[#This Row],[_Row]]/1000000,"")</f>
        <v/>
      </c>
      <c r="GM127" s="42">
        <f>IF(AND(Tasks[[#This Row],[_IsLeaf]]=1,N(Tasks[[#This Row],[Actual Start]])=0,Tasks[[#This Row],[_ShownFcstStart]]&gt;=StatusDate,Tasks[[#This Row],[_ShownFcstStart]]&lt;=LookaheadEnd),Tasks[[#This Row],[_ShownFcstStart]]+Tasks[[#This Row],[_Row]]/100000,"")</f>
        <v/>
      </c>
      <c r="GN127" s="42">
        <f>IF(AND(Tasks[[#This Row],[_IsLeaf]]=1,Tasks[[#This Row],[_LeafProgress]]&lt;1,Tasks[[#This Row],[_ShownFcstFinish]]&gt;=StatusDate,Tasks[[#This Row],[_ShownFcstFinish]]&lt;=LookaheadEnd),Tasks[[#This Row],[_ShownFcstFinish]]+Tasks[[#This Row],[_Row]]/100000,"")</f>
        <v/>
      </c>
      <c r="GO127" s="42">
        <f>IF(Tasks[[#This Row],[_LeafCritical]],Tasks[[#This Row],[_ShownFcstStart]]+Tasks[[#This Row],[_Row]]/100000,"")</f>
        <v/>
      </c>
      <c r="GP127" s="42">
        <f>Tasks[[#This Row],[_LeafWork]]*Tasks[[#This Row],[_LeafProgress]]</f>
        <v/>
      </c>
      <c r="GQ127" s="88">
        <f>IF(AND(Tasks[[#This Row],[_IsLeaf]]=1,Tasks[[#This Row],[_LeafProgress]]&gt;=1),IF(N(Tasks[[#This Row],[Actual Finish]])&gt;0,Tasks[[#This Row],[Actual Finish]],Tasks[[#This Row],[_ShownFcstFinish]]),"")</f>
        <v/>
      </c>
      <c r="GR127" s="42">
        <f>IF(Tasks[[#This Row],[_IsLeaf]]=1,N(Tasks[[#This Row],[Story Points]]),0)</f>
        <v/>
      </c>
      <c r="GS127" s="42">
        <f>""</f>
        <v/>
      </c>
      <c r="GT127" s="42">
        <f>IF(Tasks[[#This Row],[Task Name]]="",FALSE(),AND(Tasks[[#This Row],[_IsLeaf]]=1,N(Tasks[[#This Row],[_Days]])=0))</f>
        <v/>
      </c>
      <c r="GU127" s="88">
        <f>IF(Tasks[[#This Row],[Task Name]]="",0,IF(AND(Tasks[[#This Row],[_IsLeaf]]=1,NOT(Tasks[[#This Row],[_IsMilestone]]),N(Tasks[[#This Row],[Progress]])&gt;0),Tasks[[#This Row],[Start]],0))</f>
        <v/>
      </c>
      <c r="GV127" s="88">
        <f>IF(Tasks[[#This Row],[_DoneFrom]]=0,0,IF(Tasks[[#This Row],[Progress]]&gt;=1,Tasks[[#This Row],[Finish]],MAX(Tasks[[#This Row],[_DoneFrom]],Tasks[[#This Row],[Start]]+ROUND((Tasks[[#This Row],[Finish]]-Tasks[[#This Row],[Start]]+1)*Tasks[[#This Row],[Progress]],0)-1)))</f>
        <v/>
      </c>
      <c r="GW127" s="88">
        <f>IF(Tasks[[#This Row],[Task Name]]="",0,IF(OR(NOT(Tasks[[#This Row],[_IsLeaf]]=1),Tasks[[#This Row],[_IsMilestone]],N(Tasks[[#This Row],[Progress]])&gt;=1),0,IF(Tasks[[#This Row],[_DoneTo]]&gt;0,Tasks[[#This Row],[_DoneTo]]+1,Tasks[[#This Row],[Start]])))</f>
        <v/>
      </c>
      <c r="GX127" s="88">
        <f>IF(Tasks[[#This Row],[_RemFrom]]=0,0,Tasks[[#This Row],[Finish]])</f>
        <v/>
      </c>
      <c r="GY127" s="42">
        <f>IF(Tasks[[#This Row],[Task Name]]="",FALSE(),OR(NOT(BaselineSet),N(Tasks[[#This Row],[Baseline Start]])&gt;0))</f>
        <v/>
      </c>
      <c r="GZ127" s="42">
        <f>IF(AND(Sandbox="Yes",L_PARSE_DURATION(Tasks[[#This Row],[Sandbox Duration]])&lt;&gt;""),L_PARSE_DURATION(Tasks[[#This Row],[Sandbox Duration]]),L_PARSE_DURATION(Tasks[[#This Row],[Duration]]))</f>
        <v/>
      </c>
      <c r="HA12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7" s="42">
        <f>IF(Tasks[[#This Row],[_IsLeaf]]=1,Tasks[[#This Row],[_Row]],"")</f>
        <v/>
      </c>
      <c r="HD127" s="42">
        <f>IFERROR(INDEX(Tasks[UID],SMALL(Tasks[_PickKey],Tasks[[#This Row],[_Row]]))&amp;" "&amp;INDEX(Tasks[Task Name],SMALL(Tasks[_PickKey],Tasks[[#This Row],[_Row]])),"")</f>
        <v/>
      </c>
      <c r="HE127" s="42">
        <f>IF(Tasks[[#This Row],[Task Name]]="","",IF(Tasks[[#This Row],[_IsSummary]],NETWORKDAYS.INTL(Tasks[[#This Row],[Start]],Tasks[[#This Row],[Finish]],WorkWeek,Holidays),N(Tasks[[#This Row],[_Days]])))</f>
        <v/>
      </c>
      <c r="HF127" s="42">
        <f>IF(Tasks[[#This Row],[Expected]]="",0,((Tasks[[#This Row],[Pessimistic]]-Tasks[[#This Row],[Optimistic]])/6)^2)</f>
        <v/>
      </c>
      <c r="HG127" s="42">
        <f>IF(Tasks[[#This Row],[Expected]]="",0,Tasks[[#This Row],[Expected]]-N(Tasks[[#This Row],[_Days]]))</f>
        <v/>
      </c>
    </row>
    <row r="128">
      <c r="A128" s="21">
        <f>IF(Tasks[[#This Row],[Task Name]]="","",COUNTA(Tasks[[#Headers],[Task Name]]:Tasks[[#This Row],[Task Name]])-1)</f>
        <v/>
      </c>
      <c r="B128" s="22" t="n">
        <v>136</v>
      </c>
      <c r="C128" s="22" t="n"/>
      <c r="D128" s="23" t="n"/>
      <c r="E128" s="22" t="n"/>
      <c r="F128" s="23" t="n"/>
      <c r="G128" s="22" t="n"/>
      <c r="H128" s="22" t="n"/>
      <c r="I128" s="23" t="n"/>
      <c r="J128" s="22" t="n"/>
      <c r="K128" s="22" t="n"/>
      <c r="L128" s="23" t="n"/>
      <c r="M128" s="22" t="n"/>
      <c r="N128" s="22" t="n"/>
      <c r="O128" s="23" t="n"/>
      <c r="P128" s="22" t="n"/>
      <c r="Q128" s="22" t="n"/>
      <c r="R128" s="23" t="n"/>
      <c r="S128" s="23" t="n"/>
      <c r="T128" s="82" t="n"/>
      <c r="U128" s="23" t="n"/>
      <c r="V128" s="82" t="n"/>
      <c r="W128" s="23" t="n"/>
      <c r="X128" s="82" t="n"/>
      <c r="Y128" s="23" t="n"/>
      <c r="Z128" s="82" t="n"/>
      <c r="AA128" s="23" t="n"/>
      <c r="AB128" s="23" t="n"/>
      <c r="AC128" s="7" t="n"/>
      <c r="AD128" s="7" t="n"/>
      <c r="AE128" s="61">
        <f>IF(Tasks[[#This Row],[Task Name]]="","",IF(Tasks[[#This Row],[_IsSummary]],MIN(INDEX(Tasks[_ShownFcstStart],Tasks[[#This Row],[_Row]]+1):INDEX(Tasks[_ShownFcstStart],Tasks[[#This Row],[_Row]]+Tasks[[#This Row],[_Descendants]])),Tasks[[#This Row],[_ShownFcstStart]]))</f>
        <v/>
      </c>
      <c r="AF128" s="61">
        <f>IF(Tasks[[#This Row],[Task Name]]="","",IF(Tasks[[#This Row],[_IsSummary]],MAX(INDEX(Tasks[_ShownFcstFinish],Tasks[[#This Row],[_Row]]+1):INDEX(Tasks[_ShownFcstFinish],Tasks[[#This Row],[_Row]]+Tasks[[#This Row],[_Descendants]])),Tasks[[#This Row],[_ShownFcstFinish]]))</f>
        <v/>
      </c>
      <c r="AG128" s="21">
        <f>""</f>
        <v/>
      </c>
      <c r="AH128" s="23" t="n"/>
      <c r="AI12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8" s="7" t="n"/>
      <c r="AK128" s="22" t="n"/>
      <c r="AL128" s="23" t="n"/>
      <c r="AM128" s="7" t="n"/>
      <c r="AN128" s="21">
        <f>IF(Tasks[[#This Row],[Task Name]]="","",IF(Tasks[[#This Row],[Finish]]&gt;=Tasks[[#This Row],[Planned Finish]],NETWORKDAYS.INTL(Tasks[[#This Row],[Planned Finish]],Tasks[[#This Row],[Finish]],WorkWeek,Holidays)-1,1-NETWORKDAYS.INTL(Tasks[[#This Row],[Finish]],Tasks[[#This Row],[Planned Finish]],WorkWeek,Holidays)))</f>
        <v/>
      </c>
      <c r="AO128" s="21">
        <f>IF(Tasks[[#This Row],[Task Name]]="","",IF(Tasks[[#This Row],[Progress]]&gt;=1,"Complete",IF(OR(N(Tasks[[#This Row],[Actual Start]])&gt;0,Tasks[[#This Row],[Progress]]&gt;0),IF(Tasks[[#This Row],[Finish Var]]&gt;0,"Behind","In Progress"),IF(Tasks[[#This Row],[Planned Start]]&lt;StatusDate,"Late Start","Not Started"))))</f>
        <v/>
      </c>
      <c r="AP128" s="21">
        <f>IF(Tasks[[#This Row],[Task Name]]="","",IF(IF(Tasks[[#This Row],[_IsSummary]],COUNTIF(INDEX(Tasks[_LeafCritical],Tasks[[#This Row],[_Row]]+1):INDEX(Tasks[_LeafCritical],Tasks[[#This Row],[_Row]]+Tasks[[#This Row],[_Descendants]]),TRUE())&gt;0,Tasks[[#This Row],[_LeafCritical]]),"Yes",""))</f>
        <v/>
      </c>
      <c r="AQ128" s="61">
        <f>IF(Tasks[[#This Row],[Task Name]]="","",IF(N(Tasks[[#This Row],[Baseline Start]])&gt;0,Tasks[[#This Row],[Baseline Start]],Tasks[[#This Row],[_CalcStart]]))</f>
        <v/>
      </c>
      <c r="AR128" s="61">
        <f>IF(Tasks[[#This Row],[Task Name]]="","",IF(N(Tasks[[#This Row],[Baseline Finish]])&gt;0,Tasks[[#This Row],[Baseline Finish]],Tasks[[#This Row],[_CalcFinish]]))</f>
        <v/>
      </c>
      <c r="AS128" s="21">
        <f>IF(Tasks[[#This Row],[Task Name]]="","",IF(Tasks[[#This Row],[Start]]&gt;=Tasks[[#This Row],[Planned Start]],NETWORKDAYS.INTL(Tasks[[#This Row],[Planned Start]],Tasks[[#This Row],[Start]],WorkWeek,Holidays)-1,1-NETWORKDAYS.INTL(Tasks[[#This Row],[Start]],Tasks[[#This Row],[Planned Start]],WorkWeek,Holidays)))</f>
        <v/>
      </c>
      <c r="AT128" s="61">
        <f>IF(Tasks[[#This Row],[Task Name]]="","",IF(Tasks[[#This Row],[_IsSummary]],MIN(INDEX(Tasks[_LeafLateStart],Tasks[[#This Row],[_Row]]+1):INDEX(Tasks[_LeafLateStart],Tasks[[#This Row],[_Row]]+Tasks[[#This Row],[_Descendants]])),Tasks[[#This Row],[_LeafLateStart]]))</f>
        <v/>
      </c>
      <c r="AU128" s="61">
        <f>IF(Tasks[[#This Row],[Task Name]]="","",IF(Tasks[[#This Row],[_IsSummary]],MAX(INDEX(Tasks[_LeafLateFinish],Tasks[[#This Row],[_Row]]+1):INDEX(Tasks[_LeafLateFinish],Tasks[[#This Row],[_Row]]+Tasks[[#This Row],[_Descendants]])),Tasks[[#This Row],[_LeafLateFinish]]))</f>
        <v/>
      </c>
      <c r="AV128" s="21">
        <f>IF(Tasks[[#This Row],[Task Name]]="","",IF(Tasks[[#This Row],[_IsSummary]],MIN(INDEX(Tasks[_LeafTotalSlack],Tasks[[#This Row],[_Row]]+1):INDEX(Tasks[_LeafTotalSlack],Tasks[[#This Row],[_Row]]+Tasks[[#This Row],[_Descendants]])),Tasks[[#This Row],[_LeafTotalSlack]]))</f>
        <v/>
      </c>
      <c r="AW12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3" t="n"/>
      <c r="BA12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f>IF(Tasks[[#This Row],[Task Name]]="","",IF(Tasks[[#This Row],[_Level]]&lt;=OutlineShowLevel,"Yes","No"))</f>
        <v/>
      </c>
      <c r="BE128" s="84">
        <f>IF(Tasks[[#This Row],[Task Name]]="","",IF(Tasks[[#This Row],[_IsSummary]],SUM(INDEX(Tasks[_LeafTotalWork],Tasks[[#This Row],[_Row]]+1):INDEX(Tasks[_LeafTotalWork],Tasks[[#This Row],[_Row]]+Tasks[[#This Row],[_Descendants]])),Tasks[[#This Row],[_LeafTotalWork]]))</f>
        <v/>
      </c>
      <c r="BF128" s="23" t="n"/>
      <c r="BG12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f>""</f>
        <v/>
      </c>
      <c r="BI128" s="85" t="n"/>
      <c r="BJ128" s="22" t="n"/>
      <c r="BK128" s="21">
        <f>IF(OR(Tasks[[#This Row],[Task Name]]="",Tasks[[#This Row],[Baseline Duration]]=""),"",Tasks[[#This Row],[_SpanDays]]-N(Tasks[[#This Row],[Baseline Duration]]))</f>
        <v/>
      </c>
      <c r="BL128" s="84">
        <f>IF(OR(Tasks[[#This Row],[Task Name]]="",Tasks[[#This Row],[Baseline Work]]=""),"",Tasks[[#This Row],[Work]]-N(Tasks[[#This Row],[Baseline Work]]))</f>
        <v/>
      </c>
      <c r="BM128" s="61">
        <f>IF(Tasks[[#This Row],[Task Name]]="","",IF(OR(TakeBaseline="Yes",N(Tasks[[#This Row],[Baseline Start]])=0),Tasks[[#This Row],[Start]],Tasks[[#This Row],[Baseline Start]]))</f>
        <v/>
      </c>
      <c r="BN128" s="61">
        <f>IF(Tasks[[#This Row],[Task Name]]="","",IF(OR(TakeBaseline="Yes",N(Tasks[[#This Row],[Baseline Finish]])=0),Tasks[[#This Row],[Finish]],Tasks[[#This Row],[Baseline Finish]]))</f>
        <v/>
      </c>
      <c r="BO128" s="21">
        <f>IF(Tasks[[#This Row],[Task Name]]="","",IF(OR(TakeBaseline="Yes",N(Tasks[[#This Row],[Baseline Duration]])=0),Tasks[[#This Row],[_SpanDays]],Tasks[[#This Row],[Baseline Duration]]))</f>
        <v/>
      </c>
      <c r="BP128" s="84">
        <f>IF(Tasks[[#This Row],[Task Name]]="","",IF(OR(TakeBaseline="Yes",N(Tasks[[#This Row],[Baseline Work]])=0),Tasks[[#This Row],[Work]],Tasks[[#This Row],[Baseline Work]]))</f>
        <v/>
      </c>
      <c r="BQ128" s="7" t="n"/>
      <c r="BR128" s="7" t="n"/>
      <c r="BS128" s="22" t="n"/>
      <c r="BT128" s="86" t="n"/>
      <c r="BU128" s="23" t="n"/>
      <c r="BV128" s="23" t="n"/>
      <c r="BW128" s="23" t="n"/>
      <c r="BX128" s="87">
        <f>IF(AND(Tasks[[#This Row],[_IsLeaf]]=1,ISNUMBER(Tasks[[#This Row],[Optimistic]]),ISNUMBER(Tasks[[#This Row],[Pessimistic]])),ROUND((Tasks[[#This Row],[Optimistic]]+4*N(Tasks[[#This Row],[_Days]])+Tasks[[#This Row],[Pessimistic]])/6,1),"")</f>
        <v/>
      </c>
      <c r="BY128" s="85" t="n"/>
      <c r="BZ128" s="85" t="n"/>
      <c r="CA128" s="22" t="n"/>
      <c r="CB128" s="42">
        <f>IF(Tasks[[#This Row],[Task Name]]="","",MAX(1,N(Tasks[[#This Row],[Level]])))</f>
        <v/>
      </c>
      <c r="CC128" s="42">
        <f>ROW()-ROW(Tasks[[#Headers],[ID]])</f>
        <v/>
      </c>
      <c r="CD128" s="42">
        <f>IF(OR(Tasks[[#This Row],[Task Name]]="",Tasks[[#This Row],[_Level]]&lt;=1),0,IFERROR(LOOKUP(2,1/(Tasks[[#Headers],[_Level]]:Tasks[[#This Row],[_Level]]=Tasks[[#This Row],[_Level]]-1),ROW(Tasks[[#Headers],[_Level]]:Tasks[[#This Row],[_Level]])),0))</f>
        <v/>
      </c>
      <c r="CE128" s="42">
        <f>IFERROR(N(INDEX(Tasks[_Level],Tasks[[#This Row],[_Row]]+1)),0)</f>
        <v/>
      </c>
      <c r="CF128" s="42">
        <f>AND(Tasks[[#This Row],[Task Name]]&lt;&gt;"",Tasks[[#This Row],[_NextLevel]]&gt;Tasks[[#This Row],[_Level]])</f>
        <v/>
      </c>
      <c r="CG128" s="42">
        <f>IF(Tasks[[#This Row],[_IsSummary]],COUNTIF(Tasks[WBS],Tasks[[#This Row],[WBS]]&amp;".*"),0)</f>
        <v/>
      </c>
      <c r="CH128" s="42">
        <f>IF(AND(Tasks[[#This Row],[Task Name]]&lt;&gt;"",NOT(Tasks[[#This Row],[_IsSummary]])),1,0)</f>
        <v/>
      </c>
      <c r="CI128" s="42">
        <f>IF(N(Tasks[[#This Row],[_Pred1UID]])=0,0,IFERROR(MATCH(Tasks[[#This Row],[_Pred1UID]],Tasks[UID],0),-1))</f>
        <v/>
      </c>
      <c r="CJ128" s="42">
        <f>IF(N(Tasks[[#This Row],[_Pred2UID]])=0,0,IFERROR(MATCH(Tasks[[#This Row],[_Pred2UID]],Tasks[UID],0),-1))</f>
        <v/>
      </c>
      <c r="CK128" s="42">
        <f>IF(N(Tasks[[#This Row],[_Pred3UID]])=0,0,IFERROR(MATCH(Tasks[[#This Row],[_Pred3UID]],Tasks[UID],0),-1))</f>
        <v/>
      </c>
      <c r="CL128" s="42">
        <f>IF(N(Tasks[[#This Row],[_Pred4UID]])=0,0,IFERROR(MATCH(Tasks[[#This Row],[_Pred4UID]],Tasks[UID],0),-1))</f>
        <v/>
      </c>
      <c r="CM12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8" s="88">
        <f>IF(N(Tasks[[#This Row],[Constraint Date]])=0,0,IF(AND(OR(Tasks[[#This Row],[_ConstraintCode]]=3,Tasks[[#This Row],[_ConstraintCode]]=6,Tasks[[#This Row],[_ConstraintCode]]=7),N(Tasks[[#This Row],[_Days]])&gt;1),WORKDAY.INTL(N(Tasks[[#This Row],[Constraint Date]]),-(N(Tasks[[#This Row],[_Days]])-1),WorkWeek,Holidays),N(Tasks[[#This Row],[Constraint Date]])))</f>
        <v/>
      </c>
      <c r="CO128" s="88">
        <f>IF(OR(Tasks[[#This Row],[_ConstraintCode]]=2,Tasks[[#This Row],[_ConstraintCode]]=3,Tasks[[#This Row],[_ConstraintCode]]=4,Tasks[[#This Row],[_ConstraintCode]]=6),Tasks[[#This Row],[_ConstraintStart]],0)</f>
        <v/>
      </c>
      <c r="CP128" s="88">
        <f>IF(OR(Tasks[[#This Row],[_ConstraintCode]]=2,Tasks[[#This Row],[_ConstraintCode]]=3,Tasks[[#This Row],[_ConstraintCode]]=5,Tasks[[#This Row],[_ConstraintCode]]=7),Tasks[[#This Row],[_ConstraintStart]],2958465)</f>
        <v/>
      </c>
      <c r="CQ12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8" s="88">
        <f>IF(NOT(Tasks[[#This Row],[_IsLeaf]]=1),"",IF(N(Tasks[[#This Row],[_Days]])&lt;=0,Tasks[[#This Row],[_LeafCalcStart]],WORKDAY.INTL(Tasks[[#This Row],[_LeafCalcStart]],Tasks[[#This Row],[_Days]]-1,WorkWeek,Holidays)))</f>
        <v/>
      </c>
      <c r="CS12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8" s="42">
        <f>IF(Tasks[[#This Row],[_Predecessors]]="","",TRIM(MID(SUBSTITUTE(SUBSTITUTE(SUBSTITUTE(UPPER(Tasks[[#This Row],[_Predecessors]]),";",",")," ",""),",",REPT(" ",99)),1,99)))</f>
        <v/>
      </c>
      <c r="CV128" s="42">
        <f>IF(Tasks[[#This Row],[_Pred1Text]]="","",IFERROR(VALUE(LEFT(Tasks[[#This Row],[_Pred1Text]],MIN(FIND("F",Tasks[[#This Row],[_Pred1Text]]&amp;"F"),FIND("S",Tasks[[#This Row],[_Pred1Text]]&amp;"S"),FIND("+",Tasks[[#This Row],[_Pred1Text]]&amp;"+"),FIND("-",Tasks[[#This Row],[_Pred1Text]]&amp;"-"))-1)),""))</f>
        <v/>
      </c>
      <c r="CW12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8" s="42">
        <f>IF(Tasks[[#This Row],[_Pred1Text]]="","",TRIM(MID(SUBSTITUTE(SUBSTITUTE(SUBSTITUTE(UPPER(Tasks[[#This Row],[_Predecessors]]),";",",")," ",""),",",REPT(" ",99)),100,99)))</f>
        <v/>
      </c>
      <c r="CZ128" s="42">
        <f>IF(Tasks[[#This Row],[_Pred2Text]]="","",IFERROR(VALUE(LEFT(Tasks[[#This Row],[_Pred2Text]],MIN(FIND("F",Tasks[[#This Row],[_Pred2Text]]&amp;"F"),FIND("S",Tasks[[#This Row],[_Pred2Text]]&amp;"S"),FIND("+",Tasks[[#This Row],[_Pred2Text]]&amp;"+"),FIND("-",Tasks[[#This Row],[_Pred2Text]]&amp;"-"))-1)),""))</f>
        <v/>
      </c>
      <c r="DA12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8" s="42">
        <f>IF(Tasks[[#This Row],[_Pred2Text]]="","",TRIM(MID(SUBSTITUTE(SUBSTITUTE(SUBSTITUTE(UPPER(Tasks[[#This Row],[_Predecessors]]),";",",")," ",""),",",REPT(" ",99)),199,99)))</f>
        <v/>
      </c>
      <c r="DD128" s="42">
        <f>IF(Tasks[[#This Row],[_Pred3Text]]="","",IFERROR(VALUE(LEFT(Tasks[[#This Row],[_Pred3Text]],MIN(FIND("F",Tasks[[#This Row],[_Pred3Text]]&amp;"F"),FIND("S",Tasks[[#This Row],[_Pred3Text]]&amp;"S"),FIND("+",Tasks[[#This Row],[_Pred3Text]]&amp;"+"),FIND("-",Tasks[[#This Row],[_Pred3Text]]&amp;"-"))-1)),""))</f>
        <v/>
      </c>
      <c r="DE12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8" s="42">
        <f>IF(Tasks[[#This Row],[_Pred3Text]]="","",TRIM(MID(SUBSTITUTE(SUBSTITUTE(SUBSTITUTE(UPPER(Tasks[[#This Row],[_Predecessors]]),";",",")," ",""),",",REPT(" ",99)),298,99)))</f>
        <v/>
      </c>
      <c r="DH128" s="42">
        <f>IF(Tasks[[#This Row],[_Pred4Text]]="","",IFERROR(VALUE(LEFT(Tasks[[#This Row],[_Pred4Text]],MIN(FIND("F",Tasks[[#This Row],[_Pred4Text]]&amp;"F"),FIND("S",Tasks[[#This Row],[_Pred4Text]]&amp;"S"),FIND("+",Tasks[[#This Row],[_Pred4Text]]&amp;"+"),FIND("-",Tasks[[#This Row],[_Pred4Text]]&amp;"-"))-1)),""))</f>
        <v/>
      </c>
      <c r="DI12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8" s="42">
        <f>IF(OR(Tasks[[#This Row],[Task Name]]="",Tasks[[#This Row],[_Resources]]=""),"",TRIM(MID(SUBSTITUTE(Tasks[[#This Row],[_Resources]],",",REPT(" ",99)),1,99)))</f>
        <v/>
      </c>
      <c r="DL128" s="42">
        <f>IF(Tasks[[#This Row],[_Res1Text]]="","",TRIM(MID(SUBSTITUTE(Tasks[[#This Row],[_Resources]],",",REPT(" ",99)),100,99)))</f>
        <v/>
      </c>
      <c r="DM128" s="42">
        <f>IF(Tasks[[#This Row],[_Res2Text]]="","",TRIM(MID(SUBSTITUTE(Tasks[[#This Row],[_Resources]],",",REPT(" ",99)),199,99)))</f>
        <v/>
      </c>
      <c r="DN128" s="42">
        <f>IF(Tasks[[#This Row],[_Res3Text]]="","",TRIM(MID(SUBSTITUTE(Tasks[[#This Row],[_Resources]],",",REPT(" ",99)),298,99)))</f>
        <v/>
      </c>
      <c r="DO128" s="42">
        <f>IF(Tasks[[#This Row],[_Res1Text]]="",0,IFERROR(MATCH(TRIM(LEFT(Tasks[[#This Row],[_Res1Text]],FIND("[",Tasks[[#This Row],[_Res1Text]]&amp;"[")-1)),res_Name,0),IFERROR(MATCH(TRIM(LEFT(Tasks[[#This Row],[_Res1Text]],FIND("[",Tasks[[#This Row],[_Res1Text]]&amp;"[")-1)),res_Initials,0),0)))</f>
        <v/>
      </c>
      <c r="DP128" s="42">
        <f>IF(Tasks[[#This Row],[_Res2Text]]="",0,IFERROR(MATCH(TRIM(LEFT(Tasks[[#This Row],[_Res2Text]],FIND("[",Tasks[[#This Row],[_Res2Text]]&amp;"[")-1)),res_Name,0),IFERROR(MATCH(TRIM(LEFT(Tasks[[#This Row],[_Res2Text]],FIND("[",Tasks[[#This Row],[_Res2Text]]&amp;"[")-1)),res_Initials,0),0)))</f>
        <v/>
      </c>
      <c r="DQ128" s="42">
        <f>IF(Tasks[[#This Row],[_Res3Text]]="",0,IFERROR(MATCH(TRIM(LEFT(Tasks[[#This Row],[_Res3Text]],FIND("[",Tasks[[#This Row],[_Res3Text]]&amp;"[")-1)),res_Name,0),IFERROR(MATCH(TRIM(LEFT(Tasks[[#This Row],[_Res3Text]],FIND("[",Tasks[[#This Row],[_Res3Text]]&amp;"[")-1)),res_Initials,0),0)))</f>
        <v/>
      </c>
      <c r="DR128" s="42">
        <f>IF(Tasks[[#This Row],[_Res4Text]]="",0,IFERROR(MATCH(TRIM(LEFT(Tasks[[#This Row],[_Res4Text]],FIND("[",Tasks[[#This Row],[_Res4Text]]&amp;"[")-1)),res_Name,0),IFERROR(MATCH(TRIM(LEFT(Tasks[[#This Row],[_Res4Text]],FIND("[",Tasks[[#This Row],[_Res4Text]]&amp;"[")-1)),res_Initials,0),0)))</f>
        <v/>
      </c>
      <c r="DS128" s="42">
        <f>IF(Tasks[[#This Row],[_Res1Text]]="","",IF(Tasks[[#This Row],[_Res1Row]]&gt;0,INDEX(res_Name,Tasks[[#This Row],[_Res1Row]]),TRIM(LEFT(Tasks[[#This Row],[_Res1Text]],FIND("[",Tasks[[#This Row],[_Res1Text]]&amp;"[")-1))))</f>
        <v/>
      </c>
      <c r="DT12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8" s="42">
        <f>IF(NOT(Tasks[[#This Row],[_IsLeaf]]=1),0,(Tasks[[#This Row],[_Resource1]]&lt;&gt;"")+(Tasks[[#This Row],[_Res2]]&lt;&gt;"")+(Tasks[[#This Row],[_Res3]]&lt;&gt;"")+(Tasks[[#This Row],[_Res4]]&lt;&gt;""))</f>
        <v/>
      </c>
      <c r="DV128" s="42">
        <f>IF(Tasks[[#This Row],[_Res2Text]]="","",IF(Tasks[[#This Row],[_Res2Row]]&gt;0,INDEX(res_Name,Tasks[[#This Row],[_Res2Row]]),TRIM(LEFT(Tasks[[#This Row],[_Res2Text]],FIND("[",Tasks[[#This Row],[_Res2Text]]&amp;"[")-1))))</f>
        <v/>
      </c>
      <c r="DW12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8" s="42">
        <f>IF(OR(NOT(Tasks[[#This Row],[_IsLeaf]]=1),Tasks[[#This Row],[_Res2Row]]=0),0,N(Tasks[[#This Row],[_Days]])*HoursPerDay*IF(Tasks[[#This Row],[_Res2Units]]="",DefaultUnits,Tasks[[#This Row],[_Res2Units]]))</f>
        <v/>
      </c>
      <c r="DY128" s="42">
        <f>IF(AND(AND(Tasks[[#This Row],[_IsLeaf]]=1,Tasks[[#This Row],[_LeafTotalWork]]&gt;0),Tasks[[#This Row],[_Res2Work]]&gt;0),Tasks[[#This Row],[_Res2Work]]/(Tasks[[#This Row],[_FinishWorkday]]-Tasks[[#This Row],[_StartWorkday]]+1),0)</f>
        <v/>
      </c>
      <c r="DZ128" s="42">
        <f>Tasks[[#This Row],[_Res2WorkPerWD]]*MAX(0,Tasks[[#This Row],[_StartWorkday]]-1)</f>
        <v/>
      </c>
      <c r="EA128" s="42">
        <f>Tasks[[#This Row],[_Res2Work]]*Tasks[[#This Row],[_LeafProgress]]</f>
        <v/>
      </c>
      <c r="EB128" s="42">
        <f>IF(Tasks[[#This Row],[_Res3Text]]="","",IF(Tasks[[#This Row],[_Res3Row]]&gt;0,INDEX(res_Name,Tasks[[#This Row],[_Res3Row]]),TRIM(LEFT(Tasks[[#This Row],[_Res3Text]],FIND("[",Tasks[[#This Row],[_Res3Text]]&amp;"[")-1))))</f>
        <v/>
      </c>
      <c r="EC12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8" s="42">
        <f>IF(OR(NOT(Tasks[[#This Row],[_IsLeaf]]=1),Tasks[[#This Row],[_Res3Row]]=0),0,N(Tasks[[#This Row],[_Days]])*HoursPerDay*IF(Tasks[[#This Row],[_Res3Units]]="",DefaultUnits,Tasks[[#This Row],[_Res3Units]]))</f>
        <v/>
      </c>
      <c r="EE128" s="42">
        <f>IF(AND(AND(Tasks[[#This Row],[_IsLeaf]]=1,Tasks[[#This Row],[_LeafTotalWork]]&gt;0),Tasks[[#This Row],[_Res3Work]]&gt;0),Tasks[[#This Row],[_Res3Work]]/(Tasks[[#This Row],[_FinishWorkday]]-Tasks[[#This Row],[_StartWorkday]]+1),0)</f>
        <v/>
      </c>
      <c r="EF128" s="42">
        <f>Tasks[[#This Row],[_Res3WorkPerWD]]*MAX(0,Tasks[[#This Row],[_StartWorkday]]-1)</f>
        <v/>
      </c>
      <c r="EG128" s="42">
        <f>Tasks[[#This Row],[_Res3Work]]*Tasks[[#This Row],[_LeafProgress]]</f>
        <v/>
      </c>
      <c r="EH128" s="42">
        <f>IF(Tasks[[#This Row],[_Res4Text]]="","",IF(Tasks[[#This Row],[_Res4Row]]&gt;0,INDEX(res_Name,Tasks[[#This Row],[_Res4Row]]),TRIM(LEFT(Tasks[[#This Row],[_Res4Text]],FIND("[",Tasks[[#This Row],[_Res4Text]]&amp;"[")-1))))</f>
        <v/>
      </c>
      <c r="EI12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8" s="42">
        <f>IF(OR(NOT(Tasks[[#This Row],[_IsLeaf]]=1),Tasks[[#This Row],[_Res4Row]]=0),0,N(Tasks[[#This Row],[_Days]])*HoursPerDay*IF(Tasks[[#This Row],[_Res4Units]]="",DefaultUnits,Tasks[[#This Row],[_Res4Units]]))</f>
        <v/>
      </c>
      <c r="EK128" s="42">
        <f>IF(AND(AND(Tasks[[#This Row],[_IsLeaf]]=1,Tasks[[#This Row],[_LeafTotalWork]]&gt;0),Tasks[[#This Row],[_Res4Work]]&gt;0),Tasks[[#This Row],[_Res4Work]]/(Tasks[[#This Row],[_FinishWorkday]]-Tasks[[#This Row],[_StartWorkday]]+1),0)</f>
        <v/>
      </c>
      <c r="EL128" s="42">
        <f>Tasks[[#This Row],[_Res4WorkPerWD]]*MAX(0,Tasks[[#This Row],[_StartWorkday]]-1)</f>
        <v/>
      </c>
      <c r="EM128" s="42">
        <f>Tasks[[#This Row],[_Res4Work]]*Tasks[[#This Row],[_LeafProgress]]</f>
        <v/>
      </c>
      <c r="EN128" s="42">
        <f>IF(ISNUMBER(Tasks[[#This Row],[% Complete]]),Tasks[[#This Row],[% Complete]],IF(Tasks[[#This Row],[Stage]]="",0,IFERROR(INDEX(stg_Pct,MATCH(Tasks[[#This Row],[Stage]],stg_Name,0)),0)))</f>
        <v/>
      </c>
      <c r="EO128" s="42">
        <f>IF(NOT(Tasks[[#This Row],[_IsLeaf]]=1),0,IF(N(Tasks[[#This Row],[Actual Finish]])&gt;0,1,MIN(1,Tasks[[#This Row],[_Pct]])))</f>
        <v/>
      </c>
      <c r="EP128" s="42">
        <f>IF(OR(NOT(Tasks[[#This Row],[_IsLeaf]]=1),Tasks[[#This Row],[_Res1Row]]=0),0,N(Tasks[[#This Row],[_Days]])*HoursPerDay*IF(Tasks[[#This Row],[_Units1]]="",DefaultUnits,Tasks[[#This Row],[_Units1]]))</f>
        <v/>
      </c>
      <c r="EQ128" s="42">
        <f>Tasks[[#This Row],[_LeafWork]]+Tasks[[#This Row],[_Res2Work]]+Tasks[[#This Row],[_Res3Work]]+Tasks[[#This Row],[_Res4Work]]</f>
        <v/>
      </c>
      <c r="ER12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8" s="42">
        <f>IF(NOT(Tasks[[#This Row],[_IsLeaf]]=1),0,MAX(_xlfn.MAXIFS(Tasks[_Row],Tasks[_Pred1UID],Tasks[[#This Row],[UID]]),_xlfn.MAXIFS(Tasks[_Row],Tasks[_Pred2UID],Tasks[[#This Row],[UID]]),_xlfn.MAXIFS(Tasks[_Row],Tasks[_Pred3UID],Tasks[[#This Row],[UID]]),_xlfn.MAXIFS(Tasks[_Row],Tasks[_Pred4UID],Tasks[[#This Row],[UID]])))</f>
        <v/>
      </c>
      <c r="FA12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8" s="88">
        <f>IF(NOT(Tasks[[#This Row],[_IsLeaf]]=1),"",IF(N(Tasks[[#This Row],[_Days]])&lt;=0,Tasks[[#This Row],[_LeafLateFinish]],WORKDAY.INTL(Tasks[[#This Row],[_LeafLateFinish]],-(Tasks[[#This Row],[_Days]]-1),WorkWeek,Holidays)))</f>
        <v/>
      </c>
      <c r="FD12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8" s="42">
        <f>AND(Tasks[[#This Row],[_IsLeaf]]=1,Tasks[[#This Row],[_LeafProgress]]&lt;1,N(Tasks[[#This Row],[_LeafTotalSlack]])&lt;=CriticalSlackDays)</f>
        <v/>
      </c>
      <c r="FF128" s="42">
        <f>IF(AND(Tasks[[#This Row],[_IsLeaf]]=1,Tasks[[#This Row],[_ConstraintCode]]=1,Tasks[[#This Row],[Mode]]&lt;&gt;"Manual",N(Tasks[[#This Row],[Actual Start]])=0),MAX(0,N(Tasks[[#This Row],[Free Slack]])),0)</f>
        <v/>
      </c>
      <c r="FG128" s="88">
        <f>IF(NOT(Tasks[[#This Row],[_IsLeaf]]=1),"",IF(Tasks[[#This Row],[_AlapShift]]=0,Tasks[[#This Row],[_LeafCalcStart]],WORKDAY.INTL(Tasks[[#This Row],[_LeafCalcStart]],Tasks[[#This Row],[_AlapShift]],WorkWeek,Holidays)))</f>
        <v/>
      </c>
      <c r="FH128" s="88">
        <f>IF(NOT(Tasks[[#This Row],[_IsLeaf]]=1),"",IF(Tasks[[#This Row],[_AlapShift]]=0,Tasks[[#This Row],[_LeafCalcFinish]],WORKDAY.INTL(Tasks[[#This Row],[_LeafCalcFinish]],Tasks[[#This Row],[_AlapShift]],WorkWeek,Holidays)))</f>
        <v/>
      </c>
      <c r="FI128" s="88">
        <f>IF(NOT(Tasks[[#This Row],[_IsLeaf]]=1),"",IF(Tasks[[#This Row],[_AlapShift]]=0,Tasks[[#This Row],[_LeafFcstStart]],WORKDAY.INTL(Tasks[[#This Row],[_LeafFcstStart]],Tasks[[#This Row],[_AlapShift]],WorkWeek,Holidays)))</f>
        <v/>
      </c>
      <c r="FJ128" s="88">
        <f>IF(NOT(Tasks[[#This Row],[_IsLeaf]]=1),"",IF(Tasks[[#This Row],[_AlapShift]]=0,Tasks[[#This Row],[_LeafFcstFinish]],WORKDAY.INTL(Tasks[[#This Row],[_LeafFcstFinish]],Tasks[[#This Row],[_AlapShift]],WorkWeek,Holidays)))</f>
        <v/>
      </c>
      <c r="FK128" s="88">
        <f>IF(Tasks[[#This Row],[Task Name]]="","",IF(Tasks[[#This Row],[_IsSummary]],MIN(INDEX(Tasks[_ShownCalcStart],Tasks[[#This Row],[_Row]]+1):INDEX(Tasks[_ShownCalcStart],Tasks[[#This Row],[_Row]]+Tasks[[#This Row],[_Descendants]])),Tasks[[#This Row],[_ShownCalcStart]]))</f>
        <v/>
      </c>
      <c r="FL128" s="88">
        <f>IF(Tasks[[#This Row],[Task Name]]="","",IF(Tasks[[#This Row],[_IsSummary]],MAX(INDEX(Tasks[_ShownCalcFinish],Tasks[[#This Row],[_Row]]+1):INDEX(Tasks[_ShownCalcFinish],Tasks[[#This Row],[_Row]]+Tasks[[#This Row],[_Descendants]])),Tasks[[#This Row],[_ShownCalcFinish]]))</f>
        <v/>
      </c>
      <c r="FM12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8" s="42">
        <f>IF(AND(Tasks[[#This Row],[_IsLeaf]]=1,Tasks[[#This Row],[_LeafTotalWork]]&gt;0),NETWORKDAYS.INTL(ProjectStart,Tasks[[#This Row],[_ShownFcstStart]],WorkWeek,Holidays),0)</f>
        <v/>
      </c>
      <c r="FZ128" s="42">
        <f>IF(AND(Tasks[[#This Row],[_IsLeaf]]=1,Tasks[[#This Row],[_LeafTotalWork]]&gt;0),MAX(Tasks[[#This Row],[_StartWorkday]],NETWORKDAYS.INTL(ProjectStart,Tasks[[#This Row],[_ShownFcstFinish]],WorkWeek,Holidays)),0)</f>
        <v/>
      </c>
      <c r="GA128" s="42">
        <f>IF(AND(Tasks[[#This Row],[_IsLeaf]]=1,Tasks[[#This Row],[_LeafTotalWork]]&gt;0),Tasks[[#This Row],[_LeafWork]]/(Tasks[[#This Row],[_FinishWorkday]]-Tasks[[#This Row],[_StartWorkday]]+1),0)</f>
        <v/>
      </c>
      <c r="GB128" s="42">
        <f>Tasks[[#This Row],[_WorkPerWorkday]]*(Tasks[[#This Row],[_StartWorkday]]-1)</f>
        <v/>
      </c>
      <c r="GC128" s="42">
        <f>IF(Tasks[[#This Row],[_IsLeaf]]=1,MAX(N(Tasks[[#This Row],[_Days]]),0.1),0)</f>
        <v/>
      </c>
      <c r="GD128" s="42">
        <f>Tasks[[#This Row],[_WeightDur]]*Tasks[[#This Row],[_LeafProgress]]</f>
        <v/>
      </c>
      <c r="GE128" s="42">
        <f>Tasks[[#This Row],[_WeightDur]]*Tasks[[#This Row],[_PlannedPct]]</f>
        <v/>
      </c>
      <c r="GF12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8" s="42">
        <f>IF(AND(Tasks[[#This Row],[_IsLeaf]]=1,N(Tasks[[#This Row],[_Days]])=0,Tasks[[#This Row],[_LeafProgress]]&lt;1),Tasks[[#This Row],[_ShownFcstFinish]]+Tasks[[#This Row],[_Row]]/100000,"")</f>
        <v/>
      </c>
      <c r="GH12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8" s="42">
        <f>IF(Tasks[[#This Row],[Task Name]]="","",LEFT(Tasks[[#This Row],[WBS]],FIND(".",Tasks[[#This Row],[WBS]]&amp;".")-1))</f>
        <v/>
      </c>
      <c r="GJ128" s="42">
        <f>IF(AND(Tasks[[#This Row],[Task Name]]&lt;&gt;"",Tasks[[#This Row],[_Level]]=1),Tasks[[#This Row],[_Row]],"")</f>
        <v/>
      </c>
      <c r="GK128" s="42">
        <f>IF(AND(Tasks[[#This Row],[_IsLeaf]]=1,N(Tasks[[#This Row],[_Days]])=0),Tasks[[#This Row],[Planned Finish]]+Tasks[[#This Row],[_Row]]/100000,"")</f>
        <v/>
      </c>
      <c r="GL128" s="42">
        <f>IF(AND(Tasks[[#This Row],[_IsLeaf]]=1,Tasks[[#This Row],[_LeafProgress]]&lt;1,OR(N(Tasks[[#This Row],[Finish Var]])&gt;0,Tasks[[#This Row],[Status]]="Late Start")),MAX(0,Tasks[[#This Row],[Finish Var]])+1-Tasks[[#This Row],[_Row]]/1000000,"")</f>
        <v/>
      </c>
      <c r="GM128" s="42">
        <f>IF(AND(Tasks[[#This Row],[_IsLeaf]]=1,N(Tasks[[#This Row],[Actual Start]])=0,Tasks[[#This Row],[_ShownFcstStart]]&gt;=StatusDate,Tasks[[#This Row],[_ShownFcstStart]]&lt;=LookaheadEnd),Tasks[[#This Row],[_ShownFcstStart]]+Tasks[[#This Row],[_Row]]/100000,"")</f>
        <v/>
      </c>
      <c r="GN128" s="42">
        <f>IF(AND(Tasks[[#This Row],[_IsLeaf]]=1,Tasks[[#This Row],[_LeafProgress]]&lt;1,Tasks[[#This Row],[_ShownFcstFinish]]&gt;=StatusDate,Tasks[[#This Row],[_ShownFcstFinish]]&lt;=LookaheadEnd),Tasks[[#This Row],[_ShownFcstFinish]]+Tasks[[#This Row],[_Row]]/100000,"")</f>
        <v/>
      </c>
      <c r="GO128" s="42">
        <f>IF(Tasks[[#This Row],[_LeafCritical]],Tasks[[#This Row],[_ShownFcstStart]]+Tasks[[#This Row],[_Row]]/100000,"")</f>
        <v/>
      </c>
      <c r="GP128" s="42">
        <f>Tasks[[#This Row],[_LeafWork]]*Tasks[[#This Row],[_LeafProgress]]</f>
        <v/>
      </c>
      <c r="GQ128" s="88">
        <f>IF(AND(Tasks[[#This Row],[_IsLeaf]]=1,Tasks[[#This Row],[_LeafProgress]]&gt;=1),IF(N(Tasks[[#This Row],[Actual Finish]])&gt;0,Tasks[[#This Row],[Actual Finish]],Tasks[[#This Row],[_ShownFcstFinish]]),"")</f>
        <v/>
      </c>
      <c r="GR128" s="42">
        <f>IF(Tasks[[#This Row],[_IsLeaf]]=1,N(Tasks[[#This Row],[Story Points]]),0)</f>
        <v/>
      </c>
      <c r="GS128" s="42">
        <f>""</f>
        <v/>
      </c>
      <c r="GT128" s="42">
        <f>IF(Tasks[[#This Row],[Task Name]]="",FALSE(),AND(Tasks[[#This Row],[_IsLeaf]]=1,N(Tasks[[#This Row],[_Days]])=0))</f>
        <v/>
      </c>
      <c r="GU128" s="88">
        <f>IF(Tasks[[#This Row],[Task Name]]="",0,IF(AND(Tasks[[#This Row],[_IsLeaf]]=1,NOT(Tasks[[#This Row],[_IsMilestone]]),N(Tasks[[#This Row],[Progress]])&gt;0),Tasks[[#This Row],[Start]],0))</f>
        <v/>
      </c>
      <c r="GV128" s="88">
        <f>IF(Tasks[[#This Row],[_DoneFrom]]=0,0,IF(Tasks[[#This Row],[Progress]]&gt;=1,Tasks[[#This Row],[Finish]],MAX(Tasks[[#This Row],[_DoneFrom]],Tasks[[#This Row],[Start]]+ROUND((Tasks[[#This Row],[Finish]]-Tasks[[#This Row],[Start]]+1)*Tasks[[#This Row],[Progress]],0)-1)))</f>
        <v/>
      </c>
      <c r="GW128" s="88">
        <f>IF(Tasks[[#This Row],[Task Name]]="",0,IF(OR(NOT(Tasks[[#This Row],[_IsLeaf]]=1),Tasks[[#This Row],[_IsMilestone]],N(Tasks[[#This Row],[Progress]])&gt;=1),0,IF(Tasks[[#This Row],[_DoneTo]]&gt;0,Tasks[[#This Row],[_DoneTo]]+1,Tasks[[#This Row],[Start]])))</f>
        <v/>
      </c>
      <c r="GX128" s="88">
        <f>IF(Tasks[[#This Row],[_RemFrom]]=0,0,Tasks[[#This Row],[Finish]])</f>
        <v/>
      </c>
      <c r="GY128" s="42">
        <f>IF(Tasks[[#This Row],[Task Name]]="",FALSE(),OR(NOT(BaselineSet),N(Tasks[[#This Row],[Baseline Start]])&gt;0))</f>
        <v/>
      </c>
      <c r="GZ128" s="42">
        <f>IF(AND(Sandbox="Yes",L_PARSE_DURATION(Tasks[[#This Row],[Sandbox Duration]])&lt;&gt;""),L_PARSE_DURATION(Tasks[[#This Row],[Sandbox Duration]]),L_PARSE_DURATION(Tasks[[#This Row],[Duration]]))</f>
        <v/>
      </c>
      <c r="HA12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8" s="42">
        <f>IF(Tasks[[#This Row],[_IsLeaf]]=1,Tasks[[#This Row],[_Row]],"")</f>
        <v/>
      </c>
      <c r="HD128" s="42">
        <f>IFERROR(INDEX(Tasks[UID],SMALL(Tasks[_PickKey],Tasks[[#This Row],[_Row]]))&amp;" "&amp;INDEX(Tasks[Task Name],SMALL(Tasks[_PickKey],Tasks[[#This Row],[_Row]])),"")</f>
        <v/>
      </c>
      <c r="HE128" s="42">
        <f>IF(Tasks[[#This Row],[Task Name]]="","",IF(Tasks[[#This Row],[_IsSummary]],NETWORKDAYS.INTL(Tasks[[#This Row],[Start]],Tasks[[#This Row],[Finish]],WorkWeek,Holidays),N(Tasks[[#This Row],[_Days]])))</f>
        <v/>
      </c>
      <c r="HF128" s="42">
        <f>IF(Tasks[[#This Row],[Expected]]="",0,((Tasks[[#This Row],[Pessimistic]]-Tasks[[#This Row],[Optimistic]])/6)^2)</f>
        <v/>
      </c>
      <c r="HG128" s="42">
        <f>IF(Tasks[[#This Row],[Expected]]="",0,Tasks[[#This Row],[Expected]]-N(Tasks[[#This Row],[_Days]]))</f>
        <v/>
      </c>
    </row>
    <row r="129">
      <c r="A129" s="21">
        <f>IF(Tasks[[#This Row],[Task Name]]="","",COUNTA(Tasks[[#Headers],[Task Name]]:Tasks[[#This Row],[Task Name]])-1)</f>
        <v/>
      </c>
      <c r="B129" s="22" t="n">
        <v>137</v>
      </c>
      <c r="C129" s="22" t="n"/>
      <c r="D129" s="23" t="n"/>
      <c r="E129" s="22" t="n"/>
      <c r="F129" s="23" t="n"/>
      <c r="G129" s="22" t="n"/>
      <c r="H129" s="22" t="n"/>
      <c r="I129" s="23" t="n"/>
      <c r="J129" s="22" t="n"/>
      <c r="K129" s="22" t="n"/>
      <c r="L129" s="23" t="n"/>
      <c r="M129" s="22" t="n"/>
      <c r="N129" s="22" t="n"/>
      <c r="O129" s="23" t="n"/>
      <c r="P129" s="22" t="n"/>
      <c r="Q129" s="22" t="n"/>
      <c r="R129" s="23" t="n"/>
      <c r="S129" s="23" t="n"/>
      <c r="T129" s="82" t="n"/>
      <c r="U129" s="23" t="n"/>
      <c r="V129" s="82" t="n"/>
      <c r="W129" s="23" t="n"/>
      <c r="X129" s="82" t="n"/>
      <c r="Y129" s="23" t="n"/>
      <c r="Z129" s="82" t="n"/>
      <c r="AA129" s="23" t="n"/>
      <c r="AB129" s="23" t="n"/>
      <c r="AC129" s="7" t="n"/>
      <c r="AD129" s="7" t="n"/>
      <c r="AE129" s="61">
        <f>IF(Tasks[[#This Row],[Task Name]]="","",IF(Tasks[[#This Row],[_IsSummary]],MIN(INDEX(Tasks[_ShownFcstStart],Tasks[[#This Row],[_Row]]+1):INDEX(Tasks[_ShownFcstStart],Tasks[[#This Row],[_Row]]+Tasks[[#This Row],[_Descendants]])),Tasks[[#This Row],[_ShownFcstStart]]))</f>
        <v/>
      </c>
      <c r="AF129" s="61">
        <f>IF(Tasks[[#This Row],[Task Name]]="","",IF(Tasks[[#This Row],[_IsSummary]],MAX(INDEX(Tasks[_ShownFcstFinish],Tasks[[#This Row],[_Row]]+1):INDEX(Tasks[_ShownFcstFinish],Tasks[[#This Row],[_Row]]+Tasks[[#This Row],[_Descendants]])),Tasks[[#This Row],[_ShownFcstFinish]]))</f>
        <v/>
      </c>
      <c r="AG129" s="21">
        <f>""</f>
        <v/>
      </c>
      <c r="AH129" s="23" t="n"/>
      <c r="AI12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29" s="7" t="n"/>
      <c r="AK129" s="22" t="n"/>
      <c r="AL129" s="23" t="n"/>
      <c r="AM129" s="7" t="n"/>
      <c r="AN129" s="21">
        <f>IF(Tasks[[#This Row],[Task Name]]="","",IF(Tasks[[#This Row],[Finish]]&gt;=Tasks[[#This Row],[Planned Finish]],NETWORKDAYS.INTL(Tasks[[#This Row],[Planned Finish]],Tasks[[#This Row],[Finish]],WorkWeek,Holidays)-1,1-NETWORKDAYS.INTL(Tasks[[#This Row],[Finish]],Tasks[[#This Row],[Planned Finish]],WorkWeek,Holidays)))</f>
        <v/>
      </c>
      <c r="AO129" s="21">
        <f>IF(Tasks[[#This Row],[Task Name]]="","",IF(Tasks[[#This Row],[Progress]]&gt;=1,"Complete",IF(OR(N(Tasks[[#This Row],[Actual Start]])&gt;0,Tasks[[#This Row],[Progress]]&gt;0),IF(Tasks[[#This Row],[Finish Var]]&gt;0,"Behind","In Progress"),IF(Tasks[[#This Row],[Planned Start]]&lt;StatusDate,"Late Start","Not Started"))))</f>
        <v/>
      </c>
      <c r="AP129" s="21">
        <f>IF(Tasks[[#This Row],[Task Name]]="","",IF(IF(Tasks[[#This Row],[_IsSummary]],COUNTIF(INDEX(Tasks[_LeafCritical],Tasks[[#This Row],[_Row]]+1):INDEX(Tasks[_LeafCritical],Tasks[[#This Row],[_Row]]+Tasks[[#This Row],[_Descendants]]),TRUE())&gt;0,Tasks[[#This Row],[_LeafCritical]]),"Yes",""))</f>
        <v/>
      </c>
      <c r="AQ129" s="61">
        <f>IF(Tasks[[#This Row],[Task Name]]="","",IF(N(Tasks[[#This Row],[Baseline Start]])&gt;0,Tasks[[#This Row],[Baseline Start]],Tasks[[#This Row],[_CalcStart]]))</f>
        <v/>
      </c>
      <c r="AR129" s="61">
        <f>IF(Tasks[[#This Row],[Task Name]]="","",IF(N(Tasks[[#This Row],[Baseline Finish]])&gt;0,Tasks[[#This Row],[Baseline Finish]],Tasks[[#This Row],[_CalcFinish]]))</f>
        <v/>
      </c>
      <c r="AS129" s="21">
        <f>IF(Tasks[[#This Row],[Task Name]]="","",IF(Tasks[[#This Row],[Start]]&gt;=Tasks[[#This Row],[Planned Start]],NETWORKDAYS.INTL(Tasks[[#This Row],[Planned Start]],Tasks[[#This Row],[Start]],WorkWeek,Holidays)-1,1-NETWORKDAYS.INTL(Tasks[[#This Row],[Start]],Tasks[[#This Row],[Planned Start]],WorkWeek,Holidays)))</f>
        <v/>
      </c>
      <c r="AT129" s="61">
        <f>IF(Tasks[[#This Row],[Task Name]]="","",IF(Tasks[[#This Row],[_IsSummary]],MIN(INDEX(Tasks[_LeafLateStart],Tasks[[#This Row],[_Row]]+1):INDEX(Tasks[_LeafLateStart],Tasks[[#This Row],[_Row]]+Tasks[[#This Row],[_Descendants]])),Tasks[[#This Row],[_LeafLateStart]]))</f>
        <v/>
      </c>
      <c r="AU129" s="61">
        <f>IF(Tasks[[#This Row],[Task Name]]="","",IF(Tasks[[#This Row],[_IsSummary]],MAX(INDEX(Tasks[_LeafLateFinish],Tasks[[#This Row],[_Row]]+1):INDEX(Tasks[_LeafLateFinish],Tasks[[#This Row],[_Row]]+Tasks[[#This Row],[_Descendants]])),Tasks[[#This Row],[_LeafLateFinish]]))</f>
        <v/>
      </c>
      <c r="AV129" s="21">
        <f>IF(Tasks[[#This Row],[Task Name]]="","",IF(Tasks[[#This Row],[_IsSummary]],MIN(INDEX(Tasks[_LeafTotalSlack],Tasks[[#This Row],[_Row]]+1):INDEX(Tasks[_LeafTotalSlack],Tasks[[#This Row],[_Row]]+Tasks[[#This Row],[_Descendants]])),Tasks[[#This Row],[_LeafTotalSlack]]))</f>
        <v/>
      </c>
      <c r="AW12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3" t="n"/>
      <c r="BA12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f>IF(Tasks[[#This Row],[Task Name]]="","",IF(Tasks[[#This Row],[_Level]]&lt;=OutlineShowLevel,"Yes","No"))</f>
        <v/>
      </c>
      <c r="BE129" s="84">
        <f>IF(Tasks[[#This Row],[Task Name]]="","",IF(Tasks[[#This Row],[_IsSummary]],SUM(INDEX(Tasks[_LeafTotalWork],Tasks[[#This Row],[_Row]]+1):INDEX(Tasks[_LeafTotalWork],Tasks[[#This Row],[_Row]]+Tasks[[#This Row],[_Descendants]])),Tasks[[#This Row],[_LeafTotalWork]]))</f>
        <v/>
      </c>
      <c r="BF129" s="23" t="n"/>
      <c r="BG12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f>""</f>
        <v/>
      </c>
      <c r="BI129" s="85" t="n"/>
      <c r="BJ129" s="22" t="n"/>
      <c r="BK129" s="21">
        <f>IF(OR(Tasks[[#This Row],[Task Name]]="",Tasks[[#This Row],[Baseline Duration]]=""),"",Tasks[[#This Row],[_SpanDays]]-N(Tasks[[#This Row],[Baseline Duration]]))</f>
        <v/>
      </c>
      <c r="BL129" s="84">
        <f>IF(OR(Tasks[[#This Row],[Task Name]]="",Tasks[[#This Row],[Baseline Work]]=""),"",Tasks[[#This Row],[Work]]-N(Tasks[[#This Row],[Baseline Work]]))</f>
        <v/>
      </c>
      <c r="BM129" s="61">
        <f>IF(Tasks[[#This Row],[Task Name]]="","",IF(OR(TakeBaseline="Yes",N(Tasks[[#This Row],[Baseline Start]])=0),Tasks[[#This Row],[Start]],Tasks[[#This Row],[Baseline Start]]))</f>
        <v/>
      </c>
      <c r="BN129" s="61">
        <f>IF(Tasks[[#This Row],[Task Name]]="","",IF(OR(TakeBaseline="Yes",N(Tasks[[#This Row],[Baseline Finish]])=0),Tasks[[#This Row],[Finish]],Tasks[[#This Row],[Baseline Finish]]))</f>
        <v/>
      </c>
      <c r="BO129" s="21">
        <f>IF(Tasks[[#This Row],[Task Name]]="","",IF(OR(TakeBaseline="Yes",N(Tasks[[#This Row],[Baseline Duration]])=0),Tasks[[#This Row],[_SpanDays]],Tasks[[#This Row],[Baseline Duration]]))</f>
        <v/>
      </c>
      <c r="BP129" s="84">
        <f>IF(Tasks[[#This Row],[Task Name]]="","",IF(OR(TakeBaseline="Yes",N(Tasks[[#This Row],[Baseline Work]])=0),Tasks[[#This Row],[Work]],Tasks[[#This Row],[Baseline Work]]))</f>
        <v/>
      </c>
      <c r="BQ129" s="7" t="n"/>
      <c r="BR129" s="7" t="n"/>
      <c r="BS129" s="22" t="n"/>
      <c r="BT129" s="86" t="n"/>
      <c r="BU129" s="23" t="n"/>
      <c r="BV129" s="23" t="n"/>
      <c r="BW129" s="23" t="n"/>
      <c r="BX129" s="87">
        <f>IF(AND(Tasks[[#This Row],[_IsLeaf]]=1,ISNUMBER(Tasks[[#This Row],[Optimistic]]),ISNUMBER(Tasks[[#This Row],[Pessimistic]])),ROUND((Tasks[[#This Row],[Optimistic]]+4*N(Tasks[[#This Row],[_Days]])+Tasks[[#This Row],[Pessimistic]])/6,1),"")</f>
        <v/>
      </c>
      <c r="BY129" s="85" t="n"/>
      <c r="BZ129" s="85" t="n"/>
      <c r="CA129" s="22" t="n"/>
      <c r="CB129" s="42">
        <f>IF(Tasks[[#This Row],[Task Name]]="","",MAX(1,N(Tasks[[#This Row],[Level]])))</f>
        <v/>
      </c>
      <c r="CC129" s="42">
        <f>ROW()-ROW(Tasks[[#Headers],[ID]])</f>
        <v/>
      </c>
      <c r="CD129" s="42">
        <f>IF(OR(Tasks[[#This Row],[Task Name]]="",Tasks[[#This Row],[_Level]]&lt;=1),0,IFERROR(LOOKUP(2,1/(Tasks[[#Headers],[_Level]]:Tasks[[#This Row],[_Level]]=Tasks[[#This Row],[_Level]]-1),ROW(Tasks[[#Headers],[_Level]]:Tasks[[#This Row],[_Level]])),0))</f>
        <v/>
      </c>
      <c r="CE129" s="42">
        <f>IFERROR(N(INDEX(Tasks[_Level],Tasks[[#This Row],[_Row]]+1)),0)</f>
        <v/>
      </c>
      <c r="CF129" s="42">
        <f>AND(Tasks[[#This Row],[Task Name]]&lt;&gt;"",Tasks[[#This Row],[_NextLevel]]&gt;Tasks[[#This Row],[_Level]])</f>
        <v/>
      </c>
      <c r="CG129" s="42">
        <f>IF(Tasks[[#This Row],[_IsSummary]],COUNTIF(Tasks[WBS],Tasks[[#This Row],[WBS]]&amp;".*"),0)</f>
        <v/>
      </c>
      <c r="CH129" s="42">
        <f>IF(AND(Tasks[[#This Row],[Task Name]]&lt;&gt;"",NOT(Tasks[[#This Row],[_IsSummary]])),1,0)</f>
        <v/>
      </c>
      <c r="CI129" s="42">
        <f>IF(N(Tasks[[#This Row],[_Pred1UID]])=0,0,IFERROR(MATCH(Tasks[[#This Row],[_Pred1UID]],Tasks[UID],0),-1))</f>
        <v/>
      </c>
      <c r="CJ129" s="42">
        <f>IF(N(Tasks[[#This Row],[_Pred2UID]])=0,0,IFERROR(MATCH(Tasks[[#This Row],[_Pred2UID]],Tasks[UID],0),-1))</f>
        <v/>
      </c>
      <c r="CK129" s="42">
        <f>IF(N(Tasks[[#This Row],[_Pred3UID]])=0,0,IFERROR(MATCH(Tasks[[#This Row],[_Pred3UID]],Tasks[UID],0),-1))</f>
        <v/>
      </c>
      <c r="CL129" s="42">
        <f>IF(N(Tasks[[#This Row],[_Pred4UID]])=0,0,IFERROR(MATCH(Tasks[[#This Row],[_Pred4UID]],Tasks[UID],0),-1))</f>
        <v/>
      </c>
      <c r="CM12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9" s="88">
        <f>IF(N(Tasks[[#This Row],[Constraint Date]])=0,0,IF(AND(OR(Tasks[[#This Row],[_ConstraintCode]]=3,Tasks[[#This Row],[_ConstraintCode]]=6,Tasks[[#This Row],[_ConstraintCode]]=7),N(Tasks[[#This Row],[_Days]])&gt;1),WORKDAY.INTL(N(Tasks[[#This Row],[Constraint Date]]),-(N(Tasks[[#This Row],[_Days]])-1),WorkWeek,Holidays),N(Tasks[[#This Row],[Constraint Date]])))</f>
        <v/>
      </c>
      <c r="CO129" s="88">
        <f>IF(OR(Tasks[[#This Row],[_ConstraintCode]]=2,Tasks[[#This Row],[_ConstraintCode]]=3,Tasks[[#This Row],[_ConstraintCode]]=4,Tasks[[#This Row],[_ConstraintCode]]=6),Tasks[[#This Row],[_ConstraintStart]],0)</f>
        <v/>
      </c>
      <c r="CP129" s="88">
        <f>IF(OR(Tasks[[#This Row],[_ConstraintCode]]=2,Tasks[[#This Row],[_ConstraintCode]]=3,Tasks[[#This Row],[_ConstraintCode]]=5,Tasks[[#This Row],[_ConstraintCode]]=7),Tasks[[#This Row],[_ConstraintStart]],2958465)</f>
        <v/>
      </c>
      <c r="CQ12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9" s="88">
        <f>IF(NOT(Tasks[[#This Row],[_IsLeaf]]=1),"",IF(N(Tasks[[#This Row],[_Days]])&lt;=0,Tasks[[#This Row],[_LeafCalcStart]],WORKDAY.INTL(Tasks[[#This Row],[_LeafCalcStart]],Tasks[[#This Row],[_Days]]-1,WorkWeek,Holidays)))</f>
        <v/>
      </c>
      <c r="CS12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9" s="42">
        <f>IF(Tasks[[#This Row],[_Predecessors]]="","",TRIM(MID(SUBSTITUTE(SUBSTITUTE(SUBSTITUTE(UPPER(Tasks[[#This Row],[_Predecessors]]),";",",")," ",""),",",REPT(" ",99)),1,99)))</f>
        <v/>
      </c>
      <c r="CV129" s="42">
        <f>IF(Tasks[[#This Row],[_Pred1Text]]="","",IFERROR(VALUE(LEFT(Tasks[[#This Row],[_Pred1Text]],MIN(FIND("F",Tasks[[#This Row],[_Pred1Text]]&amp;"F"),FIND("S",Tasks[[#This Row],[_Pred1Text]]&amp;"S"),FIND("+",Tasks[[#This Row],[_Pred1Text]]&amp;"+"),FIND("-",Tasks[[#This Row],[_Pred1Text]]&amp;"-"))-1)),""))</f>
        <v/>
      </c>
      <c r="CW12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9" s="42">
        <f>IF(Tasks[[#This Row],[_Pred1Text]]="","",TRIM(MID(SUBSTITUTE(SUBSTITUTE(SUBSTITUTE(UPPER(Tasks[[#This Row],[_Predecessors]]),";",",")," ",""),",",REPT(" ",99)),100,99)))</f>
        <v/>
      </c>
      <c r="CZ129" s="42">
        <f>IF(Tasks[[#This Row],[_Pred2Text]]="","",IFERROR(VALUE(LEFT(Tasks[[#This Row],[_Pred2Text]],MIN(FIND("F",Tasks[[#This Row],[_Pred2Text]]&amp;"F"),FIND("S",Tasks[[#This Row],[_Pred2Text]]&amp;"S"),FIND("+",Tasks[[#This Row],[_Pred2Text]]&amp;"+"),FIND("-",Tasks[[#This Row],[_Pred2Text]]&amp;"-"))-1)),""))</f>
        <v/>
      </c>
      <c r="DA12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9" s="42">
        <f>IF(Tasks[[#This Row],[_Pred2Text]]="","",TRIM(MID(SUBSTITUTE(SUBSTITUTE(SUBSTITUTE(UPPER(Tasks[[#This Row],[_Predecessors]]),";",",")," ",""),",",REPT(" ",99)),199,99)))</f>
        <v/>
      </c>
      <c r="DD129" s="42">
        <f>IF(Tasks[[#This Row],[_Pred3Text]]="","",IFERROR(VALUE(LEFT(Tasks[[#This Row],[_Pred3Text]],MIN(FIND("F",Tasks[[#This Row],[_Pred3Text]]&amp;"F"),FIND("S",Tasks[[#This Row],[_Pred3Text]]&amp;"S"),FIND("+",Tasks[[#This Row],[_Pred3Text]]&amp;"+"),FIND("-",Tasks[[#This Row],[_Pred3Text]]&amp;"-"))-1)),""))</f>
        <v/>
      </c>
      <c r="DE12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9" s="42">
        <f>IF(Tasks[[#This Row],[_Pred3Text]]="","",TRIM(MID(SUBSTITUTE(SUBSTITUTE(SUBSTITUTE(UPPER(Tasks[[#This Row],[_Predecessors]]),";",",")," ",""),",",REPT(" ",99)),298,99)))</f>
        <v/>
      </c>
      <c r="DH129" s="42">
        <f>IF(Tasks[[#This Row],[_Pred4Text]]="","",IFERROR(VALUE(LEFT(Tasks[[#This Row],[_Pred4Text]],MIN(FIND("F",Tasks[[#This Row],[_Pred4Text]]&amp;"F"),FIND("S",Tasks[[#This Row],[_Pred4Text]]&amp;"S"),FIND("+",Tasks[[#This Row],[_Pred4Text]]&amp;"+"),FIND("-",Tasks[[#This Row],[_Pred4Text]]&amp;"-"))-1)),""))</f>
        <v/>
      </c>
      <c r="DI12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9" s="42">
        <f>IF(OR(Tasks[[#This Row],[Task Name]]="",Tasks[[#This Row],[_Resources]]=""),"",TRIM(MID(SUBSTITUTE(Tasks[[#This Row],[_Resources]],",",REPT(" ",99)),1,99)))</f>
        <v/>
      </c>
      <c r="DL129" s="42">
        <f>IF(Tasks[[#This Row],[_Res1Text]]="","",TRIM(MID(SUBSTITUTE(Tasks[[#This Row],[_Resources]],",",REPT(" ",99)),100,99)))</f>
        <v/>
      </c>
      <c r="DM129" s="42">
        <f>IF(Tasks[[#This Row],[_Res2Text]]="","",TRIM(MID(SUBSTITUTE(Tasks[[#This Row],[_Resources]],",",REPT(" ",99)),199,99)))</f>
        <v/>
      </c>
      <c r="DN129" s="42">
        <f>IF(Tasks[[#This Row],[_Res3Text]]="","",TRIM(MID(SUBSTITUTE(Tasks[[#This Row],[_Resources]],",",REPT(" ",99)),298,99)))</f>
        <v/>
      </c>
      <c r="DO129" s="42">
        <f>IF(Tasks[[#This Row],[_Res1Text]]="",0,IFERROR(MATCH(TRIM(LEFT(Tasks[[#This Row],[_Res1Text]],FIND("[",Tasks[[#This Row],[_Res1Text]]&amp;"[")-1)),res_Name,0),IFERROR(MATCH(TRIM(LEFT(Tasks[[#This Row],[_Res1Text]],FIND("[",Tasks[[#This Row],[_Res1Text]]&amp;"[")-1)),res_Initials,0),0)))</f>
        <v/>
      </c>
      <c r="DP129" s="42">
        <f>IF(Tasks[[#This Row],[_Res2Text]]="",0,IFERROR(MATCH(TRIM(LEFT(Tasks[[#This Row],[_Res2Text]],FIND("[",Tasks[[#This Row],[_Res2Text]]&amp;"[")-1)),res_Name,0),IFERROR(MATCH(TRIM(LEFT(Tasks[[#This Row],[_Res2Text]],FIND("[",Tasks[[#This Row],[_Res2Text]]&amp;"[")-1)),res_Initials,0),0)))</f>
        <v/>
      </c>
      <c r="DQ129" s="42">
        <f>IF(Tasks[[#This Row],[_Res3Text]]="",0,IFERROR(MATCH(TRIM(LEFT(Tasks[[#This Row],[_Res3Text]],FIND("[",Tasks[[#This Row],[_Res3Text]]&amp;"[")-1)),res_Name,0),IFERROR(MATCH(TRIM(LEFT(Tasks[[#This Row],[_Res3Text]],FIND("[",Tasks[[#This Row],[_Res3Text]]&amp;"[")-1)),res_Initials,0),0)))</f>
        <v/>
      </c>
      <c r="DR129" s="42">
        <f>IF(Tasks[[#This Row],[_Res4Text]]="",0,IFERROR(MATCH(TRIM(LEFT(Tasks[[#This Row],[_Res4Text]],FIND("[",Tasks[[#This Row],[_Res4Text]]&amp;"[")-1)),res_Name,0),IFERROR(MATCH(TRIM(LEFT(Tasks[[#This Row],[_Res4Text]],FIND("[",Tasks[[#This Row],[_Res4Text]]&amp;"[")-1)),res_Initials,0),0)))</f>
        <v/>
      </c>
      <c r="DS129" s="42">
        <f>IF(Tasks[[#This Row],[_Res1Text]]="","",IF(Tasks[[#This Row],[_Res1Row]]&gt;0,INDEX(res_Name,Tasks[[#This Row],[_Res1Row]]),TRIM(LEFT(Tasks[[#This Row],[_Res1Text]],FIND("[",Tasks[[#This Row],[_Res1Text]]&amp;"[")-1))))</f>
        <v/>
      </c>
      <c r="DT12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9" s="42">
        <f>IF(NOT(Tasks[[#This Row],[_IsLeaf]]=1),0,(Tasks[[#This Row],[_Resource1]]&lt;&gt;"")+(Tasks[[#This Row],[_Res2]]&lt;&gt;"")+(Tasks[[#This Row],[_Res3]]&lt;&gt;"")+(Tasks[[#This Row],[_Res4]]&lt;&gt;""))</f>
        <v/>
      </c>
      <c r="DV129" s="42">
        <f>IF(Tasks[[#This Row],[_Res2Text]]="","",IF(Tasks[[#This Row],[_Res2Row]]&gt;0,INDEX(res_Name,Tasks[[#This Row],[_Res2Row]]),TRIM(LEFT(Tasks[[#This Row],[_Res2Text]],FIND("[",Tasks[[#This Row],[_Res2Text]]&amp;"[")-1))))</f>
        <v/>
      </c>
      <c r="DW12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9" s="42">
        <f>IF(OR(NOT(Tasks[[#This Row],[_IsLeaf]]=1),Tasks[[#This Row],[_Res2Row]]=0),0,N(Tasks[[#This Row],[_Days]])*HoursPerDay*IF(Tasks[[#This Row],[_Res2Units]]="",DefaultUnits,Tasks[[#This Row],[_Res2Units]]))</f>
        <v/>
      </c>
      <c r="DY129" s="42">
        <f>IF(AND(AND(Tasks[[#This Row],[_IsLeaf]]=1,Tasks[[#This Row],[_LeafTotalWork]]&gt;0),Tasks[[#This Row],[_Res2Work]]&gt;0),Tasks[[#This Row],[_Res2Work]]/(Tasks[[#This Row],[_FinishWorkday]]-Tasks[[#This Row],[_StartWorkday]]+1),0)</f>
        <v/>
      </c>
      <c r="DZ129" s="42">
        <f>Tasks[[#This Row],[_Res2WorkPerWD]]*MAX(0,Tasks[[#This Row],[_StartWorkday]]-1)</f>
        <v/>
      </c>
      <c r="EA129" s="42">
        <f>Tasks[[#This Row],[_Res2Work]]*Tasks[[#This Row],[_LeafProgress]]</f>
        <v/>
      </c>
      <c r="EB129" s="42">
        <f>IF(Tasks[[#This Row],[_Res3Text]]="","",IF(Tasks[[#This Row],[_Res3Row]]&gt;0,INDEX(res_Name,Tasks[[#This Row],[_Res3Row]]),TRIM(LEFT(Tasks[[#This Row],[_Res3Text]],FIND("[",Tasks[[#This Row],[_Res3Text]]&amp;"[")-1))))</f>
        <v/>
      </c>
      <c r="EC12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9" s="42">
        <f>IF(OR(NOT(Tasks[[#This Row],[_IsLeaf]]=1),Tasks[[#This Row],[_Res3Row]]=0),0,N(Tasks[[#This Row],[_Days]])*HoursPerDay*IF(Tasks[[#This Row],[_Res3Units]]="",DefaultUnits,Tasks[[#This Row],[_Res3Units]]))</f>
        <v/>
      </c>
      <c r="EE129" s="42">
        <f>IF(AND(AND(Tasks[[#This Row],[_IsLeaf]]=1,Tasks[[#This Row],[_LeafTotalWork]]&gt;0),Tasks[[#This Row],[_Res3Work]]&gt;0),Tasks[[#This Row],[_Res3Work]]/(Tasks[[#This Row],[_FinishWorkday]]-Tasks[[#This Row],[_StartWorkday]]+1),0)</f>
        <v/>
      </c>
      <c r="EF129" s="42">
        <f>Tasks[[#This Row],[_Res3WorkPerWD]]*MAX(0,Tasks[[#This Row],[_StartWorkday]]-1)</f>
        <v/>
      </c>
      <c r="EG129" s="42">
        <f>Tasks[[#This Row],[_Res3Work]]*Tasks[[#This Row],[_LeafProgress]]</f>
        <v/>
      </c>
      <c r="EH129" s="42">
        <f>IF(Tasks[[#This Row],[_Res4Text]]="","",IF(Tasks[[#This Row],[_Res4Row]]&gt;0,INDEX(res_Name,Tasks[[#This Row],[_Res4Row]]),TRIM(LEFT(Tasks[[#This Row],[_Res4Text]],FIND("[",Tasks[[#This Row],[_Res4Text]]&amp;"[")-1))))</f>
        <v/>
      </c>
      <c r="EI12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9" s="42">
        <f>IF(OR(NOT(Tasks[[#This Row],[_IsLeaf]]=1),Tasks[[#This Row],[_Res4Row]]=0),0,N(Tasks[[#This Row],[_Days]])*HoursPerDay*IF(Tasks[[#This Row],[_Res4Units]]="",DefaultUnits,Tasks[[#This Row],[_Res4Units]]))</f>
        <v/>
      </c>
      <c r="EK129" s="42">
        <f>IF(AND(AND(Tasks[[#This Row],[_IsLeaf]]=1,Tasks[[#This Row],[_LeafTotalWork]]&gt;0),Tasks[[#This Row],[_Res4Work]]&gt;0),Tasks[[#This Row],[_Res4Work]]/(Tasks[[#This Row],[_FinishWorkday]]-Tasks[[#This Row],[_StartWorkday]]+1),0)</f>
        <v/>
      </c>
      <c r="EL129" s="42">
        <f>Tasks[[#This Row],[_Res4WorkPerWD]]*MAX(0,Tasks[[#This Row],[_StartWorkday]]-1)</f>
        <v/>
      </c>
      <c r="EM129" s="42">
        <f>Tasks[[#This Row],[_Res4Work]]*Tasks[[#This Row],[_LeafProgress]]</f>
        <v/>
      </c>
      <c r="EN129" s="42">
        <f>IF(ISNUMBER(Tasks[[#This Row],[% Complete]]),Tasks[[#This Row],[% Complete]],IF(Tasks[[#This Row],[Stage]]="",0,IFERROR(INDEX(stg_Pct,MATCH(Tasks[[#This Row],[Stage]],stg_Name,0)),0)))</f>
        <v/>
      </c>
      <c r="EO129" s="42">
        <f>IF(NOT(Tasks[[#This Row],[_IsLeaf]]=1),0,IF(N(Tasks[[#This Row],[Actual Finish]])&gt;0,1,MIN(1,Tasks[[#This Row],[_Pct]])))</f>
        <v/>
      </c>
      <c r="EP129" s="42">
        <f>IF(OR(NOT(Tasks[[#This Row],[_IsLeaf]]=1),Tasks[[#This Row],[_Res1Row]]=0),0,N(Tasks[[#This Row],[_Days]])*HoursPerDay*IF(Tasks[[#This Row],[_Units1]]="",DefaultUnits,Tasks[[#This Row],[_Units1]]))</f>
        <v/>
      </c>
      <c r="EQ129" s="42">
        <f>Tasks[[#This Row],[_LeafWork]]+Tasks[[#This Row],[_Res2Work]]+Tasks[[#This Row],[_Res3Work]]+Tasks[[#This Row],[_Res4Work]]</f>
        <v/>
      </c>
      <c r="ER12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9" s="42">
        <f>IF(NOT(Tasks[[#This Row],[_IsLeaf]]=1),0,MAX(_xlfn.MAXIFS(Tasks[_Row],Tasks[_Pred1UID],Tasks[[#This Row],[UID]]),_xlfn.MAXIFS(Tasks[_Row],Tasks[_Pred2UID],Tasks[[#This Row],[UID]]),_xlfn.MAXIFS(Tasks[_Row],Tasks[_Pred3UID],Tasks[[#This Row],[UID]]),_xlfn.MAXIFS(Tasks[_Row],Tasks[_Pred4UID],Tasks[[#This Row],[UID]])))</f>
        <v/>
      </c>
      <c r="FA12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9" s="88">
        <f>IF(NOT(Tasks[[#This Row],[_IsLeaf]]=1),"",IF(N(Tasks[[#This Row],[_Days]])&lt;=0,Tasks[[#This Row],[_LeafLateFinish]],WORKDAY.INTL(Tasks[[#This Row],[_LeafLateFinish]],-(Tasks[[#This Row],[_Days]]-1),WorkWeek,Holidays)))</f>
        <v/>
      </c>
      <c r="FD12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9" s="42">
        <f>AND(Tasks[[#This Row],[_IsLeaf]]=1,Tasks[[#This Row],[_LeafProgress]]&lt;1,N(Tasks[[#This Row],[_LeafTotalSlack]])&lt;=CriticalSlackDays)</f>
        <v/>
      </c>
      <c r="FF129" s="42">
        <f>IF(AND(Tasks[[#This Row],[_IsLeaf]]=1,Tasks[[#This Row],[_ConstraintCode]]=1,Tasks[[#This Row],[Mode]]&lt;&gt;"Manual",N(Tasks[[#This Row],[Actual Start]])=0),MAX(0,N(Tasks[[#This Row],[Free Slack]])),0)</f>
        <v/>
      </c>
      <c r="FG129" s="88">
        <f>IF(NOT(Tasks[[#This Row],[_IsLeaf]]=1),"",IF(Tasks[[#This Row],[_AlapShift]]=0,Tasks[[#This Row],[_LeafCalcStart]],WORKDAY.INTL(Tasks[[#This Row],[_LeafCalcStart]],Tasks[[#This Row],[_AlapShift]],WorkWeek,Holidays)))</f>
        <v/>
      </c>
      <c r="FH129" s="88">
        <f>IF(NOT(Tasks[[#This Row],[_IsLeaf]]=1),"",IF(Tasks[[#This Row],[_AlapShift]]=0,Tasks[[#This Row],[_LeafCalcFinish]],WORKDAY.INTL(Tasks[[#This Row],[_LeafCalcFinish]],Tasks[[#This Row],[_AlapShift]],WorkWeek,Holidays)))</f>
        <v/>
      </c>
      <c r="FI129" s="88">
        <f>IF(NOT(Tasks[[#This Row],[_IsLeaf]]=1),"",IF(Tasks[[#This Row],[_AlapShift]]=0,Tasks[[#This Row],[_LeafFcstStart]],WORKDAY.INTL(Tasks[[#This Row],[_LeafFcstStart]],Tasks[[#This Row],[_AlapShift]],WorkWeek,Holidays)))</f>
        <v/>
      </c>
      <c r="FJ129" s="88">
        <f>IF(NOT(Tasks[[#This Row],[_IsLeaf]]=1),"",IF(Tasks[[#This Row],[_AlapShift]]=0,Tasks[[#This Row],[_LeafFcstFinish]],WORKDAY.INTL(Tasks[[#This Row],[_LeafFcstFinish]],Tasks[[#This Row],[_AlapShift]],WorkWeek,Holidays)))</f>
        <v/>
      </c>
      <c r="FK129" s="88">
        <f>IF(Tasks[[#This Row],[Task Name]]="","",IF(Tasks[[#This Row],[_IsSummary]],MIN(INDEX(Tasks[_ShownCalcStart],Tasks[[#This Row],[_Row]]+1):INDEX(Tasks[_ShownCalcStart],Tasks[[#This Row],[_Row]]+Tasks[[#This Row],[_Descendants]])),Tasks[[#This Row],[_ShownCalcStart]]))</f>
        <v/>
      </c>
      <c r="FL129" s="88">
        <f>IF(Tasks[[#This Row],[Task Name]]="","",IF(Tasks[[#This Row],[_IsSummary]],MAX(INDEX(Tasks[_ShownCalcFinish],Tasks[[#This Row],[_Row]]+1):INDEX(Tasks[_ShownCalcFinish],Tasks[[#This Row],[_Row]]+Tasks[[#This Row],[_Descendants]])),Tasks[[#This Row],[_ShownCalcFinish]]))</f>
        <v/>
      </c>
      <c r="FM12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9" s="42">
        <f>IF(AND(Tasks[[#This Row],[_IsLeaf]]=1,Tasks[[#This Row],[_LeafTotalWork]]&gt;0),NETWORKDAYS.INTL(ProjectStart,Tasks[[#This Row],[_ShownFcstStart]],WorkWeek,Holidays),0)</f>
        <v/>
      </c>
      <c r="FZ129" s="42">
        <f>IF(AND(Tasks[[#This Row],[_IsLeaf]]=1,Tasks[[#This Row],[_LeafTotalWork]]&gt;0),MAX(Tasks[[#This Row],[_StartWorkday]],NETWORKDAYS.INTL(ProjectStart,Tasks[[#This Row],[_ShownFcstFinish]],WorkWeek,Holidays)),0)</f>
        <v/>
      </c>
      <c r="GA129" s="42">
        <f>IF(AND(Tasks[[#This Row],[_IsLeaf]]=1,Tasks[[#This Row],[_LeafTotalWork]]&gt;0),Tasks[[#This Row],[_LeafWork]]/(Tasks[[#This Row],[_FinishWorkday]]-Tasks[[#This Row],[_StartWorkday]]+1),0)</f>
        <v/>
      </c>
      <c r="GB129" s="42">
        <f>Tasks[[#This Row],[_WorkPerWorkday]]*(Tasks[[#This Row],[_StartWorkday]]-1)</f>
        <v/>
      </c>
      <c r="GC129" s="42">
        <f>IF(Tasks[[#This Row],[_IsLeaf]]=1,MAX(N(Tasks[[#This Row],[_Days]]),0.1),0)</f>
        <v/>
      </c>
      <c r="GD129" s="42">
        <f>Tasks[[#This Row],[_WeightDur]]*Tasks[[#This Row],[_LeafProgress]]</f>
        <v/>
      </c>
      <c r="GE129" s="42">
        <f>Tasks[[#This Row],[_WeightDur]]*Tasks[[#This Row],[_PlannedPct]]</f>
        <v/>
      </c>
      <c r="GF12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9" s="42">
        <f>IF(AND(Tasks[[#This Row],[_IsLeaf]]=1,N(Tasks[[#This Row],[_Days]])=0,Tasks[[#This Row],[_LeafProgress]]&lt;1),Tasks[[#This Row],[_ShownFcstFinish]]+Tasks[[#This Row],[_Row]]/100000,"")</f>
        <v/>
      </c>
      <c r="GH12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9" s="42">
        <f>IF(Tasks[[#This Row],[Task Name]]="","",LEFT(Tasks[[#This Row],[WBS]],FIND(".",Tasks[[#This Row],[WBS]]&amp;".")-1))</f>
        <v/>
      </c>
      <c r="GJ129" s="42">
        <f>IF(AND(Tasks[[#This Row],[Task Name]]&lt;&gt;"",Tasks[[#This Row],[_Level]]=1),Tasks[[#This Row],[_Row]],"")</f>
        <v/>
      </c>
      <c r="GK129" s="42">
        <f>IF(AND(Tasks[[#This Row],[_IsLeaf]]=1,N(Tasks[[#This Row],[_Days]])=0),Tasks[[#This Row],[Planned Finish]]+Tasks[[#This Row],[_Row]]/100000,"")</f>
        <v/>
      </c>
      <c r="GL129" s="42">
        <f>IF(AND(Tasks[[#This Row],[_IsLeaf]]=1,Tasks[[#This Row],[_LeafProgress]]&lt;1,OR(N(Tasks[[#This Row],[Finish Var]])&gt;0,Tasks[[#This Row],[Status]]="Late Start")),MAX(0,Tasks[[#This Row],[Finish Var]])+1-Tasks[[#This Row],[_Row]]/1000000,"")</f>
        <v/>
      </c>
      <c r="GM129" s="42">
        <f>IF(AND(Tasks[[#This Row],[_IsLeaf]]=1,N(Tasks[[#This Row],[Actual Start]])=0,Tasks[[#This Row],[_ShownFcstStart]]&gt;=StatusDate,Tasks[[#This Row],[_ShownFcstStart]]&lt;=LookaheadEnd),Tasks[[#This Row],[_ShownFcstStart]]+Tasks[[#This Row],[_Row]]/100000,"")</f>
        <v/>
      </c>
      <c r="GN129" s="42">
        <f>IF(AND(Tasks[[#This Row],[_IsLeaf]]=1,Tasks[[#This Row],[_LeafProgress]]&lt;1,Tasks[[#This Row],[_ShownFcstFinish]]&gt;=StatusDate,Tasks[[#This Row],[_ShownFcstFinish]]&lt;=LookaheadEnd),Tasks[[#This Row],[_ShownFcstFinish]]+Tasks[[#This Row],[_Row]]/100000,"")</f>
        <v/>
      </c>
      <c r="GO129" s="42">
        <f>IF(Tasks[[#This Row],[_LeafCritical]],Tasks[[#This Row],[_ShownFcstStart]]+Tasks[[#This Row],[_Row]]/100000,"")</f>
        <v/>
      </c>
      <c r="GP129" s="42">
        <f>Tasks[[#This Row],[_LeafWork]]*Tasks[[#This Row],[_LeafProgress]]</f>
        <v/>
      </c>
      <c r="GQ129" s="88">
        <f>IF(AND(Tasks[[#This Row],[_IsLeaf]]=1,Tasks[[#This Row],[_LeafProgress]]&gt;=1),IF(N(Tasks[[#This Row],[Actual Finish]])&gt;0,Tasks[[#This Row],[Actual Finish]],Tasks[[#This Row],[_ShownFcstFinish]]),"")</f>
        <v/>
      </c>
      <c r="GR129" s="42">
        <f>IF(Tasks[[#This Row],[_IsLeaf]]=1,N(Tasks[[#This Row],[Story Points]]),0)</f>
        <v/>
      </c>
      <c r="GS129" s="42">
        <f>""</f>
        <v/>
      </c>
      <c r="GT129" s="42">
        <f>IF(Tasks[[#This Row],[Task Name]]="",FALSE(),AND(Tasks[[#This Row],[_IsLeaf]]=1,N(Tasks[[#This Row],[_Days]])=0))</f>
        <v/>
      </c>
      <c r="GU129" s="88">
        <f>IF(Tasks[[#This Row],[Task Name]]="",0,IF(AND(Tasks[[#This Row],[_IsLeaf]]=1,NOT(Tasks[[#This Row],[_IsMilestone]]),N(Tasks[[#This Row],[Progress]])&gt;0),Tasks[[#This Row],[Start]],0))</f>
        <v/>
      </c>
      <c r="GV129" s="88">
        <f>IF(Tasks[[#This Row],[_DoneFrom]]=0,0,IF(Tasks[[#This Row],[Progress]]&gt;=1,Tasks[[#This Row],[Finish]],MAX(Tasks[[#This Row],[_DoneFrom]],Tasks[[#This Row],[Start]]+ROUND((Tasks[[#This Row],[Finish]]-Tasks[[#This Row],[Start]]+1)*Tasks[[#This Row],[Progress]],0)-1)))</f>
        <v/>
      </c>
      <c r="GW129" s="88">
        <f>IF(Tasks[[#This Row],[Task Name]]="",0,IF(OR(NOT(Tasks[[#This Row],[_IsLeaf]]=1),Tasks[[#This Row],[_IsMilestone]],N(Tasks[[#This Row],[Progress]])&gt;=1),0,IF(Tasks[[#This Row],[_DoneTo]]&gt;0,Tasks[[#This Row],[_DoneTo]]+1,Tasks[[#This Row],[Start]])))</f>
        <v/>
      </c>
      <c r="GX129" s="88">
        <f>IF(Tasks[[#This Row],[_RemFrom]]=0,0,Tasks[[#This Row],[Finish]])</f>
        <v/>
      </c>
      <c r="GY129" s="42">
        <f>IF(Tasks[[#This Row],[Task Name]]="",FALSE(),OR(NOT(BaselineSet),N(Tasks[[#This Row],[Baseline Start]])&gt;0))</f>
        <v/>
      </c>
      <c r="GZ129" s="42">
        <f>IF(AND(Sandbox="Yes",L_PARSE_DURATION(Tasks[[#This Row],[Sandbox Duration]])&lt;&gt;""),L_PARSE_DURATION(Tasks[[#This Row],[Sandbox Duration]]),L_PARSE_DURATION(Tasks[[#This Row],[Duration]]))</f>
        <v/>
      </c>
      <c r="HA12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2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9" s="42">
        <f>IF(Tasks[[#This Row],[_IsLeaf]]=1,Tasks[[#This Row],[_Row]],"")</f>
        <v/>
      </c>
      <c r="HD129" s="42">
        <f>IFERROR(INDEX(Tasks[UID],SMALL(Tasks[_PickKey],Tasks[[#This Row],[_Row]]))&amp;" "&amp;INDEX(Tasks[Task Name],SMALL(Tasks[_PickKey],Tasks[[#This Row],[_Row]])),"")</f>
        <v/>
      </c>
      <c r="HE129" s="42">
        <f>IF(Tasks[[#This Row],[Task Name]]="","",IF(Tasks[[#This Row],[_IsSummary]],NETWORKDAYS.INTL(Tasks[[#This Row],[Start]],Tasks[[#This Row],[Finish]],WorkWeek,Holidays),N(Tasks[[#This Row],[_Days]])))</f>
        <v/>
      </c>
      <c r="HF129" s="42">
        <f>IF(Tasks[[#This Row],[Expected]]="",0,((Tasks[[#This Row],[Pessimistic]]-Tasks[[#This Row],[Optimistic]])/6)^2)</f>
        <v/>
      </c>
      <c r="HG129" s="42">
        <f>IF(Tasks[[#This Row],[Expected]]="",0,Tasks[[#This Row],[Expected]]-N(Tasks[[#This Row],[_Days]]))</f>
        <v/>
      </c>
    </row>
    <row r="130">
      <c r="A130" s="21">
        <f>IF(Tasks[[#This Row],[Task Name]]="","",COUNTA(Tasks[[#Headers],[Task Name]]:Tasks[[#This Row],[Task Name]])-1)</f>
        <v/>
      </c>
      <c r="B130" s="22" t="n">
        <v>138</v>
      </c>
      <c r="C130" s="22" t="n"/>
      <c r="D130" s="23" t="n"/>
      <c r="E130" s="22" t="n"/>
      <c r="F130" s="23" t="n"/>
      <c r="G130" s="22" t="n"/>
      <c r="H130" s="22" t="n"/>
      <c r="I130" s="23" t="n"/>
      <c r="J130" s="22" t="n"/>
      <c r="K130" s="22" t="n"/>
      <c r="L130" s="23" t="n"/>
      <c r="M130" s="22" t="n"/>
      <c r="N130" s="22" t="n"/>
      <c r="O130" s="23" t="n"/>
      <c r="P130" s="22" t="n"/>
      <c r="Q130" s="22" t="n"/>
      <c r="R130" s="23" t="n"/>
      <c r="S130" s="23" t="n"/>
      <c r="T130" s="82" t="n"/>
      <c r="U130" s="23" t="n"/>
      <c r="V130" s="82" t="n"/>
      <c r="W130" s="23" t="n"/>
      <c r="X130" s="82" t="n"/>
      <c r="Y130" s="23" t="n"/>
      <c r="Z130" s="82" t="n"/>
      <c r="AA130" s="23" t="n"/>
      <c r="AB130" s="23" t="n"/>
      <c r="AC130" s="7" t="n"/>
      <c r="AD130" s="7" t="n"/>
      <c r="AE130" s="61">
        <f>IF(Tasks[[#This Row],[Task Name]]="","",IF(Tasks[[#This Row],[_IsSummary]],MIN(INDEX(Tasks[_ShownFcstStart],Tasks[[#This Row],[_Row]]+1):INDEX(Tasks[_ShownFcstStart],Tasks[[#This Row],[_Row]]+Tasks[[#This Row],[_Descendants]])),Tasks[[#This Row],[_ShownFcstStart]]))</f>
        <v/>
      </c>
      <c r="AF130" s="61">
        <f>IF(Tasks[[#This Row],[Task Name]]="","",IF(Tasks[[#This Row],[_IsSummary]],MAX(INDEX(Tasks[_ShownFcstFinish],Tasks[[#This Row],[_Row]]+1):INDEX(Tasks[_ShownFcstFinish],Tasks[[#This Row],[_Row]]+Tasks[[#This Row],[_Descendants]])),Tasks[[#This Row],[_ShownFcstFinish]]))</f>
        <v/>
      </c>
      <c r="AG130" s="21">
        <f>""</f>
        <v/>
      </c>
      <c r="AH130" s="23" t="n"/>
      <c r="AI13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0" s="7" t="n"/>
      <c r="AK130" s="22" t="n"/>
      <c r="AL130" s="23" t="n"/>
      <c r="AM130" s="7" t="n"/>
      <c r="AN130" s="21">
        <f>IF(Tasks[[#This Row],[Task Name]]="","",IF(Tasks[[#This Row],[Finish]]&gt;=Tasks[[#This Row],[Planned Finish]],NETWORKDAYS.INTL(Tasks[[#This Row],[Planned Finish]],Tasks[[#This Row],[Finish]],WorkWeek,Holidays)-1,1-NETWORKDAYS.INTL(Tasks[[#This Row],[Finish]],Tasks[[#This Row],[Planned Finish]],WorkWeek,Holidays)))</f>
        <v/>
      </c>
      <c r="AO130" s="21">
        <f>IF(Tasks[[#This Row],[Task Name]]="","",IF(Tasks[[#This Row],[Progress]]&gt;=1,"Complete",IF(OR(N(Tasks[[#This Row],[Actual Start]])&gt;0,Tasks[[#This Row],[Progress]]&gt;0),IF(Tasks[[#This Row],[Finish Var]]&gt;0,"Behind","In Progress"),IF(Tasks[[#This Row],[Planned Start]]&lt;StatusDate,"Late Start","Not Started"))))</f>
        <v/>
      </c>
      <c r="AP130" s="21">
        <f>IF(Tasks[[#This Row],[Task Name]]="","",IF(IF(Tasks[[#This Row],[_IsSummary]],COUNTIF(INDEX(Tasks[_LeafCritical],Tasks[[#This Row],[_Row]]+1):INDEX(Tasks[_LeafCritical],Tasks[[#This Row],[_Row]]+Tasks[[#This Row],[_Descendants]]),TRUE())&gt;0,Tasks[[#This Row],[_LeafCritical]]),"Yes",""))</f>
        <v/>
      </c>
      <c r="AQ130" s="61">
        <f>IF(Tasks[[#This Row],[Task Name]]="","",IF(N(Tasks[[#This Row],[Baseline Start]])&gt;0,Tasks[[#This Row],[Baseline Start]],Tasks[[#This Row],[_CalcStart]]))</f>
        <v/>
      </c>
      <c r="AR130" s="61">
        <f>IF(Tasks[[#This Row],[Task Name]]="","",IF(N(Tasks[[#This Row],[Baseline Finish]])&gt;0,Tasks[[#This Row],[Baseline Finish]],Tasks[[#This Row],[_CalcFinish]]))</f>
        <v/>
      </c>
      <c r="AS130" s="21">
        <f>IF(Tasks[[#This Row],[Task Name]]="","",IF(Tasks[[#This Row],[Start]]&gt;=Tasks[[#This Row],[Planned Start]],NETWORKDAYS.INTL(Tasks[[#This Row],[Planned Start]],Tasks[[#This Row],[Start]],WorkWeek,Holidays)-1,1-NETWORKDAYS.INTL(Tasks[[#This Row],[Start]],Tasks[[#This Row],[Planned Start]],WorkWeek,Holidays)))</f>
        <v/>
      </c>
      <c r="AT130" s="61">
        <f>IF(Tasks[[#This Row],[Task Name]]="","",IF(Tasks[[#This Row],[_IsSummary]],MIN(INDEX(Tasks[_LeafLateStart],Tasks[[#This Row],[_Row]]+1):INDEX(Tasks[_LeafLateStart],Tasks[[#This Row],[_Row]]+Tasks[[#This Row],[_Descendants]])),Tasks[[#This Row],[_LeafLateStart]]))</f>
        <v/>
      </c>
      <c r="AU130" s="61">
        <f>IF(Tasks[[#This Row],[Task Name]]="","",IF(Tasks[[#This Row],[_IsSummary]],MAX(INDEX(Tasks[_LeafLateFinish],Tasks[[#This Row],[_Row]]+1):INDEX(Tasks[_LeafLateFinish],Tasks[[#This Row],[_Row]]+Tasks[[#This Row],[_Descendants]])),Tasks[[#This Row],[_LeafLateFinish]]))</f>
        <v/>
      </c>
      <c r="AV130" s="21">
        <f>IF(Tasks[[#This Row],[Task Name]]="","",IF(Tasks[[#This Row],[_IsSummary]],MIN(INDEX(Tasks[_LeafTotalSlack],Tasks[[#This Row],[_Row]]+1):INDEX(Tasks[_LeafTotalSlack],Tasks[[#This Row],[_Row]]+Tasks[[#This Row],[_Descendants]])),Tasks[[#This Row],[_LeafTotalSlack]]))</f>
        <v/>
      </c>
      <c r="AW13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3" t="n"/>
      <c r="BA13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f>IF(Tasks[[#This Row],[Task Name]]="","",IF(Tasks[[#This Row],[_Level]]&lt;=OutlineShowLevel,"Yes","No"))</f>
        <v/>
      </c>
      <c r="BE130" s="84">
        <f>IF(Tasks[[#This Row],[Task Name]]="","",IF(Tasks[[#This Row],[_IsSummary]],SUM(INDEX(Tasks[_LeafTotalWork],Tasks[[#This Row],[_Row]]+1):INDEX(Tasks[_LeafTotalWork],Tasks[[#This Row],[_Row]]+Tasks[[#This Row],[_Descendants]])),Tasks[[#This Row],[_LeafTotalWork]]))</f>
        <v/>
      </c>
      <c r="BF130" s="23" t="n"/>
      <c r="BG13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f>""</f>
        <v/>
      </c>
      <c r="BI130" s="85" t="n"/>
      <c r="BJ130" s="22" t="n"/>
      <c r="BK130" s="21">
        <f>IF(OR(Tasks[[#This Row],[Task Name]]="",Tasks[[#This Row],[Baseline Duration]]=""),"",Tasks[[#This Row],[_SpanDays]]-N(Tasks[[#This Row],[Baseline Duration]]))</f>
        <v/>
      </c>
      <c r="BL130" s="84">
        <f>IF(OR(Tasks[[#This Row],[Task Name]]="",Tasks[[#This Row],[Baseline Work]]=""),"",Tasks[[#This Row],[Work]]-N(Tasks[[#This Row],[Baseline Work]]))</f>
        <v/>
      </c>
      <c r="BM130" s="61">
        <f>IF(Tasks[[#This Row],[Task Name]]="","",IF(OR(TakeBaseline="Yes",N(Tasks[[#This Row],[Baseline Start]])=0),Tasks[[#This Row],[Start]],Tasks[[#This Row],[Baseline Start]]))</f>
        <v/>
      </c>
      <c r="BN130" s="61">
        <f>IF(Tasks[[#This Row],[Task Name]]="","",IF(OR(TakeBaseline="Yes",N(Tasks[[#This Row],[Baseline Finish]])=0),Tasks[[#This Row],[Finish]],Tasks[[#This Row],[Baseline Finish]]))</f>
        <v/>
      </c>
      <c r="BO130" s="21">
        <f>IF(Tasks[[#This Row],[Task Name]]="","",IF(OR(TakeBaseline="Yes",N(Tasks[[#This Row],[Baseline Duration]])=0),Tasks[[#This Row],[_SpanDays]],Tasks[[#This Row],[Baseline Duration]]))</f>
        <v/>
      </c>
      <c r="BP130" s="84">
        <f>IF(Tasks[[#This Row],[Task Name]]="","",IF(OR(TakeBaseline="Yes",N(Tasks[[#This Row],[Baseline Work]])=0),Tasks[[#This Row],[Work]],Tasks[[#This Row],[Baseline Work]]))</f>
        <v/>
      </c>
      <c r="BQ130" s="7" t="n"/>
      <c r="BR130" s="7" t="n"/>
      <c r="BS130" s="22" t="n"/>
      <c r="BT130" s="86" t="n"/>
      <c r="BU130" s="23" t="n"/>
      <c r="BV130" s="23" t="n"/>
      <c r="BW130" s="23" t="n"/>
      <c r="BX130" s="87">
        <f>IF(AND(Tasks[[#This Row],[_IsLeaf]]=1,ISNUMBER(Tasks[[#This Row],[Optimistic]]),ISNUMBER(Tasks[[#This Row],[Pessimistic]])),ROUND((Tasks[[#This Row],[Optimistic]]+4*N(Tasks[[#This Row],[_Days]])+Tasks[[#This Row],[Pessimistic]])/6,1),"")</f>
        <v/>
      </c>
      <c r="BY130" s="85" t="n"/>
      <c r="BZ130" s="85" t="n"/>
      <c r="CA130" s="22" t="n"/>
      <c r="CB130" s="42">
        <f>IF(Tasks[[#This Row],[Task Name]]="","",MAX(1,N(Tasks[[#This Row],[Level]])))</f>
        <v/>
      </c>
      <c r="CC130" s="42">
        <f>ROW()-ROW(Tasks[[#Headers],[ID]])</f>
        <v/>
      </c>
      <c r="CD130" s="42">
        <f>IF(OR(Tasks[[#This Row],[Task Name]]="",Tasks[[#This Row],[_Level]]&lt;=1),0,IFERROR(LOOKUP(2,1/(Tasks[[#Headers],[_Level]]:Tasks[[#This Row],[_Level]]=Tasks[[#This Row],[_Level]]-1),ROW(Tasks[[#Headers],[_Level]]:Tasks[[#This Row],[_Level]])),0))</f>
        <v/>
      </c>
      <c r="CE130" s="42">
        <f>IFERROR(N(INDEX(Tasks[_Level],Tasks[[#This Row],[_Row]]+1)),0)</f>
        <v/>
      </c>
      <c r="CF130" s="42">
        <f>AND(Tasks[[#This Row],[Task Name]]&lt;&gt;"",Tasks[[#This Row],[_NextLevel]]&gt;Tasks[[#This Row],[_Level]])</f>
        <v/>
      </c>
      <c r="CG130" s="42">
        <f>IF(Tasks[[#This Row],[_IsSummary]],COUNTIF(Tasks[WBS],Tasks[[#This Row],[WBS]]&amp;".*"),0)</f>
        <v/>
      </c>
      <c r="CH130" s="42">
        <f>IF(AND(Tasks[[#This Row],[Task Name]]&lt;&gt;"",NOT(Tasks[[#This Row],[_IsSummary]])),1,0)</f>
        <v/>
      </c>
      <c r="CI130" s="42">
        <f>IF(N(Tasks[[#This Row],[_Pred1UID]])=0,0,IFERROR(MATCH(Tasks[[#This Row],[_Pred1UID]],Tasks[UID],0),-1))</f>
        <v/>
      </c>
      <c r="CJ130" s="42">
        <f>IF(N(Tasks[[#This Row],[_Pred2UID]])=0,0,IFERROR(MATCH(Tasks[[#This Row],[_Pred2UID]],Tasks[UID],0),-1))</f>
        <v/>
      </c>
      <c r="CK130" s="42">
        <f>IF(N(Tasks[[#This Row],[_Pred3UID]])=0,0,IFERROR(MATCH(Tasks[[#This Row],[_Pred3UID]],Tasks[UID],0),-1))</f>
        <v/>
      </c>
      <c r="CL130" s="42">
        <f>IF(N(Tasks[[#This Row],[_Pred4UID]])=0,0,IFERROR(MATCH(Tasks[[#This Row],[_Pred4UID]],Tasks[UID],0),-1))</f>
        <v/>
      </c>
      <c r="CM13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0" s="88">
        <f>IF(N(Tasks[[#This Row],[Constraint Date]])=0,0,IF(AND(OR(Tasks[[#This Row],[_ConstraintCode]]=3,Tasks[[#This Row],[_ConstraintCode]]=6,Tasks[[#This Row],[_ConstraintCode]]=7),N(Tasks[[#This Row],[_Days]])&gt;1),WORKDAY.INTL(N(Tasks[[#This Row],[Constraint Date]]),-(N(Tasks[[#This Row],[_Days]])-1),WorkWeek,Holidays),N(Tasks[[#This Row],[Constraint Date]])))</f>
        <v/>
      </c>
      <c r="CO130" s="88">
        <f>IF(OR(Tasks[[#This Row],[_ConstraintCode]]=2,Tasks[[#This Row],[_ConstraintCode]]=3,Tasks[[#This Row],[_ConstraintCode]]=4,Tasks[[#This Row],[_ConstraintCode]]=6),Tasks[[#This Row],[_ConstraintStart]],0)</f>
        <v/>
      </c>
      <c r="CP130" s="88">
        <f>IF(OR(Tasks[[#This Row],[_ConstraintCode]]=2,Tasks[[#This Row],[_ConstraintCode]]=3,Tasks[[#This Row],[_ConstraintCode]]=5,Tasks[[#This Row],[_ConstraintCode]]=7),Tasks[[#This Row],[_ConstraintStart]],2958465)</f>
        <v/>
      </c>
      <c r="CQ13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0" s="88">
        <f>IF(NOT(Tasks[[#This Row],[_IsLeaf]]=1),"",IF(N(Tasks[[#This Row],[_Days]])&lt;=0,Tasks[[#This Row],[_LeafCalcStart]],WORKDAY.INTL(Tasks[[#This Row],[_LeafCalcStart]],Tasks[[#This Row],[_Days]]-1,WorkWeek,Holidays)))</f>
        <v/>
      </c>
      <c r="CS13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0" s="42">
        <f>IF(Tasks[[#This Row],[_Predecessors]]="","",TRIM(MID(SUBSTITUTE(SUBSTITUTE(SUBSTITUTE(UPPER(Tasks[[#This Row],[_Predecessors]]),";",",")," ",""),",",REPT(" ",99)),1,99)))</f>
        <v/>
      </c>
      <c r="CV130" s="42">
        <f>IF(Tasks[[#This Row],[_Pred1Text]]="","",IFERROR(VALUE(LEFT(Tasks[[#This Row],[_Pred1Text]],MIN(FIND("F",Tasks[[#This Row],[_Pred1Text]]&amp;"F"),FIND("S",Tasks[[#This Row],[_Pred1Text]]&amp;"S"),FIND("+",Tasks[[#This Row],[_Pred1Text]]&amp;"+"),FIND("-",Tasks[[#This Row],[_Pred1Text]]&amp;"-"))-1)),""))</f>
        <v/>
      </c>
      <c r="CW13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0" s="42">
        <f>IF(Tasks[[#This Row],[_Pred1Text]]="","",TRIM(MID(SUBSTITUTE(SUBSTITUTE(SUBSTITUTE(UPPER(Tasks[[#This Row],[_Predecessors]]),";",",")," ",""),",",REPT(" ",99)),100,99)))</f>
        <v/>
      </c>
      <c r="CZ130" s="42">
        <f>IF(Tasks[[#This Row],[_Pred2Text]]="","",IFERROR(VALUE(LEFT(Tasks[[#This Row],[_Pred2Text]],MIN(FIND("F",Tasks[[#This Row],[_Pred2Text]]&amp;"F"),FIND("S",Tasks[[#This Row],[_Pred2Text]]&amp;"S"),FIND("+",Tasks[[#This Row],[_Pred2Text]]&amp;"+"),FIND("-",Tasks[[#This Row],[_Pred2Text]]&amp;"-"))-1)),""))</f>
        <v/>
      </c>
      <c r="DA13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0" s="42">
        <f>IF(Tasks[[#This Row],[_Pred2Text]]="","",TRIM(MID(SUBSTITUTE(SUBSTITUTE(SUBSTITUTE(UPPER(Tasks[[#This Row],[_Predecessors]]),";",",")," ",""),",",REPT(" ",99)),199,99)))</f>
        <v/>
      </c>
      <c r="DD130" s="42">
        <f>IF(Tasks[[#This Row],[_Pred3Text]]="","",IFERROR(VALUE(LEFT(Tasks[[#This Row],[_Pred3Text]],MIN(FIND("F",Tasks[[#This Row],[_Pred3Text]]&amp;"F"),FIND("S",Tasks[[#This Row],[_Pred3Text]]&amp;"S"),FIND("+",Tasks[[#This Row],[_Pred3Text]]&amp;"+"),FIND("-",Tasks[[#This Row],[_Pred3Text]]&amp;"-"))-1)),""))</f>
        <v/>
      </c>
      <c r="DE13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0" s="42">
        <f>IF(Tasks[[#This Row],[_Pred3Text]]="","",TRIM(MID(SUBSTITUTE(SUBSTITUTE(SUBSTITUTE(UPPER(Tasks[[#This Row],[_Predecessors]]),";",",")," ",""),",",REPT(" ",99)),298,99)))</f>
        <v/>
      </c>
      <c r="DH130" s="42">
        <f>IF(Tasks[[#This Row],[_Pred4Text]]="","",IFERROR(VALUE(LEFT(Tasks[[#This Row],[_Pred4Text]],MIN(FIND("F",Tasks[[#This Row],[_Pred4Text]]&amp;"F"),FIND("S",Tasks[[#This Row],[_Pred4Text]]&amp;"S"),FIND("+",Tasks[[#This Row],[_Pred4Text]]&amp;"+"),FIND("-",Tasks[[#This Row],[_Pred4Text]]&amp;"-"))-1)),""))</f>
        <v/>
      </c>
      <c r="DI13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0" s="42">
        <f>IF(OR(Tasks[[#This Row],[Task Name]]="",Tasks[[#This Row],[_Resources]]=""),"",TRIM(MID(SUBSTITUTE(Tasks[[#This Row],[_Resources]],",",REPT(" ",99)),1,99)))</f>
        <v/>
      </c>
      <c r="DL130" s="42">
        <f>IF(Tasks[[#This Row],[_Res1Text]]="","",TRIM(MID(SUBSTITUTE(Tasks[[#This Row],[_Resources]],",",REPT(" ",99)),100,99)))</f>
        <v/>
      </c>
      <c r="DM130" s="42">
        <f>IF(Tasks[[#This Row],[_Res2Text]]="","",TRIM(MID(SUBSTITUTE(Tasks[[#This Row],[_Resources]],",",REPT(" ",99)),199,99)))</f>
        <v/>
      </c>
      <c r="DN130" s="42">
        <f>IF(Tasks[[#This Row],[_Res3Text]]="","",TRIM(MID(SUBSTITUTE(Tasks[[#This Row],[_Resources]],",",REPT(" ",99)),298,99)))</f>
        <v/>
      </c>
      <c r="DO130" s="42">
        <f>IF(Tasks[[#This Row],[_Res1Text]]="",0,IFERROR(MATCH(TRIM(LEFT(Tasks[[#This Row],[_Res1Text]],FIND("[",Tasks[[#This Row],[_Res1Text]]&amp;"[")-1)),res_Name,0),IFERROR(MATCH(TRIM(LEFT(Tasks[[#This Row],[_Res1Text]],FIND("[",Tasks[[#This Row],[_Res1Text]]&amp;"[")-1)),res_Initials,0),0)))</f>
        <v/>
      </c>
      <c r="DP130" s="42">
        <f>IF(Tasks[[#This Row],[_Res2Text]]="",0,IFERROR(MATCH(TRIM(LEFT(Tasks[[#This Row],[_Res2Text]],FIND("[",Tasks[[#This Row],[_Res2Text]]&amp;"[")-1)),res_Name,0),IFERROR(MATCH(TRIM(LEFT(Tasks[[#This Row],[_Res2Text]],FIND("[",Tasks[[#This Row],[_Res2Text]]&amp;"[")-1)),res_Initials,0),0)))</f>
        <v/>
      </c>
      <c r="DQ130" s="42">
        <f>IF(Tasks[[#This Row],[_Res3Text]]="",0,IFERROR(MATCH(TRIM(LEFT(Tasks[[#This Row],[_Res3Text]],FIND("[",Tasks[[#This Row],[_Res3Text]]&amp;"[")-1)),res_Name,0),IFERROR(MATCH(TRIM(LEFT(Tasks[[#This Row],[_Res3Text]],FIND("[",Tasks[[#This Row],[_Res3Text]]&amp;"[")-1)),res_Initials,0),0)))</f>
        <v/>
      </c>
      <c r="DR130" s="42">
        <f>IF(Tasks[[#This Row],[_Res4Text]]="",0,IFERROR(MATCH(TRIM(LEFT(Tasks[[#This Row],[_Res4Text]],FIND("[",Tasks[[#This Row],[_Res4Text]]&amp;"[")-1)),res_Name,0),IFERROR(MATCH(TRIM(LEFT(Tasks[[#This Row],[_Res4Text]],FIND("[",Tasks[[#This Row],[_Res4Text]]&amp;"[")-1)),res_Initials,0),0)))</f>
        <v/>
      </c>
      <c r="DS130" s="42">
        <f>IF(Tasks[[#This Row],[_Res1Text]]="","",IF(Tasks[[#This Row],[_Res1Row]]&gt;0,INDEX(res_Name,Tasks[[#This Row],[_Res1Row]]),TRIM(LEFT(Tasks[[#This Row],[_Res1Text]],FIND("[",Tasks[[#This Row],[_Res1Text]]&amp;"[")-1))))</f>
        <v/>
      </c>
      <c r="DT13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0" s="42">
        <f>IF(NOT(Tasks[[#This Row],[_IsLeaf]]=1),0,(Tasks[[#This Row],[_Resource1]]&lt;&gt;"")+(Tasks[[#This Row],[_Res2]]&lt;&gt;"")+(Tasks[[#This Row],[_Res3]]&lt;&gt;"")+(Tasks[[#This Row],[_Res4]]&lt;&gt;""))</f>
        <v/>
      </c>
      <c r="DV130" s="42">
        <f>IF(Tasks[[#This Row],[_Res2Text]]="","",IF(Tasks[[#This Row],[_Res2Row]]&gt;0,INDEX(res_Name,Tasks[[#This Row],[_Res2Row]]),TRIM(LEFT(Tasks[[#This Row],[_Res2Text]],FIND("[",Tasks[[#This Row],[_Res2Text]]&amp;"[")-1))))</f>
        <v/>
      </c>
      <c r="DW13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0" s="42">
        <f>IF(OR(NOT(Tasks[[#This Row],[_IsLeaf]]=1),Tasks[[#This Row],[_Res2Row]]=0),0,N(Tasks[[#This Row],[_Days]])*HoursPerDay*IF(Tasks[[#This Row],[_Res2Units]]="",DefaultUnits,Tasks[[#This Row],[_Res2Units]]))</f>
        <v/>
      </c>
      <c r="DY130" s="42">
        <f>IF(AND(AND(Tasks[[#This Row],[_IsLeaf]]=1,Tasks[[#This Row],[_LeafTotalWork]]&gt;0),Tasks[[#This Row],[_Res2Work]]&gt;0),Tasks[[#This Row],[_Res2Work]]/(Tasks[[#This Row],[_FinishWorkday]]-Tasks[[#This Row],[_StartWorkday]]+1),0)</f>
        <v/>
      </c>
      <c r="DZ130" s="42">
        <f>Tasks[[#This Row],[_Res2WorkPerWD]]*MAX(0,Tasks[[#This Row],[_StartWorkday]]-1)</f>
        <v/>
      </c>
      <c r="EA130" s="42">
        <f>Tasks[[#This Row],[_Res2Work]]*Tasks[[#This Row],[_LeafProgress]]</f>
        <v/>
      </c>
      <c r="EB130" s="42">
        <f>IF(Tasks[[#This Row],[_Res3Text]]="","",IF(Tasks[[#This Row],[_Res3Row]]&gt;0,INDEX(res_Name,Tasks[[#This Row],[_Res3Row]]),TRIM(LEFT(Tasks[[#This Row],[_Res3Text]],FIND("[",Tasks[[#This Row],[_Res3Text]]&amp;"[")-1))))</f>
        <v/>
      </c>
      <c r="EC13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0" s="42">
        <f>IF(OR(NOT(Tasks[[#This Row],[_IsLeaf]]=1),Tasks[[#This Row],[_Res3Row]]=0),0,N(Tasks[[#This Row],[_Days]])*HoursPerDay*IF(Tasks[[#This Row],[_Res3Units]]="",DefaultUnits,Tasks[[#This Row],[_Res3Units]]))</f>
        <v/>
      </c>
      <c r="EE130" s="42">
        <f>IF(AND(AND(Tasks[[#This Row],[_IsLeaf]]=1,Tasks[[#This Row],[_LeafTotalWork]]&gt;0),Tasks[[#This Row],[_Res3Work]]&gt;0),Tasks[[#This Row],[_Res3Work]]/(Tasks[[#This Row],[_FinishWorkday]]-Tasks[[#This Row],[_StartWorkday]]+1),0)</f>
        <v/>
      </c>
      <c r="EF130" s="42">
        <f>Tasks[[#This Row],[_Res3WorkPerWD]]*MAX(0,Tasks[[#This Row],[_StartWorkday]]-1)</f>
        <v/>
      </c>
      <c r="EG130" s="42">
        <f>Tasks[[#This Row],[_Res3Work]]*Tasks[[#This Row],[_LeafProgress]]</f>
        <v/>
      </c>
      <c r="EH130" s="42">
        <f>IF(Tasks[[#This Row],[_Res4Text]]="","",IF(Tasks[[#This Row],[_Res4Row]]&gt;0,INDEX(res_Name,Tasks[[#This Row],[_Res4Row]]),TRIM(LEFT(Tasks[[#This Row],[_Res4Text]],FIND("[",Tasks[[#This Row],[_Res4Text]]&amp;"[")-1))))</f>
        <v/>
      </c>
      <c r="EI13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0" s="42">
        <f>IF(OR(NOT(Tasks[[#This Row],[_IsLeaf]]=1),Tasks[[#This Row],[_Res4Row]]=0),0,N(Tasks[[#This Row],[_Days]])*HoursPerDay*IF(Tasks[[#This Row],[_Res4Units]]="",DefaultUnits,Tasks[[#This Row],[_Res4Units]]))</f>
        <v/>
      </c>
      <c r="EK130" s="42">
        <f>IF(AND(AND(Tasks[[#This Row],[_IsLeaf]]=1,Tasks[[#This Row],[_LeafTotalWork]]&gt;0),Tasks[[#This Row],[_Res4Work]]&gt;0),Tasks[[#This Row],[_Res4Work]]/(Tasks[[#This Row],[_FinishWorkday]]-Tasks[[#This Row],[_StartWorkday]]+1),0)</f>
        <v/>
      </c>
      <c r="EL130" s="42">
        <f>Tasks[[#This Row],[_Res4WorkPerWD]]*MAX(0,Tasks[[#This Row],[_StartWorkday]]-1)</f>
        <v/>
      </c>
      <c r="EM130" s="42">
        <f>Tasks[[#This Row],[_Res4Work]]*Tasks[[#This Row],[_LeafProgress]]</f>
        <v/>
      </c>
      <c r="EN130" s="42">
        <f>IF(ISNUMBER(Tasks[[#This Row],[% Complete]]),Tasks[[#This Row],[% Complete]],IF(Tasks[[#This Row],[Stage]]="",0,IFERROR(INDEX(stg_Pct,MATCH(Tasks[[#This Row],[Stage]],stg_Name,0)),0)))</f>
        <v/>
      </c>
      <c r="EO130" s="42">
        <f>IF(NOT(Tasks[[#This Row],[_IsLeaf]]=1),0,IF(N(Tasks[[#This Row],[Actual Finish]])&gt;0,1,MIN(1,Tasks[[#This Row],[_Pct]])))</f>
        <v/>
      </c>
      <c r="EP130" s="42">
        <f>IF(OR(NOT(Tasks[[#This Row],[_IsLeaf]]=1),Tasks[[#This Row],[_Res1Row]]=0),0,N(Tasks[[#This Row],[_Days]])*HoursPerDay*IF(Tasks[[#This Row],[_Units1]]="",DefaultUnits,Tasks[[#This Row],[_Units1]]))</f>
        <v/>
      </c>
      <c r="EQ130" s="42">
        <f>Tasks[[#This Row],[_LeafWork]]+Tasks[[#This Row],[_Res2Work]]+Tasks[[#This Row],[_Res3Work]]+Tasks[[#This Row],[_Res4Work]]</f>
        <v/>
      </c>
      <c r="ER13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0" s="42">
        <f>IF(NOT(Tasks[[#This Row],[_IsLeaf]]=1),0,MAX(_xlfn.MAXIFS(Tasks[_Row],Tasks[_Pred1UID],Tasks[[#This Row],[UID]]),_xlfn.MAXIFS(Tasks[_Row],Tasks[_Pred2UID],Tasks[[#This Row],[UID]]),_xlfn.MAXIFS(Tasks[_Row],Tasks[_Pred3UID],Tasks[[#This Row],[UID]]),_xlfn.MAXIFS(Tasks[_Row],Tasks[_Pred4UID],Tasks[[#This Row],[UID]])))</f>
        <v/>
      </c>
      <c r="FA13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0" s="88">
        <f>IF(NOT(Tasks[[#This Row],[_IsLeaf]]=1),"",IF(N(Tasks[[#This Row],[_Days]])&lt;=0,Tasks[[#This Row],[_LeafLateFinish]],WORKDAY.INTL(Tasks[[#This Row],[_LeafLateFinish]],-(Tasks[[#This Row],[_Days]]-1),WorkWeek,Holidays)))</f>
        <v/>
      </c>
      <c r="FD13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0" s="42">
        <f>AND(Tasks[[#This Row],[_IsLeaf]]=1,Tasks[[#This Row],[_LeafProgress]]&lt;1,N(Tasks[[#This Row],[_LeafTotalSlack]])&lt;=CriticalSlackDays)</f>
        <v/>
      </c>
      <c r="FF130" s="42">
        <f>IF(AND(Tasks[[#This Row],[_IsLeaf]]=1,Tasks[[#This Row],[_ConstraintCode]]=1,Tasks[[#This Row],[Mode]]&lt;&gt;"Manual",N(Tasks[[#This Row],[Actual Start]])=0),MAX(0,N(Tasks[[#This Row],[Free Slack]])),0)</f>
        <v/>
      </c>
      <c r="FG130" s="88">
        <f>IF(NOT(Tasks[[#This Row],[_IsLeaf]]=1),"",IF(Tasks[[#This Row],[_AlapShift]]=0,Tasks[[#This Row],[_LeafCalcStart]],WORKDAY.INTL(Tasks[[#This Row],[_LeafCalcStart]],Tasks[[#This Row],[_AlapShift]],WorkWeek,Holidays)))</f>
        <v/>
      </c>
      <c r="FH130" s="88">
        <f>IF(NOT(Tasks[[#This Row],[_IsLeaf]]=1),"",IF(Tasks[[#This Row],[_AlapShift]]=0,Tasks[[#This Row],[_LeafCalcFinish]],WORKDAY.INTL(Tasks[[#This Row],[_LeafCalcFinish]],Tasks[[#This Row],[_AlapShift]],WorkWeek,Holidays)))</f>
        <v/>
      </c>
      <c r="FI130" s="88">
        <f>IF(NOT(Tasks[[#This Row],[_IsLeaf]]=1),"",IF(Tasks[[#This Row],[_AlapShift]]=0,Tasks[[#This Row],[_LeafFcstStart]],WORKDAY.INTL(Tasks[[#This Row],[_LeafFcstStart]],Tasks[[#This Row],[_AlapShift]],WorkWeek,Holidays)))</f>
        <v/>
      </c>
      <c r="FJ130" s="88">
        <f>IF(NOT(Tasks[[#This Row],[_IsLeaf]]=1),"",IF(Tasks[[#This Row],[_AlapShift]]=0,Tasks[[#This Row],[_LeafFcstFinish]],WORKDAY.INTL(Tasks[[#This Row],[_LeafFcstFinish]],Tasks[[#This Row],[_AlapShift]],WorkWeek,Holidays)))</f>
        <v/>
      </c>
      <c r="FK130" s="88">
        <f>IF(Tasks[[#This Row],[Task Name]]="","",IF(Tasks[[#This Row],[_IsSummary]],MIN(INDEX(Tasks[_ShownCalcStart],Tasks[[#This Row],[_Row]]+1):INDEX(Tasks[_ShownCalcStart],Tasks[[#This Row],[_Row]]+Tasks[[#This Row],[_Descendants]])),Tasks[[#This Row],[_ShownCalcStart]]))</f>
        <v/>
      </c>
      <c r="FL130" s="88">
        <f>IF(Tasks[[#This Row],[Task Name]]="","",IF(Tasks[[#This Row],[_IsSummary]],MAX(INDEX(Tasks[_ShownCalcFinish],Tasks[[#This Row],[_Row]]+1):INDEX(Tasks[_ShownCalcFinish],Tasks[[#This Row],[_Row]]+Tasks[[#This Row],[_Descendants]])),Tasks[[#This Row],[_ShownCalcFinish]]))</f>
        <v/>
      </c>
      <c r="FM13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0" s="42">
        <f>IF(AND(Tasks[[#This Row],[_IsLeaf]]=1,Tasks[[#This Row],[_LeafTotalWork]]&gt;0),NETWORKDAYS.INTL(ProjectStart,Tasks[[#This Row],[_ShownFcstStart]],WorkWeek,Holidays),0)</f>
        <v/>
      </c>
      <c r="FZ130" s="42">
        <f>IF(AND(Tasks[[#This Row],[_IsLeaf]]=1,Tasks[[#This Row],[_LeafTotalWork]]&gt;0),MAX(Tasks[[#This Row],[_StartWorkday]],NETWORKDAYS.INTL(ProjectStart,Tasks[[#This Row],[_ShownFcstFinish]],WorkWeek,Holidays)),0)</f>
        <v/>
      </c>
      <c r="GA130" s="42">
        <f>IF(AND(Tasks[[#This Row],[_IsLeaf]]=1,Tasks[[#This Row],[_LeafTotalWork]]&gt;0),Tasks[[#This Row],[_LeafWork]]/(Tasks[[#This Row],[_FinishWorkday]]-Tasks[[#This Row],[_StartWorkday]]+1),0)</f>
        <v/>
      </c>
      <c r="GB130" s="42">
        <f>Tasks[[#This Row],[_WorkPerWorkday]]*(Tasks[[#This Row],[_StartWorkday]]-1)</f>
        <v/>
      </c>
      <c r="GC130" s="42">
        <f>IF(Tasks[[#This Row],[_IsLeaf]]=1,MAX(N(Tasks[[#This Row],[_Days]]),0.1),0)</f>
        <v/>
      </c>
      <c r="GD130" s="42">
        <f>Tasks[[#This Row],[_WeightDur]]*Tasks[[#This Row],[_LeafProgress]]</f>
        <v/>
      </c>
      <c r="GE130" s="42">
        <f>Tasks[[#This Row],[_WeightDur]]*Tasks[[#This Row],[_PlannedPct]]</f>
        <v/>
      </c>
      <c r="GF13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0" s="42">
        <f>IF(AND(Tasks[[#This Row],[_IsLeaf]]=1,N(Tasks[[#This Row],[_Days]])=0,Tasks[[#This Row],[_LeafProgress]]&lt;1),Tasks[[#This Row],[_ShownFcstFinish]]+Tasks[[#This Row],[_Row]]/100000,"")</f>
        <v/>
      </c>
      <c r="GH13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0" s="42">
        <f>IF(Tasks[[#This Row],[Task Name]]="","",LEFT(Tasks[[#This Row],[WBS]],FIND(".",Tasks[[#This Row],[WBS]]&amp;".")-1))</f>
        <v/>
      </c>
      <c r="GJ130" s="42">
        <f>IF(AND(Tasks[[#This Row],[Task Name]]&lt;&gt;"",Tasks[[#This Row],[_Level]]=1),Tasks[[#This Row],[_Row]],"")</f>
        <v/>
      </c>
      <c r="GK130" s="42">
        <f>IF(AND(Tasks[[#This Row],[_IsLeaf]]=1,N(Tasks[[#This Row],[_Days]])=0),Tasks[[#This Row],[Planned Finish]]+Tasks[[#This Row],[_Row]]/100000,"")</f>
        <v/>
      </c>
      <c r="GL130" s="42">
        <f>IF(AND(Tasks[[#This Row],[_IsLeaf]]=1,Tasks[[#This Row],[_LeafProgress]]&lt;1,OR(N(Tasks[[#This Row],[Finish Var]])&gt;0,Tasks[[#This Row],[Status]]="Late Start")),MAX(0,Tasks[[#This Row],[Finish Var]])+1-Tasks[[#This Row],[_Row]]/1000000,"")</f>
        <v/>
      </c>
      <c r="GM130" s="42">
        <f>IF(AND(Tasks[[#This Row],[_IsLeaf]]=1,N(Tasks[[#This Row],[Actual Start]])=0,Tasks[[#This Row],[_ShownFcstStart]]&gt;=StatusDate,Tasks[[#This Row],[_ShownFcstStart]]&lt;=LookaheadEnd),Tasks[[#This Row],[_ShownFcstStart]]+Tasks[[#This Row],[_Row]]/100000,"")</f>
        <v/>
      </c>
      <c r="GN130" s="42">
        <f>IF(AND(Tasks[[#This Row],[_IsLeaf]]=1,Tasks[[#This Row],[_LeafProgress]]&lt;1,Tasks[[#This Row],[_ShownFcstFinish]]&gt;=StatusDate,Tasks[[#This Row],[_ShownFcstFinish]]&lt;=LookaheadEnd),Tasks[[#This Row],[_ShownFcstFinish]]+Tasks[[#This Row],[_Row]]/100000,"")</f>
        <v/>
      </c>
      <c r="GO130" s="42">
        <f>IF(Tasks[[#This Row],[_LeafCritical]],Tasks[[#This Row],[_ShownFcstStart]]+Tasks[[#This Row],[_Row]]/100000,"")</f>
        <v/>
      </c>
      <c r="GP130" s="42">
        <f>Tasks[[#This Row],[_LeafWork]]*Tasks[[#This Row],[_LeafProgress]]</f>
        <v/>
      </c>
      <c r="GQ130" s="88">
        <f>IF(AND(Tasks[[#This Row],[_IsLeaf]]=1,Tasks[[#This Row],[_LeafProgress]]&gt;=1),IF(N(Tasks[[#This Row],[Actual Finish]])&gt;0,Tasks[[#This Row],[Actual Finish]],Tasks[[#This Row],[_ShownFcstFinish]]),"")</f>
        <v/>
      </c>
      <c r="GR130" s="42">
        <f>IF(Tasks[[#This Row],[_IsLeaf]]=1,N(Tasks[[#This Row],[Story Points]]),0)</f>
        <v/>
      </c>
      <c r="GS130" s="42">
        <f>""</f>
        <v/>
      </c>
      <c r="GT130" s="42">
        <f>IF(Tasks[[#This Row],[Task Name]]="",FALSE(),AND(Tasks[[#This Row],[_IsLeaf]]=1,N(Tasks[[#This Row],[_Days]])=0))</f>
        <v/>
      </c>
      <c r="GU130" s="88">
        <f>IF(Tasks[[#This Row],[Task Name]]="",0,IF(AND(Tasks[[#This Row],[_IsLeaf]]=1,NOT(Tasks[[#This Row],[_IsMilestone]]),N(Tasks[[#This Row],[Progress]])&gt;0),Tasks[[#This Row],[Start]],0))</f>
        <v/>
      </c>
      <c r="GV130" s="88">
        <f>IF(Tasks[[#This Row],[_DoneFrom]]=0,0,IF(Tasks[[#This Row],[Progress]]&gt;=1,Tasks[[#This Row],[Finish]],MAX(Tasks[[#This Row],[_DoneFrom]],Tasks[[#This Row],[Start]]+ROUND((Tasks[[#This Row],[Finish]]-Tasks[[#This Row],[Start]]+1)*Tasks[[#This Row],[Progress]],0)-1)))</f>
        <v/>
      </c>
      <c r="GW130" s="88">
        <f>IF(Tasks[[#This Row],[Task Name]]="",0,IF(OR(NOT(Tasks[[#This Row],[_IsLeaf]]=1),Tasks[[#This Row],[_IsMilestone]],N(Tasks[[#This Row],[Progress]])&gt;=1),0,IF(Tasks[[#This Row],[_DoneTo]]&gt;0,Tasks[[#This Row],[_DoneTo]]+1,Tasks[[#This Row],[Start]])))</f>
        <v/>
      </c>
      <c r="GX130" s="88">
        <f>IF(Tasks[[#This Row],[_RemFrom]]=0,0,Tasks[[#This Row],[Finish]])</f>
        <v/>
      </c>
      <c r="GY130" s="42">
        <f>IF(Tasks[[#This Row],[Task Name]]="",FALSE(),OR(NOT(BaselineSet),N(Tasks[[#This Row],[Baseline Start]])&gt;0))</f>
        <v/>
      </c>
      <c r="GZ130" s="42">
        <f>IF(AND(Sandbox="Yes",L_PARSE_DURATION(Tasks[[#This Row],[Sandbox Duration]])&lt;&gt;""),L_PARSE_DURATION(Tasks[[#This Row],[Sandbox Duration]]),L_PARSE_DURATION(Tasks[[#This Row],[Duration]]))</f>
        <v/>
      </c>
      <c r="HA13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0" s="42">
        <f>IF(Tasks[[#This Row],[_IsLeaf]]=1,Tasks[[#This Row],[_Row]],"")</f>
        <v/>
      </c>
      <c r="HD130" s="42">
        <f>IFERROR(INDEX(Tasks[UID],SMALL(Tasks[_PickKey],Tasks[[#This Row],[_Row]]))&amp;" "&amp;INDEX(Tasks[Task Name],SMALL(Tasks[_PickKey],Tasks[[#This Row],[_Row]])),"")</f>
        <v/>
      </c>
      <c r="HE130" s="42">
        <f>IF(Tasks[[#This Row],[Task Name]]="","",IF(Tasks[[#This Row],[_IsSummary]],NETWORKDAYS.INTL(Tasks[[#This Row],[Start]],Tasks[[#This Row],[Finish]],WorkWeek,Holidays),N(Tasks[[#This Row],[_Days]])))</f>
        <v/>
      </c>
      <c r="HF130" s="42">
        <f>IF(Tasks[[#This Row],[Expected]]="",0,((Tasks[[#This Row],[Pessimistic]]-Tasks[[#This Row],[Optimistic]])/6)^2)</f>
        <v/>
      </c>
      <c r="HG130" s="42">
        <f>IF(Tasks[[#This Row],[Expected]]="",0,Tasks[[#This Row],[Expected]]-N(Tasks[[#This Row],[_Days]]))</f>
        <v/>
      </c>
    </row>
    <row r="131">
      <c r="A131" s="21">
        <f>IF(Tasks[[#This Row],[Task Name]]="","",COUNTA(Tasks[[#Headers],[Task Name]]:Tasks[[#This Row],[Task Name]])-1)</f>
        <v/>
      </c>
      <c r="B131" s="22" t="n">
        <v>139</v>
      </c>
      <c r="C131" s="22" t="n"/>
      <c r="D131" s="23" t="n"/>
      <c r="E131" s="22" t="n"/>
      <c r="F131" s="23" t="n"/>
      <c r="G131" s="22" t="n"/>
      <c r="H131" s="22" t="n"/>
      <c r="I131" s="23" t="n"/>
      <c r="J131" s="22" t="n"/>
      <c r="K131" s="22" t="n"/>
      <c r="L131" s="23" t="n"/>
      <c r="M131" s="22" t="n"/>
      <c r="N131" s="22" t="n"/>
      <c r="O131" s="23" t="n"/>
      <c r="P131" s="22" t="n"/>
      <c r="Q131" s="22" t="n"/>
      <c r="R131" s="23" t="n"/>
      <c r="S131" s="23" t="n"/>
      <c r="T131" s="82" t="n"/>
      <c r="U131" s="23" t="n"/>
      <c r="V131" s="82" t="n"/>
      <c r="W131" s="23" t="n"/>
      <c r="X131" s="82" t="n"/>
      <c r="Y131" s="23" t="n"/>
      <c r="Z131" s="82" t="n"/>
      <c r="AA131" s="23" t="n"/>
      <c r="AB131" s="23" t="n"/>
      <c r="AC131" s="7" t="n"/>
      <c r="AD131" s="7" t="n"/>
      <c r="AE131" s="61">
        <f>IF(Tasks[[#This Row],[Task Name]]="","",IF(Tasks[[#This Row],[_IsSummary]],MIN(INDEX(Tasks[_ShownFcstStart],Tasks[[#This Row],[_Row]]+1):INDEX(Tasks[_ShownFcstStart],Tasks[[#This Row],[_Row]]+Tasks[[#This Row],[_Descendants]])),Tasks[[#This Row],[_ShownFcstStart]]))</f>
        <v/>
      </c>
      <c r="AF131" s="61">
        <f>IF(Tasks[[#This Row],[Task Name]]="","",IF(Tasks[[#This Row],[_IsSummary]],MAX(INDEX(Tasks[_ShownFcstFinish],Tasks[[#This Row],[_Row]]+1):INDEX(Tasks[_ShownFcstFinish],Tasks[[#This Row],[_Row]]+Tasks[[#This Row],[_Descendants]])),Tasks[[#This Row],[_ShownFcstFinish]]))</f>
        <v/>
      </c>
      <c r="AG131" s="21">
        <f>""</f>
        <v/>
      </c>
      <c r="AH131" s="23" t="n"/>
      <c r="AI13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1" s="7" t="n"/>
      <c r="AK131" s="22" t="n"/>
      <c r="AL131" s="23" t="n"/>
      <c r="AM131" s="7" t="n"/>
      <c r="AN131" s="21">
        <f>IF(Tasks[[#This Row],[Task Name]]="","",IF(Tasks[[#This Row],[Finish]]&gt;=Tasks[[#This Row],[Planned Finish]],NETWORKDAYS.INTL(Tasks[[#This Row],[Planned Finish]],Tasks[[#This Row],[Finish]],WorkWeek,Holidays)-1,1-NETWORKDAYS.INTL(Tasks[[#This Row],[Finish]],Tasks[[#This Row],[Planned Finish]],WorkWeek,Holidays)))</f>
        <v/>
      </c>
      <c r="AO131" s="21">
        <f>IF(Tasks[[#This Row],[Task Name]]="","",IF(Tasks[[#This Row],[Progress]]&gt;=1,"Complete",IF(OR(N(Tasks[[#This Row],[Actual Start]])&gt;0,Tasks[[#This Row],[Progress]]&gt;0),IF(Tasks[[#This Row],[Finish Var]]&gt;0,"Behind","In Progress"),IF(Tasks[[#This Row],[Planned Start]]&lt;StatusDate,"Late Start","Not Started"))))</f>
        <v/>
      </c>
      <c r="AP131" s="21">
        <f>IF(Tasks[[#This Row],[Task Name]]="","",IF(IF(Tasks[[#This Row],[_IsSummary]],COUNTIF(INDEX(Tasks[_LeafCritical],Tasks[[#This Row],[_Row]]+1):INDEX(Tasks[_LeafCritical],Tasks[[#This Row],[_Row]]+Tasks[[#This Row],[_Descendants]]),TRUE())&gt;0,Tasks[[#This Row],[_LeafCritical]]),"Yes",""))</f>
        <v/>
      </c>
      <c r="AQ131" s="61">
        <f>IF(Tasks[[#This Row],[Task Name]]="","",IF(N(Tasks[[#This Row],[Baseline Start]])&gt;0,Tasks[[#This Row],[Baseline Start]],Tasks[[#This Row],[_CalcStart]]))</f>
        <v/>
      </c>
      <c r="AR131" s="61">
        <f>IF(Tasks[[#This Row],[Task Name]]="","",IF(N(Tasks[[#This Row],[Baseline Finish]])&gt;0,Tasks[[#This Row],[Baseline Finish]],Tasks[[#This Row],[_CalcFinish]]))</f>
        <v/>
      </c>
      <c r="AS131" s="21">
        <f>IF(Tasks[[#This Row],[Task Name]]="","",IF(Tasks[[#This Row],[Start]]&gt;=Tasks[[#This Row],[Planned Start]],NETWORKDAYS.INTL(Tasks[[#This Row],[Planned Start]],Tasks[[#This Row],[Start]],WorkWeek,Holidays)-1,1-NETWORKDAYS.INTL(Tasks[[#This Row],[Start]],Tasks[[#This Row],[Planned Start]],WorkWeek,Holidays)))</f>
        <v/>
      </c>
      <c r="AT131" s="61">
        <f>IF(Tasks[[#This Row],[Task Name]]="","",IF(Tasks[[#This Row],[_IsSummary]],MIN(INDEX(Tasks[_LeafLateStart],Tasks[[#This Row],[_Row]]+1):INDEX(Tasks[_LeafLateStart],Tasks[[#This Row],[_Row]]+Tasks[[#This Row],[_Descendants]])),Tasks[[#This Row],[_LeafLateStart]]))</f>
        <v/>
      </c>
      <c r="AU131" s="61">
        <f>IF(Tasks[[#This Row],[Task Name]]="","",IF(Tasks[[#This Row],[_IsSummary]],MAX(INDEX(Tasks[_LeafLateFinish],Tasks[[#This Row],[_Row]]+1):INDEX(Tasks[_LeafLateFinish],Tasks[[#This Row],[_Row]]+Tasks[[#This Row],[_Descendants]])),Tasks[[#This Row],[_LeafLateFinish]]))</f>
        <v/>
      </c>
      <c r="AV131" s="21">
        <f>IF(Tasks[[#This Row],[Task Name]]="","",IF(Tasks[[#This Row],[_IsSummary]],MIN(INDEX(Tasks[_LeafTotalSlack],Tasks[[#This Row],[_Row]]+1):INDEX(Tasks[_LeafTotalSlack],Tasks[[#This Row],[_Row]]+Tasks[[#This Row],[_Descendants]])),Tasks[[#This Row],[_LeafTotalSlack]]))</f>
        <v/>
      </c>
      <c r="AW13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3" t="n"/>
      <c r="BA13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f>IF(Tasks[[#This Row],[Task Name]]="","",IF(Tasks[[#This Row],[_Level]]&lt;=OutlineShowLevel,"Yes","No"))</f>
        <v/>
      </c>
      <c r="BE131" s="84">
        <f>IF(Tasks[[#This Row],[Task Name]]="","",IF(Tasks[[#This Row],[_IsSummary]],SUM(INDEX(Tasks[_LeafTotalWork],Tasks[[#This Row],[_Row]]+1):INDEX(Tasks[_LeafTotalWork],Tasks[[#This Row],[_Row]]+Tasks[[#This Row],[_Descendants]])),Tasks[[#This Row],[_LeafTotalWork]]))</f>
        <v/>
      </c>
      <c r="BF131" s="23" t="n"/>
      <c r="BG13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f>""</f>
        <v/>
      </c>
      <c r="BI131" s="85" t="n"/>
      <c r="BJ131" s="22" t="n"/>
      <c r="BK131" s="21">
        <f>IF(OR(Tasks[[#This Row],[Task Name]]="",Tasks[[#This Row],[Baseline Duration]]=""),"",Tasks[[#This Row],[_SpanDays]]-N(Tasks[[#This Row],[Baseline Duration]]))</f>
        <v/>
      </c>
      <c r="BL131" s="84">
        <f>IF(OR(Tasks[[#This Row],[Task Name]]="",Tasks[[#This Row],[Baseline Work]]=""),"",Tasks[[#This Row],[Work]]-N(Tasks[[#This Row],[Baseline Work]]))</f>
        <v/>
      </c>
      <c r="BM131" s="61">
        <f>IF(Tasks[[#This Row],[Task Name]]="","",IF(OR(TakeBaseline="Yes",N(Tasks[[#This Row],[Baseline Start]])=0),Tasks[[#This Row],[Start]],Tasks[[#This Row],[Baseline Start]]))</f>
        <v/>
      </c>
      <c r="BN131" s="61">
        <f>IF(Tasks[[#This Row],[Task Name]]="","",IF(OR(TakeBaseline="Yes",N(Tasks[[#This Row],[Baseline Finish]])=0),Tasks[[#This Row],[Finish]],Tasks[[#This Row],[Baseline Finish]]))</f>
        <v/>
      </c>
      <c r="BO131" s="21">
        <f>IF(Tasks[[#This Row],[Task Name]]="","",IF(OR(TakeBaseline="Yes",N(Tasks[[#This Row],[Baseline Duration]])=0),Tasks[[#This Row],[_SpanDays]],Tasks[[#This Row],[Baseline Duration]]))</f>
        <v/>
      </c>
      <c r="BP131" s="84">
        <f>IF(Tasks[[#This Row],[Task Name]]="","",IF(OR(TakeBaseline="Yes",N(Tasks[[#This Row],[Baseline Work]])=0),Tasks[[#This Row],[Work]],Tasks[[#This Row],[Baseline Work]]))</f>
        <v/>
      </c>
      <c r="BQ131" s="7" t="n"/>
      <c r="BR131" s="7" t="n"/>
      <c r="BS131" s="22" t="n"/>
      <c r="BT131" s="86" t="n"/>
      <c r="BU131" s="23" t="n"/>
      <c r="BV131" s="23" t="n"/>
      <c r="BW131" s="23" t="n"/>
      <c r="BX131" s="87">
        <f>IF(AND(Tasks[[#This Row],[_IsLeaf]]=1,ISNUMBER(Tasks[[#This Row],[Optimistic]]),ISNUMBER(Tasks[[#This Row],[Pessimistic]])),ROUND((Tasks[[#This Row],[Optimistic]]+4*N(Tasks[[#This Row],[_Days]])+Tasks[[#This Row],[Pessimistic]])/6,1),"")</f>
        <v/>
      </c>
      <c r="BY131" s="85" t="n"/>
      <c r="BZ131" s="85" t="n"/>
      <c r="CA131" s="22" t="n"/>
      <c r="CB131" s="42">
        <f>IF(Tasks[[#This Row],[Task Name]]="","",MAX(1,N(Tasks[[#This Row],[Level]])))</f>
        <v/>
      </c>
      <c r="CC131" s="42">
        <f>ROW()-ROW(Tasks[[#Headers],[ID]])</f>
        <v/>
      </c>
      <c r="CD131" s="42">
        <f>IF(OR(Tasks[[#This Row],[Task Name]]="",Tasks[[#This Row],[_Level]]&lt;=1),0,IFERROR(LOOKUP(2,1/(Tasks[[#Headers],[_Level]]:Tasks[[#This Row],[_Level]]=Tasks[[#This Row],[_Level]]-1),ROW(Tasks[[#Headers],[_Level]]:Tasks[[#This Row],[_Level]])),0))</f>
        <v/>
      </c>
      <c r="CE131" s="42">
        <f>IFERROR(N(INDEX(Tasks[_Level],Tasks[[#This Row],[_Row]]+1)),0)</f>
        <v/>
      </c>
      <c r="CF131" s="42">
        <f>AND(Tasks[[#This Row],[Task Name]]&lt;&gt;"",Tasks[[#This Row],[_NextLevel]]&gt;Tasks[[#This Row],[_Level]])</f>
        <v/>
      </c>
      <c r="CG131" s="42">
        <f>IF(Tasks[[#This Row],[_IsSummary]],COUNTIF(Tasks[WBS],Tasks[[#This Row],[WBS]]&amp;".*"),0)</f>
        <v/>
      </c>
      <c r="CH131" s="42">
        <f>IF(AND(Tasks[[#This Row],[Task Name]]&lt;&gt;"",NOT(Tasks[[#This Row],[_IsSummary]])),1,0)</f>
        <v/>
      </c>
      <c r="CI131" s="42">
        <f>IF(N(Tasks[[#This Row],[_Pred1UID]])=0,0,IFERROR(MATCH(Tasks[[#This Row],[_Pred1UID]],Tasks[UID],0),-1))</f>
        <v/>
      </c>
      <c r="CJ131" s="42">
        <f>IF(N(Tasks[[#This Row],[_Pred2UID]])=0,0,IFERROR(MATCH(Tasks[[#This Row],[_Pred2UID]],Tasks[UID],0),-1))</f>
        <v/>
      </c>
      <c r="CK131" s="42">
        <f>IF(N(Tasks[[#This Row],[_Pred3UID]])=0,0,IFERROR(MATCH(Tasks[[#This Row],[_Pred3UID]],Tasks[UID],0),-1))</f>
        <v/>
      </c>
      <c r="CL131" s="42">
        <f>IF(N(Tasks[[#This Row],[_Pred4UID]])=0,0,IFERROR(MATCH(Tasks[[#This Row],[_Pred4UID]],Tasks[UID],0),-1))</f>
        <v/>
      </c>
      <c r="CM13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1" s="88">
        <f>IF(N(Tasks[[#This Row],[Constraint Date]])=0,0,IF(AND(OR(Tasks[[#This Row],[_ConstraintCode]]=3,Tasks[[#This Row],[_ConstraintCode]]=6,Tasks[[#This Row],[_ConstraintCode]]=7),N(Tasks[[#This Row],[_Days]])&gt;1),WORKDAY.INTL(N(Tasks[[#This Row],[Constraint Date]]),-(N(Tasks[[#This Row],[_Days]])-1),WorkWeek,Holidays),N(Tasks[[#This Row],[Constraint Date]])))</f>
        <v/>
      </c>
      <c r="CO131" s="88">
        <f>IF(OR(Tasks[[#This Row],[_ConstraintCode]]=2,Tasks[[#This Row],[_ConstraintCode]]=3,Tasks[[#This Row],[_ConstraintCode]]=4,Tasks[[#This Row],[_ConstraintCode]]=6),Tasks[[#This Row],[_ConstraintStart]],0)</f>
        <v/>
      </c>
      <c r="CP131" s="88">
        <f>IF(OR(Tasks[[#This Row],[_ConstraintCode]]=2,Tasks[[#This Row],[_ConstraintCode]]=3,Tasks[[#This Row],[_ConstraintCode]]=5,Tasks[[#This Row],[_ConstraintCode]]=7),Tasks[[#This Row],[_ConstraintStart]],2958465)</f>
        <v/>
      </c>
      <c r="CQ13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1" s="88">
        <f>IF(NOT(Tasks[[#This Row],[_IsLeaf]]=1),"",IF(N(Tasks[[#This Row],[_Days]])&lt;=0,Tasks[[#This Row],[_LeafCalcStart]],WORKDAY.INTL(Tasks[[#This Row],[_LeafCalcStart]],Tasks[[#This Row],[_Days]]-1,WorkWeek,Holidays)))</f>
        <v/>
      </c>
      <c r="CS13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1" s="42">
        <f>IF(Tasks[[#This Row],[_Predecessors]]="","",TRIM(MID(SUBSTITUTE(SUBSTITUTE(SUBSTITUTE(UPPER(Tasks[[#This Row],[_Predecessors]]),";",",")," ",""),",",REPT(" ",99)),1,99)))</f>
        <v/>
      </c>
      <c r="CV131" s="42">
        <f>IF(Tasks[[#This Row],[_Pred1Text]]="","",IFERROR(VALUE(LEFT(Tasks[[#This Row],[_Pred1Text]],MIN(FIND("F",Tasks[[#This Row],[_Pred1Text]]&amp;"F"),FIND("S",Tasks[[#This Row],[_Pred1Text]]&amp;"S"),FIND("+",Tasks[[#This Row],[_Pred1Text]]&amp;"+"),FIND("-",Tasks[[#This Row],[_Pred1Text]]&amp;"-"))-1)),""))</f>
        <v/>
      </c>
      <c r="CW13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1" s="42">
        <f>IF(Tasks[[#This Row],[_Pred1Text]]="","",TRIM(MID(SUBSTITUTE(SUBSTITUTE(SUBSTITUTE(UPPER(Tasks[[#This Row],[_Predecessors]]),";",",")," ",""),",",REPT(" ",99)),100,99)))</f>
        <v/>
      </c>
      <c r="CZ131" s="42">
        <f>IF(Tasks[[#This Row],[_Pred2Text]]="","",IFERROR(VALUE(LEFT(Tasks[[#This Row],[_Pred2Text]],MIN(FIND("F",Tasks[[#This Row],[_Pred2Text]]&amp;"F"),FIND("S",Tasks[[#This Row],[_Pred2Text]]&amp;"S"),FIND("+",Tasks[[#This Row],[_Pred2Text]]&amp;"+"),FIND("-",Tasks[[#This Row],[_Pred2Text]]&amp;"-"))-1)),""))</f>
        <v/>
      </c>
      <c r="DA13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1" s="42">
        <f>IF(Tasks[[#This Row],[_Pred2Text]]="","",TRIM(MID(SUBSTITUTE(SUBSTITUTE(SUBSTITUTE(UPPER(Tasks[[#This Row],[_Predecessors]]),";",",")," ",""),",",REPT(" ",99)),199,99)))</f>
        <v/>
      </c>
      <c r="DD131" s="42">
        <f>IF(Tasks[[#This Row],[_Pred3Text]]="","",IFERROR(VALUE(LEFT(Tasks[[#This Row],[_Pred3Text]],MIN(FIND("F",Tasks[[#This Row],[_Pred3Text]]&amp;"F"),FIND("S",Tasks[[#This Row],[_Pred3Text]]&amp;"S"),FIND("+",Tasks[[#This Row],[_Pred3Text]]&amp;"+"),FIND("-",Tasks[[#This Row],[_Pred3Text]]&amp;"-"))-1)),""))</f>
        <v/>
      </c>
      <c r="DE13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1" s="42">
        <f>IF(Tasks[[#This Row],[_Pred3Text]]="","",TRIM(MID(SUBSTITUTE(SUBSTITUTE(SUBSTITUTE(UPPER(Tasks[[#This Row],[_Predecessors]]),";",",")," ",""),",",REPT(" ",99)),298,99)))</f>
        <v/>
      </c>
      <c r="DH131" s="42">
        <f>IF(Tasks[[#This Row],[_Pred4Text]]="","",IFERROR(VALUE(LEFT(Tasks[[#This Row],[_Pred4Text]],MIN(FIND("F",Tasks[[#This Row],[_Pred4Text]]&amp;"F"),FIND("S",Tasks[[#This Row],[_Pred4Text]]&amp;"S"),FIND("+",Tasks[[#This Row],[_Pred4Text]]&amp;"+"),FIND("-",Tasks[[#This Row],[_Pred4Text]]&amp;"-"))-1)),""))</f>
        <v/>
      </c>
      <c r="DI13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1" s="42">
        <f>IF(OR(Tasks[[#This Row],[Task Name]]="",Tasks[[#This Row],[_Resources]]=""),"",TRIM(MID(SUBSTITUTE(Tasks[[#This Row],[_Resources]],",",REPT(" ",99)),1,99)))</f>
        <v/>
      </c>
      <c r="DL131" s="42">
        <f>IF(Tasks[[#This Row],[_Res1Text]]="","",TRIM(MID(SUBSTITUTE(Tasks[[#This Row],[_Resources]],",",REPT(" ",99)),100,99)))</f>
        <v/>
      </c>
      <c r="DM131" s="42">
        <f>IF(Tasks[[#This Row],[_Res2Text]]="","",TRIM(MID(SUBSTITUTE(Tasks[[#This Row],[_Resources]],",",REPT(" ",99)),199,99)))</f>
        <v/>
      </c>
      <c r="DN131" s="42">
        <f>IF(Tasks[[#This Row],[_Res3Text]]="","",TRIM(MID(SUBSTITUTE(Tasks[[#This Row],[_Resources]],",",REPT(" ",99)),298,99)))</f>
        <v/>
      </c>
      <c r="DO131" s="42">
        <f>IF(Tasks[[#This Row],[_Res1Text]]="",0,IFERROR(MATCH(TRIM(LEFT(Tasks[[#This Row],[_Res1Text]],FIND("[",Tasks[[#This Row],[_Res1Text]]&amp;"[")-1)),res_Name,0),IFERROR(MATCH(TRIM(LEFT(Tasks[[#This Row],[_Res1Text]],FIND("[",Tasks[[#This Row],[_Res1Text]]&amp;"[")-1)),res_Initials,0),0)))</f>
        <v/>
      </c>
      <c r="DP131" s="42">
        <f>IF(Tasks[[#This Row],[_Res2Text]]="",0,IFERROR(MATCH(TRIM(LEFT(Tasks[[#This Row],[_Res2Text]],FIND("[",Tasks[[#This Row],[_Res2Text]]&amp;"[")-1)),res_Name,0),IFERROR(MATCH(TRIM(LEFT(Tasks[[#This Row],[_Res2Text]],FIND("[",Tasks[[#This Row],[_Res2Text]]&amp;"[")-1)),res_Initials,0),0)))</f>
        <v/>
      </c>
      <c r="DQ131" s="42">
        <f>IF(Tasks[[#This Row],[_Res3Text]]="",0,IFERROR(MATCH(TRIM(LEFT(Tasks[[#This Row],[_Res3Text]],FIND("[",Tasks[[#This Row],[_Res3Text]]&amp;"[")-1)),res_Name,0),IFERROR(MATCH(TRIM(LEFT(Tasks[[#This Row],[_Res3Text]],FIND("[",Tasks[[#This Row],[_Res3Text]]&amp;"[")-1)),res_Initials,0),0)))</f>
        <v/>
      </c>
      <c r="DR131" s="42">
        <f>IF(Tasks[[#This Row],[_Res4Text]]="",0,IFERROR(MATCH(TRIM(LEFT(Tasks[[#This Row],[_Res4Text]],FIND("[",Tasks[[#This Row],[_Res4Text]]&amp;"[")-1)),res_Name,0),IFERROR(MATCH(TRIM(LEFT(Tasks[[#This Row],[_Res4Text]],FIND("[",Tasks[[#This Row],[_Res4Text]]&amp;"[")-1)),res_Initials,0),0)))</f>
        <v/>
      </c>
      <c r="DS131" s="42">
        <f>IF(Tasks[[#This Row],[_Res1Text]]="","",IF(Tasks[[#This Row],[_Res1Row]]&gt;0,INDEX(res_Name,Tasks[[#This Row],[_Res1Row]]),TRIM(LEFT(Tasks[[#This Row],[_Res1Text]],FIND("[",Tasks[[#This Row],[_Res1Text]]&amp;"[")-1))))</f>
        <v/>
      </c>
      <c r="DT13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1" s="42">
        <f>IF(NOT(Tasks[[#This Row],[_IsLeaf]]=1),0,(Tasks[[#This Row],[_Resource1]]&lt;&gt;"")+(Tasks[[#This Row],[_Res2]]&lt;&gt;"")+(Tasks[[#This Row],[_Res3]]&lt;&gt;"")+(Tasks[[#This Row],[_Res4]]&lt;&gt;""))</f>
        <v/>
      </c>
      <c r="DV131" s="42">
        <f>IF(Tasks[[#This Row],[_Res2Text]]="","",IF(Tasks[[#This Row],[_Res2Row]]&gt;0,INDEX(res_Name,Tasks[[#This Row],[_Res2Row]]),TRIM(LEFT(Tasks[[#This Row],[_Res2Text]],FIND("[",Tasks[[#This Row],[_Res2Text]]&amp;"[")-1))))</f>
        <v/>
      </c>
      <c r="DW13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1" s="42">
        <f>IF(OR(NOT(Tasks[[#This Row],[_IsLeaf]]=1),Tasks[[#This Row],[_Res2Row]]=0),0,N(Tasks[[#This Row],[_Days]])*HoursPerDay*IF(Tasks[[#This Row],[_Res2Units]]="",DefaultUnits,Tasks[[#This Row],[_Res2Units]]))</f>
        <v/>
      </c>
      <c r="DY131" s="42">
        <f>IF(AND(AND(Tasks[[#This Row],[_IsLeaf]]=1,Tasks[[#This Row],[_LeafTotalWork]]&gt;0),Tasks[[#This Row],[_Res2Work]]&gt;0),Tasks[[#This Row],[_Res2Work]]/(Tasks[[#This Row],[_FinishWorkday]]-Tasks[[#This Row],[_StartWorkday]]+1),0)</f>
        <v/>
      </c>
      <c r="DZ131" s="42">
        <f>Tasks[[#This Row],[_Res2WorkPerWD]]*MAX(0,Tasks[[#This Row],[_StartWorkday]]-1)</f>
        <v/>
      </c>
      <c r="EA131" s="42">
        <f>Tasks[[#This Row],[_Res2Work]]*Tasks[[#This Row],[_LeafProgress]]</f>
        <v/>
      </c>
      <c r="EB131" s="42">
        <f>IF(Tasks[[#This Row],[_Res3Text]]="","",IF(Tasks[[#This Row],[_Res3Row]]&gt;0,INDEX(res_Name,Tasks[[#This Row],[_Res3Row]]),TRIM(LEFT(Tasks[[#This Row],[_Res3Text]],FIND("[",Tasks[[#This Row],[_Res3Text]]&amp;"[")-1))))</f>
        <v/>
      </c>
      <c r="EC13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1" s="42">
        <f>IF(OR(NOT(Tasks[[#This Row],[_IsLeaf]]=1),Tasks[[#This Row],[_Res3Row]]=0),0,N(Tasks[[#This Row],[_Days]])*HoursPerDay*IF(Tasks[[#This Row],[_Res3Units]]="",DefaultUnits,Tasks[[#This Row],[_Res3Units]]))</f>
        <v/>
      </c>
      <c r="EE131" s="42">
        <f>IF(AND(AND(Tasks[[#This Row],[_IsLeaf]]=1,Tasks[[#This Row],[_LeafTotalWork]]&gt;0),Tasks[[#This Row],[_Res3Work]]&gt;0),Tasks[[#This Row],[_Res3Work]]/(Tasks[[#This Row],[_FinishWorkday]]-Tasks[[#This Row],[_StartWorkday]]+1),0)</f>
        <v/>
      </c>
      <c r="EF131" s="42">
        <f>Tasks[[#This Row],[_Res3WorkPerWD]]*MAX(0,Tasks[[#This Row],[_StartWorkday]]-1)</f>
        <v/>
      </c>
      <c r="EG131" s="42">
        <f>Tasks[[#This Row],[_Res3Work]]*Tasks[[#This Row],[_LeafProgress]]</f>
        <v/>
      </c>
      <c r="EH131" s="42">
        <f>IF(Tasks[[#This Row],[_Res4Text]]="","",IF(Tasks[[#This Row],[_Res4Row]]&gt;0,INDEX(res_Name,Tasks[[#This Row],[_Res4Row]]),TRIM(LEFT(Tasks[[#This Row],[_Res4Text]],FIND("[",Tasks[[#This Row],[_Res4Text]]&amp;"[")-1))))</f>
        <v/>
      </c>
      <c r="EI13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1" s="42">
        <f>IF(OR(NOT(Tasks[[#This Row],[_IsLeaf]]=1),Tasks[[#This Row],[_Res4Row]]=0),0,N(Tasks[[#This Row],[_Days]])*HoursPerDay*IF(Tasks[[#This Row],[_Res4Units]]="",DefaultUnits,Tasks[[#This Row],[_Res4Units]]))</f>
        <v/>
      </c>
      <c r="EK131" s="42">
        <f>IF(AND(AND(Tasks[[#This Row],[_IsLeaf]]=1,Tasks[[#This Row],[_LeafTotalWork]]&gt;0),Tasks[[#This Row],[_Res4Work]]&gt;0),Tasks[[#This Row],[_Res4Work]]/(Tasks[[#This Row],[_FinishWorkday]]-Tasks[[#This Row],[_StartWorkday]]+1),0)</f>
        <v/>
      </c>
      <c r="EL131" s="42">
        <f>Tasks[[#This Row],[_Res4WorkPerWD]]*MAX(0,Tasks[[#This Row],[_StartWorkday]]-1)</f>
        <v/>
      </c>
      <c r="EM131" s="42">
        <f>Tasks[[#This Row],[_Res4Work]]*Tasks[[#This Row],[_LeafProgress]]</f>
        <v/>
      </c>
      <c r="EN131" s="42">
        <f>IF(ISNUMBER(Tasks[[#This Row],[% Complete]]),Tasks[[#This Row],[% Complete]],IF(Tasks[[#This Row],[Stage]]="",0,IFERROR(INDEX(stg_Pct,MATCH(Tasks[[#This Row],[Stage]],stg_Name,0)),0)))</f>
        <v/>
      </c>
      <c r="EO131" s="42">
        <f>IF(NOT(Tasks[[#This Row],[_IsLeaf]]=1),0,IF(N(Tasks[[#This Row],[Actual Finish]])&gt;0,1,MIN(1,Tasks[[#This Row],[_Pct]])))</f>
        <v/>
      </c>
      <c r="EP131" s="42">
        <f>IF(OR(NOT(Tasks[[#This Row],[_IsLeaf]]=1),Tasks[[#This Row],[_Res1Row]]=0),0,N(Tasks[[#This Row],[_Days]])*HoursPerDay*IF(Tasks[[#This Row],[_Units1]]="",DefaultUnits,Tasks[[#This Row],[_Units1]]))</f>
        <v/>
      </c>
      <c r="EQ131" s="42">
        <f>Tasks[[#This Row],[_LeafWork]]+Tasks[[#This Row],[_Res2Work]]+Tasks[[#This Row],[_Res3Work]]+Tasks[[#This Row],[_Res4Work]]</f>
        <v/>
      </c>
      <c r="ER13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1" s="42">
        <f>IF(NOT(Tasks[[#This Row],[_IsLeaf]]=1),0,MAX(_xlfn.MAXIFS(Tasks[_Row],Tasks[_Pred1UID],Tasks[[#This Row],[UID]]),_xlfn.MAXIFS(Tasks[_Row],Tasks[_Pred2UID],Tasks[[#This Row],[UID]]),_xlfn.MAXIFS(Tasks[_Row],Tasks[_Pred3UID],Tasks[[#This Row],[UID]]),_xlfn.MAXIFS(Tasks[_Row],Tasks[_Pred4UID],Tasks[[#This Row],[UID]])))</f>
        <v/>
      </c>
      <c r="FA13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1" s="88">
        <f>IF(NOT(Tasks[[#This Row],[_IsLeaf]]=1),"",IF(N(Tasks[[#This Row],[_Days]])&lt;=0,Tasks[[#This Row],[_LeafLateFinish]],WORKDAY.INTL(Tasks[[#This Row],[_LeafLateFinish]],-(Tasks[[#This Row],[_Days]]-1),WorkWeek,Holidays)))</f>
        <v/>
      </c>
      <c r="FD13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1" s="42">
        <f>AND(Tasks[[#This Row],[_IsLeaf]]=1,Tasks[[#This Row],[_LeafProgress]]&lt;1,N(Tasks[[#This Row],[_LeafTotalSlack]])&lt;=CriticalSlackDays)</f>
        <v/>
      </c>
      <c r="FF131" s="42">
        <f>IF(AND(Tasks[[#This Row],[_IsLeaf]]=1,Tasks[[#This Row],[_ConstraintCode]]=1,Tasks[[#This Row],[Mode]]&lt;&gt;"Manual",N(Tasks[[#This Row],[Actual Start]])=0),MAX(0,N(Tasks[[#This Row],[Free Slack]])),0)</f>
        <v/>
      </c>
      <c r="FG131" s="88">
        <f>IF(NOT(Tasks[[#This Row],[_IsLeaf]]=1),"",IF(Tasks[[#This Row],[_AlapShift]]=0,Tasks[[#This Row],[_LeafCalcStart]],WORKDAY.INTL(Tasks[[#This Row],[_LeafCalcStart]],Tasks[[#This Row],[_AlapShift]],WorkWeek,Holidays)))</f>
        <v/>
      </c>
      <c r="FH131" s="88">
        <f>IF(NOT(Tasks[[#This Row],[_IsLeaf]]=1),"",IF(Tasks[[#This Row],[_AlapShift]]=0,Tasks[[#This Row],[_LeafCalcFinish]],WORKDAY.INTL(Tasks[[#This Row],[_LeafCalcFinish]],Tasks[[#This Row],[_AlapShift]],WorkWeek,Holidays)))</f>
        <v/>
      </c>
      <c r="FI131" s="88">
        <f>IF(NOT(Tasks[[#This Row],[_IsLeaf]]=1),"",IF(Tasks[[#This Row],[_AlapShift]]=0,Tasks[[#This Row],[_LeafFcstStart]],WORKDAY.INTL(Tasks[[#This Row],[_LeafFcstStart]],Tasks[[#This Row],[_AlapShift]],WorkWeek,Holidays)))</f>
        <v/>
      </c>
      <c r="FJ131" s="88">
        <f>IF(NOT(Tasks[[#This Row],[_IsLeaf]]=1),"",IF(Tasks[[#This Row],[_AlapShift]]=0,Tasks[[#This Row],[_LeafFcstFinish]],WORKDAY.INTL(Tasks[[#This Row],[_LeafFcstFinish]],Tasks[[#This Row],[_AlapShift]],WorkWeek,Holidays)))</f>
        <v/>
      </c>
      <c r="FK131" s="88">
        <f>IF(Tasks[[#This Row],[Task Name]]="","",IF(Tasks[[#This Row],[_IsSummary]],MIN(INDEX(Tasks[_ShownCalcStart],Tasks[[#This Row],[_Row]]+1):INDEX(Tasks[_ShownCalcStart],Tasks[[#This Row],[_Row]]+Tasks[[#This Row],[_Descendants]])),Tasks[[#This Row],[_ShownCalcStart]]))</f>
        <v/>
      </c>
      <c r="FL131" s="88">
        <f>IF(Tasks[[#This Row],[Task Name]]="","",IF(Tasks[[#This Row],[_IsSummary]],MAX(INDEX(Tasks[_ShownCalcFinish],Tasks[[#This Row],[_Row]]+1):INDEX(Tasks[_ShownCalcFinish],Tasks[[#This Row],[_Row]]+Tasks[[#This Row],[_Descendants]])),Tasks[[#This Row],[_ShownCalcFinish]]))</f>
        <v/>
      </c>
      <c r="FM13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1" s="42">
        <f>IF(AND(Tasks[[#This Row],[_IsLeaf]]=1,Tasks[[#This Row],[_LeafTotalWork]]&gt;0),NETWORKDAYS.INTL(ProjectStart,Tasks[[#This Row],[_ShownFcstStart]],WorkWeek,Holidays),0)</f>
        <v/>
      </c>
      <c r="FZ131" s="42">
        <f>IF(AND(Tasks[[#This Row],[_IsLeaf]]=1,Tasks[[#This Row],[_LeafTotalWork]]&gt;0),MAX(Tasks[[#This Row],[_StartWorkday]],NETWORKDAYS.INTL(ProjectStart,Tasks[[#This Row],[_ShownFcstFinish]],WorkWeek,Holidays)),0)</f>
        <v/>
      </c>
      <c r="GA131" s="42">
        <f>IF(AND(Tasks[[#This Row],[_IsLeaf]]=1,Tasks[[#This Row],[_LeafTotalWork]]&gt;0),Tasks[[#This Row],[_LeafWork]]/(Tasks[[#This Row],[_FinishWorkday]]-Tasks[[#This Row],[_StartWorkday]]+1),0)</f>
        <v/>
      </c>
      <c r="GB131" s="42">
        <f>Tasks[[#This Row],[_WorkPerWorkday]]*(Tasks[[#This Row],[_StartWorkday]]-1)</f>
        <v/>
      </c>
      <c r="GC131" s="42">
        <f>IF(Tasks[[#This Row],[_IsLeaf]]=1,MAX(N(Tasks[[#This Row],[_Days]]),0.1),0)</f>
        <v/>
      </c>
      <c r="GD131" s="42">
        <f>Tasks[[#This Row],[_WeightDur]]*Tasks[[#This Row],[_LeafProgress]]</f>
        <v/>
      </c>
      <c r="GE131" s="42">
        <f>Tasks[[#This Row],[_WeightDur]]*Tasks[[#This Row],[_PlannedPct]]</f>
        <v/>
      </c>
      <c r="GF13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1" s="42">
        <f>IF(AND(Tasks[[#This Row],[_IsLeaf]]=1,N(Tasks[[#This Row],[_Days]])=0,Tasks[[#This Row],[_LeafProgress]]&lt;1),Tasks[[#This Row],[_ShownFcstFinish]]+Tasks[[#This Row],[_Row]]/100000,"")</f>
        <v/>
      </c>
      <c r="GH13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1" s="42">
        <f>IF(Tasks[[#This Row],[Task Name]]="","",LEFT(Tasks[[#This Row],[WBS]],FIND(".",Tasks[[#This Row],[WBS]]&amp;".")-1))</f>
        <v/>
      </c>
      <c r="GJ131" s="42">
        <f>IF(AND(Tasks[[#This Row],[Task Name]]&lt;&gt;"",Tasks[[#This Row],[_Level]]=1),Tasks[[#This Row],[_Row]],"")</f>
        <v/>
      </c>
      <c r="GK131" s="42">
        <f>IF(AND(Tasks[[#This Row],[_IsLeaf]]=1,N(Tasks[[#This Row],[_Days]])=0),Tasks[[#This Row],[Planned Finish]]+Tasks[[#This Row],[_Row]]/100000,"")</f>
        <v/>
      </c>
      <c r="GL131" s="42">
        <f>IF(AND(Tasks[[#This Row],[_IsLeaf]]=1,Tasks[[#This Row],[_LeafProgress]]&lt;1,OR(N(Tasks[[#This Row],[Finish Var]])&gt;0,Tasks[[#This Row],[Status]]="Late Start")),MAX(0,Tasks[[#This Row],[Finish Var]])+1-Tasks[[#This Row],[_Row]]/1000000,"")</f>
        <v/>
      </c>
      <c r="GM131" s="42">
        <f>IF(AND(Tasks[[#This Row],[_IsLeaf]]=1,N(Tasks[[#This Row],[Actual Start]])=0,Tasks[[#This Row],[_ShownFcstStart]]&gt;=StatusDate,Tasks[[#This Row],[_ShownFcstStart]]&lt;=LookaheadEnd),Tasks[[#This Row],[_ShownFcstStart]]+Tasks[[#This Row],[_Row]]/100000,"")</f>
        <v/>
      </c>
      <c r="GN131" s="42">
        <f>IF(AND(Tasks[[#This Row],[_IsLeaf]]=1,Tasks[[#This Row],[_LeafProgress]]&lt;1,Tasks[[#This Row],[_ShownFcstFinish]]&gt;=StatusDate,Tasks[[#This Row],[_ShownFcstFinish]]&lt;=LookaheadEnd),Tasks[[#This Row],[_ShownFcstFinish]]+Tasks[[#This Row],[_Row]]/100000,"")</f>
        <v/>
      </c>
      <c r="GO131" s="42">
        <f>IF(Tasks[[#This Row],[_LeafCritical]],Tasks[[#This Row],[_ShownFcstStart]]+Tasks[[#This Row],[_Row]]/100000,"")</f>
        <v/>
      </c>
      <c r="GP131" s="42">
        <f>Tasks[[#This Row],[_LeafWork]]*Tasks[[#This Row],[_LeafProgress]]</f>
        <v/>
      </c>
      <c r="GQ131" s="88">
        <f>IF(AND(Tasks[[#This Row],[_IsLeaf]]=1,Tasks[[#This Row],[_LeafProgress]]&gt;=1),IF(N(Tasks[[#This Row],[Actual Finish]])&gt;0,Tasks[[#This Row],[Actual Finish]],Tasks[[#This Row],[_ShownFcstFinish]]),"")</f>
        <v/>
      </c>
      <c r="GR131" s="42">
        <f>IF(Tasks[[#This Row],[_IsLeaf]]=1,N(Tasks[[#This Row],[Story Points]]),0)</f>
        <v/>
      </c>
      <c r="GS131" s="42">
        <f>""</f>
        <v/>
      </c>
      <c r="GT131" s="42">
        <f>IF(Tasks[[#This Row],[Task Name]]="",FALSE(),AND(Tasks[[#This Row],[_IsLeaf]]=1,N(Tasks[[#This Row],[_Days]])=0))</f>
        <v/>
      </c>
      <c r="GU131" s="88">
        <f>IF(Tasks[[#This Row],[Task Name]]="",0,IF(AND(Tasks[[#This Row],[_IsLeaf]]=1,NOT(Tasks[[#This Row],[_IsMilestone]]),N(Tasks[[#This Row],[Progress]])&gt;0),Tasks[[#This Row],[Start]],0))</f>
        <v/>
      </c>
      <c r="GV131" s="88">
        <f>IF(Tasks[[#This Row],[_DoneFrom]]=0,0,IF(Tasks[[#This Row],[Progress]]&gt;=1,Tasks[[#This Row],[Finish]],MAX(Tasks[[#This Row],[_DoneFrom]],Tasks[[#This Row],[Start]]+ROUND((Tasks[[#This Row],[Finish]]-Tasks[[#This Row],[Start]]+1)*Tasks[[#This Row],[Progress]],0)-1)))</f>
        <v/>
      </c>
      <c r="GW131" s="88">
        <f>IF(Tasks[[#This Row],[Task Name]]="",0,IF(OR(NOT(Tasks[[#This Row],[_IsLeaf]]=1),Tasks[[#This Row],[_IsMilestone]],N(Tasks[[#This Row],[Progress]])&gt;=1),0,IF(Tasks[[#This Row],[_DoneTo]]&gt;0,Tasks[[#This Row],[_DoneTo]]+1,Tasks[[#This Row],[Start]])))</f>
        <v/>
      </c>
      <c r="GX131" s="88">
        <f>IF(Tasks[[#This Row],[_RemFrom]]=0,0,Tasks[[#This Row],[Finish]])</f>
        <v/>
      </c>
      <c r="GY131" s="42">
        <f>IF(Tasks[[#This Row],[Task Name]]="",FALSE(),OR(NOT(BaselineSet),N(Tasks[[#This Row],[Baseline Start]])&gt;0))</f>
        <v/>
      </c>
      <c r="GZ131" s="42">
        <f>IF(AND(Sandbox="Yes",L_PARSE_DURATION(Tasks[[#This Row],[Sandbox Duration]])&lt;&gt;""),L_PARSE_DURATION(Tasks[[#This Row],[Sandbox Duration]]),L_PARSE_DURATION(Tasks[[#This Row],[Duration]]))</f>
        <v/>
      </c>
      <c r="HA13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1" s="42">
        <f>IF(Tasks[[#This Row],[_IsLeaf]]=1,Tasks[[#This Row],[_Row]],"")</f>
        <v/>
      </c>
      <c r="HD131" s="42">
        <f>IFERROR(INDEX(Tasks[UID],SMALL(Tasks[_PickKey],Tasks[[#This Row],[_Row]]))&amp;" "&amp;INDEX(Tasks[Task Name],SMALL(Tasks[_PickKey],Tasks[[#This Row],[_Row]])),"")</f>
        <v/>
      </c>
      <c r="HE131" s="42">
        <f>IF(Tasks[[#This Row],[Task Name]]="","",IF(Tasks[[#This Row],[_IsSummary]],NETWORKDAYS.INTL(Tasks[[#This Row],[Start]],Tasks[[#This Row],[Finish]],WorkWeek,Holidays),N(Tasks[[#This Row],[_Days]])))</f>
        <v/>
      </c>
      <c r="HF131" s="42">
        <f>IF(Tasks[[#This Row],[Expected]]="",0,((Tasks[[#This Row],[Pessimistic]]-Tasks[[#This Row],[Optimistic]])/6)^2)</f>
        <v/>
      </c>
      <c r="HG131" s="42">
        <f>IF(Tasks[[#This Row],[Expected]]="",0,Tasks[[#This Row],[Expected]]-N(Tasks[[#This Row],[_Days]]))</f>
        <v/>
      </c>
    </row>
    <row r="132">
      <c r="A132" s="21">
        <f>IF(Tasks[[#This Row],[Task Name]]="","",COUNTA(Tasks[[#Headers],[Task Name]]:Tasks[[#This Row],[Task Name]])-1)</f>
        <v/>
      </c>
      <c r="B132" s="22" t="n">
        <v>140</v>
      </c>
      <c r="C132" s="22" t="n"/>
      <c r="D132" s="23" t="n"/>
      <c r="E132" s="22" t="n"/>
      <c r="F132" s="23" t="n"/>
      <c r="G132" s="22" t="n"/>
      <c r="H132" s="22" t="n"/>
      <c r="I132" s="23" t="n"/>
      <c r="J132" s="22" t="n"/>
      <c r="K132" s="22" t="n"/>
      <c r="L132" s="23" t="n"/>
      <c r="M132" s="22" t="n"/>
      <c r="N132" s="22" t="n"/>
      <c r="O132" s="23" t="n"/>
      <c r="P132" s="22" t="n"/>
      <c r="Q132" s="22" t="n"/>
      <c r="R132" s="23" t="n"/>
      <c r="S132" s="23" t="n"/>
      <c r="T132" s="82" t="n"/>
      <c r="U132" s="23" t="n"/>
      <c r="V132" s="82" t="n"/>
      <c r="W132" s="23" t="n"/>
      <c r="X132" s="82" t="n"/>
      <c r="Y132" s="23" t="n"/>
      <c r="Z132" s="82" t="n"/>
      <c r="AA132" s="23" t="n"/>
      <c r="AB132" s="23" t="n"/>
      <c r="AC132" s="7" t="n"/>
      <c r="AD132" s="7" t="n"/>
      <c r="AE132" s="61">
        <f>IF(Tasks[[#This Row],[Task Name]]="","",IF(Tasks[[#This Row],[_IsSummary]],MIN(INDEX(Tasks[_ShownFcstStart],Tasks[[#This Row],[_Row]]+1):INDEX(Tasks[_ShownFcstStart],Tasks[[#This Row],[_Row]]+Tasks[[#This Row],[_Descendants]])),Tasks[[#This Row],[_ShownFcstStart]]))</f>
        <v/>
      </c>
      <c r="AF132" s="61">
        <f>IF(Tasks[[#This Row],[Task Name]]="","",IF(Tasks[[#This Row],[_IsSummary]],MAX(INDEX(Tasks[_ShownFcstFinish],Tasks[[#This Row],[_Row]]+1):INDEX(Tasks[_ShownFcstFinish],Tasks[[#This Row],[_Row]]+Tasks[[#This Row],[_Descendants]])),Tasks[[#This Row],[_ShownFcstFinish]]))</f>
        <v/>
      </c>
      <c r="AG132" s="21">
        <f>""</f>
        <v/>
      </c>
      <c r="AH132" s="23" t="n"/>
      <c r="AI13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2" s="7" t="n"/>
      <c r="AK132" s="22" t="n"/>
      <c r="AL132" s="23" t="n"/>
      <c r="AM132" s="7" t="n"/>
      <c r="AN132" s="21">
        <f>IF(Tasks[[#This Row],[Task Name]]="","",IF(Tasks[[#This Row],[Finish]]&gt;=Tasks[[#This Row],[Planned Finish]],NETWORKDAYS.INTL(Tasks[[#This Row],[Planned Finish]],Tasks[[#This Row],[Finish]],WorkWeek,Holidays)-1,1-NETWORKDAYS.INTL(Tasks[[#This Row],[Finish]],Tasks[[#This Row],[Planned Finish]],WorkWeek,Holidays)))</f>
        <v/>
      </c>
      <c r="AO132" s="21">
        <f>IF(Tasks[[#This Row],[Task Name]]="","",IF(Tasks[[#This Row],[Progress]]&gt;=1,"Complete",IF(OR(N(Tasks[[#This Row],[Actual Start]])&gt;0,Tasks[[#This Row],[Progress]]&gt;0),IF(Tasks[[#This Row],[Finish Var]]&gt;0,"Behind","In Progress"),IF(Tasks[[#This Row],[Planned Start]]&lt;StatusDate,"Late Start","Not Started"))))</f>
        <v/>
      </c>
      <c r="AP132" s="21">
        <f>IF(Tasks[[#This Row],[Task Name]]="","",IF(IF(Tasks[[#This Row],[_IsSummary]],COUNTIF(INDEX(Tasks[_LeafCritical],Tasks[[#This Row],[_Row]]+1):INDEX(Tasks[_LeafCritical],Tasks[[#This Row],[_Row]]+Tasks[[#This Row],[_Descendants]]),TRUE())&gt;0,Tasks[[#This Row],[_LeafCritical]]),"Yes",""))</f>
        <v/>
      </c>
      <c r="AQ132" s="61">
        <f>IF(Tasks[[#This Row],[Task Name]]="","",IF(N(Tasks[[#This Row],[Baseline Start]])&gt;0,Tasks[[#This Row],[Baseline Start]],Tasks[[#This Row],[_CalcStart]]))</f>
        <v/>
      </c>
      <c r="AR132" s="61">
        <f>IF(Tasks[[#This Row],[Task Name]]="","",IF(N(Tasks[[#This Row],[Baseline Finish]])&gt;0,Tasks[[#This Row],[Baseline Finish]],Tasks[[#This Row],[_CalcFinish]]))</f>
        <v/>
      </c>
      <c r="AS132" s="21">
        <f>IF(Tasks[[#This Row],[Task Name]]="","",IF(Tasks[[#This Row],[Start]]&gt;=Tasks[[#This Row],[Planned Start]],NETWORKDAYS.INTL(Tasks[[#This Row],[Planned Start]],Tasks[[#This Row],[Start]],WorkWeek,Holidays)-1,1-NETWORKDAYS.INTL(Tasks[[#This Row],[Start]],Tasks[[#This Row],[Planned Start]],WorkWeek,Holidays)))</f>
        <v/>
      </c>
      <c r="AT132" s="61">
        <f>IF(Tasks[[#This Row],[Task Name]]="","",IF(Tasks[[#This Row],[_IsSummary]],MIN(INDEX(Tasks[_LeafLateStart],Tasks[[#This Row],[_Row]]+1):INDEX(Tasks[_LeafLateStart],Tasks[[#This Row],[_Row]]+Tasks[[#This Row],[_Descendants]])),Tasks[[#This Row],[_LeafLateStart]]))</f>
        <v/>
      </c>
      <c r="AU132" s="61">
        <f>IF(Tasks[[#This Row],[Task Name]]="","",IF(Tasks[[#This Row],[_IsSummary]],MAX(INDEX(Tasks[_LeafLateFinish],Tasks[[#This Row],[_Row]]+1):INDEX(Tasks[_LeafLateFinish],Tasks[[#This Row],[_Row]]+Tasks[[#This Row],[_Descendants]])),Tasks[[#This Row],[_LeafLateFinish]]))</f>
        <v/>
      </c>
      <c r="AV132" s="21">
        <f>IF(Tasks[[#This Row],[Task Name]]="","",IF(Tasks[[#This Row],[_IsSummary]],MIN(INDEX(Tasks[_LeafTotalSlack],Tasks[[#This Row],[_Row]]+1):INDEX(Tasks[_LeafTotalSlack],Tasks[[#This Row],[_Row]]+Tasks[[#This Row],[_Descendants]])),Tasks[[#This Row],[_LeafTotalSlack]]))</f>
        <v/>
      </c>
      <c r="AW13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3" t="n"/>
      <c r="BA13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f>IF(Tasks[[#This Row],[Task Name]]="","",IF(Tasks[[#This Row],[_Level]]&lt;=OutlineShowLevel,"Yes","No"))</f>
        <v/>
      </c>
      <c r="BE132" s="84">
        <f>IF(Tasks[[#This Row],[Task Name]]="","",IF(Tasks[[#This Row],[_IsSummary]],SUM(INDEX(Tasks[_LeafTotalWork],Tasks[[#This Row],[_Row]]+1):INDEX(Tasks[_LeafTotalWork],Tasks[[#This Row],[_Row]]+Tasks[[#This Row],[_Descendants]])),Tasks[[#This Row],[_LeafTotalWork]]))</f>
        <v/>
      </c>
      <c r="BF132" s="23" t="n"/>
      <c r="BG13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f>""</f>
        <v/>
      </c>
      <c r="BI132" s="85" t="n"/>
      <c r="BJ132" s="22" t="n"/>
      <c r="BK132" s="21">
        <f>IF(OR(Tasks[[#This Row],[Task Name]]="",Tasks[[#This Row],[Baseline Duration]]=""),"",Tasks[[#This Row],[_SpanDays]]-N(Tasks[[#This Row],[Baseline Duration]]))</f>
        <v/>
      </c>
      <c r="BL132" s="84">
        <f>IF(OR(Tasks[[#This Row],[Task Name]]="",Tasks[[#This Row],[Baseline Work]]=""),"",Tasks[[#This Row],[Work]]-N(Tasks[[#This Row],[Baseline Work]]))</f>
        <v/>
      </c>
      <c r="BM132" s="61">
        <f>IF(Tasks[[#This Row],[Task Name]]="","",IF(OR(TakeBaseline="Yes",N(Tasks[[#This Row],[Baseline Start]])=0),Tasks[[#This Row],[Start]],Tasks[[#This Row],[Baseline Start]]))</f>
        <v/>
      </c>
      <c r="BN132" s="61">
        <f>IF(Tasks[[#This Row],[Task Name]]="","",IF(OR(TakeBaseline="Yes",N(Tasks[[#This Row],[Baseline Finish]])=0),Tasks[[#This Row],[Finish]],Tasks[[#This Row],[Baseline Finish]]))</f>
        <v/>
      </c>
      <c r="BO132" s="21">
        <f>IF(Tasks[[#This Row],[Task Name]]="","",IF(OR(TakeBaseline="Yes",N(Tasks[[#This Row],[Baseline Duration]])=0),Tasks[[#This Row],[_SpanDays]],Tasks[[#This Row],[Baseline Duration]]))</f>
        <v/>
      </c>
      <c r="BP132" s="84">
        <f>IF(Tasks[[#This Row],[Task Name]]="","",IF(OR(TakeBaseline="Yes",N(Tasks[[#This Row],[Baseline Work]])=0),Tasks[[#This Row],[Work]],Tasks[[#This Row],[Baseline Work]]))</f>
        <v/>
      </c>
      <c r="BQ132" s="7" t="n"/>
      <c r="BR132" s="7" t="n"/>
      <c r="BS132" s="22" t="n"/>
      <c r="BT132" s="86" t="n"/>
      <c r="BU132" s="23" t="n"/>
      <c r="BV132" s="23" t="n"/>
      <c r="BW132" s="23" t="n"/>
      <c r="BX132" s="87">
        <f>IF(AND(Tasks[[#This Row],[_IsLeaf]]=1,ISNUMBER(Tasks[[#This Row],[Optimistic]]),ISNUMBER(Tasks[[#This Row],[Pessimistic]])),ROUND((Tasks[[#This Row],[Optimistic]]+4*N(Tasks[[#This Row],[_Days]])+Tasks[[#This Row],[Pessimistic]])/6,1),"")</f>
        <v/>
      </c>
      <c r="BY132" s="85" t="n"/>
      <c r="BZ132" s="85" t="n"/>
      <c r="CA132" s="22" t="n"/>
      <c r="CB132" s="42">
        <f>IF(Tasks[[#This Row],[Task Name]]="","",MAX(1,N(Tasks[[#This Row],[Level]])))</f>
        <v/>
      </c>
      <c r="CC132" s="42">
        <f>ROW()-ROW(Tasks[[#Headers],[ID]])</f>
        <v/>
      </c>
      <c r="CD132" s="42">
        <f>IF(OR(Tasks[[#This Row],[Task Name]]="",Tasks[[#This Row],[_Level]]&lt;=1),0,IFERROR(LOOKUP(2,1/(Tasks[[#Headers],[_Level]]:Tasks[[#This Row],[_Level]]=Tasks[[#This Row],[_Level]]-1),ROW(Tasks[[#Headers],[_Level]]:Tasks[[#This Row],[_Level]])),0))</f>
        <v/>
      </c>
      <c r="CE132" s="42">
        <f>IFERROR(N(INDEX(Tasks[_Level],Tasks[[#This Row],[_Row]]+1)),0)</f>
        <v/>
      </c>
      <c r="CF132" s="42">
        <f>AND(Tasks[[#This Row],[Task Name]]&lt;&gt;"",Tasks[[#This Row],[_NextLevel]]&gt;Tasks[[#This Row],[_Level]])</f>
        <v/>
      </c>
      <c r="CG132" s="42">
        <f>IF(Tasks[[#This Row],[_IsSummary]],COUNTIF(Tasks[WBS],Tasks[[#This Row],[WBS]]&amp;".*"),0)</f>
        <v/>
      </c>
      <c r="CH132" s="42">
        <f>IF(AND(Tasks[[#This Row],[Task Name]]&lt;&gt;"",NOT(Tasks[[#This Row],[_IsSummary]])),1,0)</f>
        <v/>
      </c>
      <c r="CI132" s="42">
        <f>IF(N(Tasks[[#This Row],[_Pred1UID]])=0,0,IFERROR(MATCH(Tasks[[#This Row],[_Pred1UID]],Tasks[UID],0),-1))</f>
        <v/>
      </c>
      <c r="CJ132" s="42">
        <f>IF(N(Tasks[[#This Row],[_Pred2UID]])=0,0,IFERROR(MATCH(Tasks[[#This Row],[_Pred2UID]],Tasks[UID],0),-1))</f>
        <v/>
      </c>
      <c r="CK132" s="42">
        <f>IF(N(Tasks[[#This Row],[_Pred3UID]])=0,0,IFERROR(MATCH(Tasks[[#This Row],[_Pred3UID]],Tasks[UID],0),-1))</f>
        <v/>
      </c>
      <c r="CL132" s="42">
        <f>IF(N(Tasks[[#This Row],[_Pred4UID]])=0,0,IFERROR(MATCH(Tasks[[#This Row],[_Pred4UID]],Tasks[UID],0),-1))</f>
        <v/>
      </c>
      <c r="CM13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2" s="88">
        <f>IF(N(Tasks[[#This Row],[Constraint Date]])=0,0,IF(AND(OR(Tasks[[#This Row],[_ConstraintCode]]=3,Tasks[[#This Row],[_ConstraintCode]]=6,Tasks[[#This Row],[_ConstraintCode]]=7),N(Tasks[[#This Row],[_Days]])&gt;1),WORKDAY.INTL(N(Tasks[[#This Row],[Constraint Date]]),-(N(Tasks[[#This Row],[_Days]])-1),WorkWeek,Holidays),N(Tasks[[#This Row],[Constraint Date]])))</f>
        <v/>
      </c>
      <c r="CO132" s="88">
        <f>IF(OR(Tasks[[#This Row],[_ConstraintCode]]=2,Tasks[[#This Row],[_ConstraintCode]]=3,Tasks[[#This Row],[_ConstraintCode]]=4,Tasks[[#This Row],[_ConstraintCode]]=6),Tasks[[#This Row],[_ConstraintStart]],0)</f>
        <v/>
      </c>
      <c r="CP132" s="88">
        <f>IF(OR(Tasks[[#This Row],[_ConstraintCode]]=2,Tasks[[#This Row],[_ConstraintCode]]=3,Tasks[[#This Row],[_ConstraintCode]]=5,Tasks[[#This Row],[_ConstraintCode]]=7),Tasks[[#This Row],[_ConstraintStart]],2958465)</f>
        <v/>
      </c>
      <c r="CQ13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2" s="88">
        <f>IF(NOT(Tasks[[#This Row],[_IsLeaf]]=1),"",IF(N(Tasks[[#This Row],[_Days]])&lt;=0,Tasks[[#This Row],[_LeafCalcStart]],WORKDAY.INTL(Tasks[[#This Row],[_LeafCalcStart]],Tasks[[#This Row],[_Days]]-1,WorkWeek,Holidays)))</f>
        <v/>
      </c>
      <c r="CS13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2" s="42">
        <f>IF(Tasks[[#This Row],[_Predecessors]]="","",TRIM(MID(SUBSTITUTE(SUBSTITUTE(SUBSTITUTE(UPPER(Tasks[[#This Row],[_Predecessors]]),";",",")," ",""),",",REPT(" ",99)),1,99)))</f>
        <v/>
      </c>
      <c r="CV132" s="42">
        <f>IF(Tasks[[#This Row],[_Pred1Text]]="","",IFERROR(VALUE(LEFT(Tasks[[#This Row],[_Pred1Text]],MIN(FIND("F",Tasks[[#This Row],[_Pred1Text]]&amp;"F"),FIND("S",Tasks[[#This Row],[_Pred1Text]]&amp;"S"),FIND("+",Tasks[[#This Row],[_Pred1Text]]&amp;"+"),FIND("-",Tasks[[#This Row],[_Pred1Text]]&amp;"-"))-1)),""))</f>
        <v/>
      </c>
      <c r="CW13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2" s="42">
        <f>IF(Tasks[[#This Row],[_Pred1Text]]="","",TRIM(MID(SUBSTITUTE(SUBSTITUTE(SUBSTITUTE(UPPER(Tasks[[#This Row],[_Predecessors]]),";",",")," ",""),",",REPT(" ",99)),100,99)))</f>
        <v/>
      </c>
      <c r="CZ132" s="42">
        <f>IF(Tasks[[#This Row],[_Pred2Text]]="","",IFERROR(VALUE(LEFT(Tasks[[#This Row],[_Pred2Text]],MIN(FIND("F",Tasks[[#This Row],[_Pred2Text]]&amp;"F"),FIND("S",Tasks[[#This Row],[_Pred2Text]]&amp;"S"),FIND("+",Tasks[[#This Row],[_Pred2Text]]&amp;"+"),FIND("-",Tasks[[#This Row],[_Pred2Text]]&amp;"-"))-1)),""))</f>
        <v/>
      </c>
      <c r="DA13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2" s="42">
        <f>IF(Tasks[[#This Row],[_Pred2Text]]="","",TRIM(MID(SUBSTITUTE(SUBSTITUTE(SUBSTITUTE(UPPER(Tasks[[#This Row],[_Predecessors]]),";",",")," ",""),",",REPT(" ",99)),199,99)))</f>
        <v/>
      </c>
      <c r="DD132" s="42">
        <f>IF(Tasks[[#This Row],[_Pred3Text]]="","",IFERROR(VALUE(LEFT(Tasks[[#This Row],[_Pred3Text]],MIN(FIND("F",Tasks[[#This Row],[_Pred3Text]]&amp;"F"),FIND("S",Tasks[[#This Row],[_Pred3Text]]&amp;"S"),FIND("+",Tasks[[#This Row],[_Pred3Text]]&amp;"+"),FIND("-",Tasks[[#This Row],[_Pred3Text]]&amp;"-"))-1)),""))</f>
        <v/>
      </c>
      <c r="DE13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2" s="42">
        <f>IF(Tasks[[#This Row],[_Pred3Text]]="","",TRIM(MID(SUBSTITUTE(SUBSTITUTE(SUBSTITUTE(UPPER(Tasks[[#This Row],[_Predecessors]]),";",",")," ",""),",",REPT(" ",99)),298,99)))</f>
        <v/>
      </c>
      <c r="DH132" s="42">
        <f>IF(Tasks[[#This Row],[_Pred4Text]]="","",IFERROR(VALUE(LEFT(Tasks[[#This Row],[_Pred4Text]],MIN(FIND("F",Tasks[[#This Row],[_Pred4Text]]&amp;"F"),FIND("S",Tasks[[#This Row],[_Pred4Text]]&amp;"S"),FIND("+",Tasks[[#This Row],[_Pred4Text]]&amp;"+"),FIND("-",Tasks[[#This Row],[_Pred4Text]]&amp;"-"))-1)),""))</f>
        <v/>
      </c>
      <c r="DI13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2" s="42">
        <f>IF(OR(Tasks[[#This Row],[Task Name]]="",Tasks[[#This Row],[_Resources]]=""),"",TRIM(MID(SUBSTITUTE(Tasks[[#This Row],[_Resources]],",",REPT(" ",99)),1,99)))</f>
        <v/>
      </c>
      <c r="DL132" s="42">
        <f>IF(Tasks[[#This Row],[_Res1Text]]="","",TRIM(MID(SUBSTITUTE(Tasks[[#This Row],[_Resources]],",",REPT(" ",99)),100,99)))</f>
        <v/>
      </c>
      <c r="DM132" s="42">
        <f>IF(Tasks[[#This Row],[_Res2Text]]="","",TRIM(MID(SUBSTITUTE(Tasks[[#This Row],[_Resources]],",",REPT(" ",99)),199,99)))</f>
        <v/>
      </c>
      <c r="DN132" s="42">
        <f>IF(Tasks[[#This Row],[_Res3Text]]="","",TRIM(MID(SUBSTITUTE(Tasks[[#This Row],[_Resources]],",",REPT(" ",99)),298,99)))</f>
        <v/>
      </c>
      <c r="DO132" s="42">
        <f>IF(Tasks[[#This Row],[_Res1Text]]="",0,IFERROR(MATCH(TRIM(LEFT(Tasks[[#This Row],[_Res1Text]],FIND("[",Tasks[[#This Row],[_Res1Text]]&amp;"[")-1)),res_Name,0),IFERROR(MATCH(TRIM(LEFT(Tasks[[#This Row],[_Res1Text]],FIND("[",Tasks[[#This Row],[_Res1Text]]&amp;"[")-1)),res_Initials,0),0)))</f>
        <v/>
      </c>
      <c r="DP132" s="42">
        <f>IF(Tasks[[#This Row],[_Res2Text]]="",0,IFERROR(MATCH(TRIM(LEFT(Tasks[[#This Row],[_Res2Text]],FIND("[",Tasks[[#This Row],[_Res2Text]]&amp;"[")-1)),res_Name,0),IFERROR(MATCH(TRIM(LEFT(Tasks[[#This Row],[_Res2Text]],FIND("[",Tasks[[#This Row],[_Res2Text]]&amp;"[")-1)),res_Initials,0),0)))</f>
        <v/>
      </c>
      <c r="DQ132" s="42">
        <f>IF(Tasks[[#This Row],[_Res3Text]]="",0,IFERROR(MATCH(TRIM(LEFT(Tasks[[#This Row],[_Res3Text]],FIND("[",Tasks[[#This Row],[_Res3Text]]&amp;"[")-1)),res_Name,0),IFERROR(MATCH(TRIM(LEFT(Tasks[[#This Row],[_Res3Text]],FIND("[",Tasks[[#This Row],[_Res3Text]]&amp;"[")-1)),res_Initials,0),0)))</f>
        <v/>
      </c>
      <c r="DR132" s="42">
        <f>IF(Tasks[[#This Row],[_Res4Text]]="",0,IFERROR(MATCH(TRIM(LEFT(Tasks[[#This Row],[_Res4Text]],FIND("[",Tasks[[#This Row],[_Res4Text]]&amp;"[")-1)),res_Name,0),IFERROR(MATCH(TRIM(LEFT(Tasks[[#This Row],[_Res4Text]],FIND("[",Tasks[[#This Row],[_Res4Text]]&amp;"[")-1)),res_Initials,0),0)))</f>
        <v/>
      </c>
      <c r="DS132" s="42">
        <f>IF(Tasks[[#This Row],[_Res1Text]]="","",IF(Tasks[[#This Row],[_Res1Row]]&gt;0,INDEX(res_Name,Tasks[[#This Row],[_Res1Row]]),TRIM(LEFT(Tasks[[#This Row],[_Res1Text]],FIND("[",Tasks[[#This Row],[_Res1Text]]&amp;"[")-1))))</f>
        <v/>
      </c>
      <c r="DT13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2" s="42">
        <f>IF(NOT(Tasks[[#This Row],[_IsLeaf]]=1),0,(Tasks[[#This Row],[_Resource1]]&lt;&gt;"")+(Tasks[[#This Row],[_Res2]]&lt;&gt;"")+(Tasks[[#This Row],[_Res3]]&lt;&gt;"")+(Tasks[[#This Row],[_Res4]]&lt;&gt;""))</f>
        <v/>
      </c>
      <c r="DV132" s="42">
        <f>IF(Tasks[[#This Row],[_Res2Text]]="","",IF(Tasks[[#This Row],[_Res2Row]]&gt;0,INDEX(res_Name,Tasks[[#This Row],[_Res2Row]]),TRIM(LEFT(Tasks[[#This Row],[_Res2Text]],FIND("[",Tasks[[#This Row],[_Res2Text]]&amp;"[")-1))))</f>
        <v/>
      </c>
      <c r="DW13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2" s="42">
        <f>IF(OR(NOT(Tasks[[#This Row],[_IsLeaf]]=1),Tasks[[#This Row],[_Res2Row]]=0),0,N(Tasks[[#This Row],[_Days]])*HoursPerDay*IF(Tasks[[#This Row],[_Res2Units]]="",DefaultUnits,Tasks[[#This Row],[_Res2Units]]))</f>
        <v/>
      </c>
      <c r="DY132" s="42">
        <f>IF(AND(AND(Tasks[[#This Row],[_IsLeaf]]=1,Tasks[[#This Row],[_LeafTotalWork]]&gt;0),Tasks[[#This Row],[_Res2Work]]&gt;0),Tasks[[#This Row],[_Res2Work]]/(Tasks[[#This Row],[_FinishWorkday]]-Tasks[[#This Row],[_StartWorkday]]+1),0)</f>
        <v/>
      </c>
      <c r="DZ132" s="42">
        <f>Tasks[[#This Row],[_Res2WorkPerWD]]*MAX(0,Tasks[[#This Row],[_StartWorkday]]-1)</f>
        <v/>
      </c>
      <c r="EA132" s="42">
        <f>Tasks[[#This Row],[_Res2Work]]*Tasks[[#This Row],[_LeafProgress]]</f>
        <v/>
      </c>
      <c r="EB132" s="42">
        <f>IF(Tasks[[#This Row],[_Res3Text]]="","",IF(Tasks[[#This Row],[_Res3Row]]&gt;0,INDEX(res_Name,Tasks[[#This Row],[_Res3Row]]),TRIM(LEFT(Tasks[[#This Row],[_Res3Text]],FIND("[",Tasks[[#This Row],[_Res3Text]]&amp;"[")-1))))</f>
        <v/>
      </c>
      <c r="EC13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2" s="42">
        <f>IF(OR(NOT(Tasks[[#This Row],[_IsLeaf]]=1),Tasks[[#This Row],[_Res3Row]]=0),0,N(Tasks[[#This Row],[_Days]])*HoursPerDay*IF(Tasks[[#This Row],[_Res3Units]]="",DefaultUnits,Tasks[[#This Row],[_Res3Units]]))</f>
        <v/>
      </c>
      <c r="EE132" s="42">
        <f>IF(AND(AND(Tasks[[#This Row],[_IsLeaf]]=1,Tasks[[#This Row],[_LeafTotalWork]]&gt;0),Tasks[[#This Row],[_Res3Work]]&gt;0),Tasks[[#This Row],[_Res3Work]]/(Tasks[[#This Row],[_FinishWorkday]]-Tasks[[#This Row],[_StartWorkday]]+1),0)</f>
        <v/>
      </c>
      <c r="EF132" s="42">
        <f>Tasks[[#This Row],[_Res3WorkPerWD]]*MAX(0,Tasks[[#This Row],[_StartWorkday]]-1)</f>
        <v/>
      </c>
      <c r="EG132" s="42">
        <f>Tasks[[#This Row],[_Res3Work]]*Tasks[[#This Row],[_LeafProgress]]</f>
        <v/>
      </c>
      <c r="EH132" s="42">
        <f>IF(Tasks[[#This Row],[_Res4Text]]="","",IF(Tasks[[#This Row],[_Res4Row]]&gt;0,INDEX(res_Name,Tasks[[#This Row],[_Res4Row]]),TRIM(LEFT(Tasks[[#This Row],[_Res4Text]],FIND("[",Tasks[[#This Row],[_Res4Text]]&amp;"[")-1))))</f>
        <v/>
      </c>
      <c r="EI13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2" s="42">
        <f>IF(OR(NOT(Tasks[[#This Row],[_IsLeaf]]=1),Tasks[[#This Row],[_Res4Row]]=0),0,N(Tasks[[#This Row],[_Days]])*HoursPerDay*IF(Tasks[[#This Row],[_Res4Units]]="",DefaultUnits,Tasks[[#This Row],[_Res4Units]]))</f>
        <v/>
      </c>
      <c r="EK132" s="42">
        <f>IF(AND(AND(Tasks[[#This Row],[_IsLeaf]]=1,Tasks[[#This Row],[_LeafTotalWork]]&gt;0),Tasks[[#This Row],[_Res4Work]]&gt;0),Tasks[[#This Row],[_Res4Work]]/(Tasks[[#This Row],[_FinishWorkday]]-Tasks[[#This Row],[_StartWorkday]]+1),0)</f>
        <v/>
      </c>
      <c r="EL132" s="42">
        <f>Tasks[[#This Row],[_Res4WorkPerWD]]*MAX(0,Tasks[[#This Row],[_StartWorkday]]-1)</f>
        <v/>
      </c>
      <c r="EM132" s="42">
        <f>Tasks[[#This Row],[_Res4Work]]*Tasks[[#This Row],[_LeafProgress]]</f>
        <v/>
      </c>
      <c r="EN132" s="42">
        <f>IF(ISNUMBER(Tasks[[#This Row],[% Complete]]),Tasks[[#This Row],[% Complete]],IF(Tasks[[#This Row],[Stage]]="",0,IFERROR(INDEX(stg_Pct,MATCH(Tasks[[#This Row],[Stage]],stg_Name,0)),0)))</f>
        <v/>
      </c>
      <c r="EO132" s="42">
        <f>IF(NOT(Tasks[[#This Row],[_IsLeaf]]=1),0,IF(N(Tasks[[#This Row],[Actual Finish]])&gt;0,1,MIN(1,Tasks[[#This Row],[_Pct]])))</f>
        <v/>
      </c>
      <c r="EP132" s="42">
        <f>IF(OR(NOT(Tasks[[#This Row],[_IsLeaf]]=1),Tasks[[#This Row],[_Res1Row]]=0),0,N(Tasks[[#This Row],[_Days]])*HoursPerDay*IF(Tasks[[#This Row],[_Units1]]="",DefaultUnits,Tasks[[#This Row],[_Units1]]))</f>
        <v/>
      </c>
      <c r="EQ132" s="42">
        <f>Tasks[[#This Row],[_LeafWork]]+Tasks[[#This Row],[_Res2Work]]+Tasks[[#This Row],[_Res3Work]]+Tasks[[#This Row],[_Res4Work]]</f>
        <v/>
      </c>
      <c r="ER13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2" s="42">
        <f>IF(NOT(Tasks[[#This Row],[_IsLeaf]]=1),0,MAX(_xlfn.MAXIFS(Tasks[_Row],Tasks[_Pred1UID],Tasks[[#This Row],[UID]]),_xlfn.MAXIFS(Tasks[_Row],Tasks[_Pred2UID],Tasks[[#This Row],[UID]]),_xlfn.MAXIFS(Tasks[_Row],Tasks[_Pred3UID],Tasks[[#This Row],[UID]]),_xlfn.MAXIFS(Tasks[_Row],Tasks[_Pred4UID],Tasks[[#This Row],[UID]])))</f>
        <v/>
      </c>
      <c r="FA13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2" s="88">
        <f>IF(NOT(Tasks[[#This Row],[_IsLeaf]]=1),"",IF(N(Tasks[[#This Row],[_Days]])&lt;=0,Tasks[[#This Row],[_LeafLateFinish]],WORKDAY.INTL(Tasks[[#This Row],[_LeafLateFinish]],-(Tasks[[#This Row],[_Days]]-1),WorkWeek,Holidays)))</f>
        <v/>
      </c>
      <c r="FD13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2" s="42">
        <f>AND(Tasks[[#This Row],[_IsLeaf]]=1,Tasks[[#This Row],[_LeafProgress]]&lt;1,N(Tasks[[#This Row],[_LeafTotalSlack]])&lt;=CriticalSlackDays)</f>
        <v/>
      </c>
      <c r="FF132" s="42">
        <f>IF(AND(Tasks[[#This Row],[_IsLeaf]]=1,Tasks[[#This Row],[_ConstraintCode]]=1,Tasks[[#This Row],[Mode]]&lt;&gt;"Manual",N(Tasks[[#This Row],[Actual Start]])=0),MAX(0,N(Tasks[[#This Row],[Free Slack]])),0)</f>
        <v/>
      </c>
      <c r="FG132" s="88">
        <f>IF(NOT(Tasks[[#This Row],[_IsLeaf]]=1),"",IF(Tasks[[#This Row],[_AlapShift]]=0,Tasks[[#This Row],[_LeafCalcStart]],WORKDAY.INTL(Tasks[[#This Row],[_LeafCalcStart]],Tasks[[#This Row],[_AlapShift]],WorkWeek,Holidays)))</f>
        <v/>
      </c>
      <c r="FH132" s="88">
        <f>IF(NOT(Tasks[[#This Row],[_IsLeaf]]=1),"",IF(Tasks[[#This Row],[_AlapShift]]=0,Tasks[[#This Row],[_LeafCalcFinish]],WORKDAY.INTL(Tasks[[#This Row],[_LeafCalcFinish]],Tasks[[#This Row],[_AlapShift]],WorkWeek,Holidays)))</f>
        <v/>
      </c>
      <c r="FI132" s="88">
        <f>IF(NOT(Tasks[[#This Row],[_IsLeaf]]=1),"",IF(Tasks[[#This Row],[_AlapShift]]=0,Tasks[[#This Row],[_LeafFcstStart]],WORKDAY.INTL(Tasks[[#This Row],[_LeafFcstStart]],Tasks[[#This Row],[_AlapShift]],WorkWeek,Holidays)))</f>
        <v/>
      </c>
      <c r="FJ132" s="88">
        <f>IF(NOT(Tasks[[#This Row],[_IsLeaf]]=1),"",IF(Tasks[[#This Row],[_AlapShift]]=0,Tasks[[#This Row],[_LeafFcstFinish]],WORKDAY.INTL(Tasks[[#This Row],[_LeafFcstFinish]],Tasks[[#This Row],[_AlapShift]],WorkWeek,Holidays)))</f>
        <v/>
      </c>
      <c r="FK132" s="88">
        <f>IF(Tasks[[#This Row],[Task Name]]="","",IF(Tasks[[#This Row],[_IsSummary]],MIN(INDEX(Tasks[_ShownCalcStart],Tasks[[#This Row],[_Row]]+1):INDEX(Tasks[_ShownCalcStart],Tasks[[#This Row],[_Row]]+Tasks[[#This Row],[_Descendants]])),Tasks[[#This Row],[_ShownCalcStart]]))</f>
        <v/>
      </c>
      <c r="FL132" s="88">
        <f>IF(Tasks[[#This Row],[Task Name]]="","",IF(Tasks[[#This Row],[_IsSummary]],MAX(INDEX(Tasks[_ShownCalcFinish],Tasks[[#This Row],[_Row]]+1):INDEX(Tasks[_ShownCalcFinish],Tasks[[#This Row],[_Row]]+Tasks[[#This Row],[_Descendants]])),Tasks[[#This Row],[_ShownCalcFinish]]))</f>
        <v/>
      </c>
      <c r="FM13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2" s="42">
        <f>IF(AND(Tasks[[#This Row],[_IsLeaf]]=1,Tasks[[#This Row],[_LeafTotalWork]]&gt;0),NETWORKDAYS.INTL(ProjectStart,Tasks[[#This Row],[_ShownFcstStart]],WorkWeek,Holidays),0)</f>
        <v/>
      </c>
      <c r="FZ132" s="42">
        <f>IF(AND(Tasks[[#This Row],[_IsLeaf]]=1,Tasks[[#This Row],[_LeafTotalWork]]&gt;0),MAX(Tasks[[#This Row],[_StartWorkday]],NETWORKDAYS.INTL(ProjectStart,Tasks[[#This Row],[_ShownFcstFinish]],WorkWeek,Holidays)),0)</f>
        <v/>
      </c>
      <c r="GA132" s="42">
        <f>IF(AND(Tasks[[#This Row],[_IsLeaf]]=1,Tasks[[#This Row],[_LeafTotalWork]]&gt;0),Tasks[[#This Row],[_LeafWork]]/(Tasks[[#This Row],[_FinishWorkday]]-Tasks[[#This Row],[_StartWorkday]]+1),0)</f>
        <v/>
      </c>
      <c r="GB132" s="42">
        <f>Tasks[[#This Row],[_WorkPerWorkday]]*(Tasks[[#This Row],[_StartWorkday]]-1)</f>
        <v/>
      </c>
      <c r="GC132" s="42">
        <f>IF(Tasks[[#This Row],[_IsLeaf]]=1,MAX(N(Tasks[[#This Row],[_Days]]),0.1),0)</f>
        <v/>
      </c>
      <c r="GD132" s="42">
        <f>Tasks[[#This Row],[_WeightDur]]*Tasks[[#This Row],[_LeafProgress]]</f>
        <v/>
      </c>
      <c r="GE132" s="42">
        <f>Tasks[[#This Row],[_WeightDur]]*Tasks[[#This Row],[_PlannedPct]]</f>
        <v/>
      </c>
      <c r="GF13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2" s="42">
        <f>IF(AND(Tasks[[#This Row],[_IsLeaf]]=1,N(Tasks[[#This Row],[_Days]])=0,Tasks[[#This Row],[_LeafProgress]]&lt;1),Tasks[[#This Row],[_ShownFcstFinish]]+Tasks[[#This Row],[_Row]]/100000,"")</f>
        <v/>
      </c>
      <c r="GH13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2" s="42">
        <f>IF(Tasks[[#This Row],[Task Name]]="","",LEFT(Tasks[[#This Row],[WBS]],FIND(".",Tasks[[#This Row],[WBS]]&amp;".")-1))</f>
        <v/>
      </c>
      <c r="GJ132" s="42">
        <f>IF(AND(Tasks[[#This Row],[Task Name]]&lt;&gt;"",Tasks[[#This Row],[_Level]]=1),Tasks[[#This Row],[_Row]],"")</f>
        <v/>
      </c>
      <c r="GK132" s="42">
        <f>IF(AND(Tasks[[#This Row],[_IsLeaf]]=1,N(Tasks[[#This Row],[_Days]])=0),Tasks[[#This Row],[Planned Finish]]+Tasks[[#This Row],[_Row]]/100000,"")</f>
        <v/>
      </c>
      <c r="GL132" s="42">
        <f>IF(AND(Tasks[[#This Row],[_IsLeaf]]=1,Tasks[[#This Row],[_LeafProgress]]&lt;1,OR(N(Tasks[[#This Row],[Finish Var]])&gt;0,Tasks[[#This Row],[Status]]="Late Start")),MAX(0,Tasks[[#This Row],[Finish Var]])+1-Tasks[[#This Row],[_Row]]/1000000,"")</f>
        <v/>
      </c>
      <c r="GM132" s="42">
        <f>IF(AND(Tasks[[#This Row],[_IsLeaf]]=1,N(Tasks[[#This Row],[Actual Start]])=0,Tasks[[#This Row],[_ShownFcstStart]]&gt;=StatusDate,Tasks[[#This Row],[_ShownFcstStart]]&lt;=LookaheadEnd),Tasks[[#This Row],[_ShownFcstStart]]+Tasks[[#This Row],[_Row]]/100000,"")</f>
        <v/>
      </c>
      <c r="GN132" s="42">
        <f>IF(AND(Tasks[[#This Row],[_IsLeaf]]=1,Tasks[[#This Row],[_LeafProgress]]&lt;1,Tasks[[#This Row],[_ShownFcstFinish]]&gt;=StatusDate,Tasks[[#This Row],[_ShownFcstFinish]]&lt;=LookaheadEnd),Tasks[[#This Row],[_ShownFcstFinish]]+Tasks[[#This Row],[_Row]]/100000,"")</f>
        <v/>
      </c>
      <c r="GO132" s="42">
        <f>IF(Tasks[[#This Row],[_LeafCritical]],Tasks[[#This Row],[_ShownFcstStart]]+Tasks[[#This Row],[_Row]]/100000,"")</f>
        <v/>
      </c>
      <c r="GP132" s="42">
        <f>Tasks[[#This Row],[_LeafWork]]*Tasks[[#This Row],[_LeafProgress]]</f>
        <v/>
      </c>
      <c r="GQ132" s="88">
        <f>IF(AND(Tasks[[#This Row],[_IsLeaf]]=1,Tasks[[#This Row],[_LeafProgress]]&gt;=1),IF(N(Tasks[[#This Row],[Actual Finish]])&gt;0,Tasks[[#This Row],[Actual Finish]],Tasks[[#This Row],[_ShownFcstFinish]]),"")</f>
        <v/>
      </c>
      <c r="GR132" s="42">
        <f>IF(Tasks[[#This Row],[_IsLeaf]]=1,N(Tasks[[#This Row],[Story Points]]),0)</f>
        <v/>
      </c>
      <c r="GS132" s="42">
        <f>""</f>
        <v/>
      </c>
      <c r="GT132" s="42">
        <f>IF(Tasks[[#This Row],[Task Name]]="",FALSE(),AND(Tasks[[#This Row],[_IsLeaf]]=1,N(Tasks[[#This Row],[_Days]])=0))</f>
        <v/>
      </c>
      <c r="GU132" s="88">
        <f>IF(Tasks[[#This Row],[Task Name]]="",0,IF(AND(Tasks[[#This Row],[_IsLeaf]]=1,NOT(Tasks[[#This Row],[_IsMilestone]]),N(Tasks[[#This Row],[Progress]])&gt;0),Tasks[[#This Row],[Start]],0))</f>
        <v/>
      </c>
      <c r="GV132" s="88">
        <f>IF(Tasks[[#This Row],[_DoneFrom]]=0,0,IF(Tasks[[#This Row],[Progress]]&gt;=1,Tasks[[#This Row],[Finish]],MAX(Tasks[[#This Row],[_DoneFrom]],Tasks[[#This Row],[Start]]+ROUND((Tasks[[#This Row],[Finish]]-Tasks[[#This Row],[Start]]+1)*Tasks[[#This Row],[Progress]],0)-1)))</f>
        <v/>
      </c>
      <c r="GW132" s="88">
        <f>IF(Tasks[[#This Row],[Task Name]]="",0,IF(OR(NOT(Tasks[[#This Row],[_IsLeaf]]=1),Tasks[[#This Row],[_IsMilestone]],N(Tasks[[#This Row],[Progress]])&gt;=1),0,IF(Tasks[[#This Row],[_DoneTo]]&gt;0,Tasks[[#This Row],[_DoneTo]]+1,Tasks[[#This Row],[Start]])))</f>
        <v/>
      </c>
      <c r="GX132" s="88">
        <f>IF(Tasks[[#This Row],[_RemFrom]]=0,0,Tasks[[#This Row],[Finish]])</f>
        <v/>
      </c>
      <c r="GY132" s="42">
        <f>IF(Tasks[[#This Row],[Task Name]]="",FALSE(),OR(NOT(BaselineSet),N(Tasks[[#This Row],[Baseline Start]])&gt;0))</f>
        <v/>
      </c>
      <c r="GZ132" s="42">
        <f>IF(AND(Sandbox="Yes",L_PARSE_DURATION(Tasks[[#This Row],[Sandbox Duration]])&lt;&gt;""),L_PARSE_DURATION(Tasks[[#This Row],[Sandbox Duration]]),L_PARSE_DURATION(Tasks[[#This Row],[Duration]]))</f>
        <v/>
      </c>
      <c r="HA13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2" s="42">
        <f>IF(Tasks[[#This Row],[_IsLeaf]]=1,Tasks[[#This Row],[_Row]],"")</f>
        <v/>
      </c>
      <c r="HD132" s="42">
        <f>IFERROR(INDEX(Tasks[UID],SMALL(Tasks[_PickKey],Tasks[[#This Row],[_Row]]))&amp;" "&amp;INDEX(Tasks[Task Name],SMALL(Tasks[_PickKey],Tasks[[#This Row],[_Row]])),"")</f>
        <v/>
      </c>
      <c r="HE132" s="42">
        <f>IF(Tasks[[#This Row],[Task Name]]="","",IF(Tasks[[#This Row],[_IsSummary]],NETWORKDAYS.INTL(Tasks[[#This Row],[Start]],Tasks[[#This Row],[Finish]],WorkWeek,Holidays),N(Tasks[[#This Row],[_Days]])))</f>
        <v/>
      </c>
      <c r="HF132" s="42">
        <f>IF(Tasks[[#This Row],[Expected]]="",0,((Tasks[[#This Row],[Pessimistic]]-Tasks[[#This Row],[Optimistic]])/6)^2)</f>
        <v/>
      </c>
      <c r="HG132" s="42">
        <f>IF(Tasks[[#This Row],[Expected]]="",0,Tasks[[#This Row],[Expected]]-N(Tasks[[#This Row],[_Days]]))</f>
        <v/>
      </c>
    </row>
    <row r="133">
      <c r="A133" s="21">
        <f>IF(Tasks[[#This Row],[Task Name]]="","",COUNTA(Tasks[[#Headers],[Task Name]]:Tasks[[#This Row],[Task Name]])-1)</f>
        <v/>
      </c>
      <c r="B133" s="22" t="n">
        <v>141</v>
      </c>
      <c r="C133" s="22" t="n"/>
      <c r="D133" s="23" t="n"/>
      <c r="E133" s="22" t="n"/>
      <c r="F133" s="23" t="n"/>
      <c r="G133" s="22" t="n"/>
      <c r="H133" s="22" t="n"/>
      <c r="I133" s="23" t="n"/>
      <c r="J133" s="22" t="n"/>
      <c r="K133" s="22" t="n"/>
      <c r="L133" s="23" t="n"/>
      <c r="M133" s="22" t="n"/>
      <c r="N133" s="22" t="n"/>
      <c r="O133" s="23" t="n"/>
      <c r="P133" s="22" t="n"/>
      <c r="Q133" s="22" t="n"/>
      <c r="R133" s="23" t="n"/>
      <c r="S133" s="23" t="n"/>
      <c r="T133" s="82" t="n"/>
      <c r="U133" s="23" t="n"/>
      <c r="V133" s="82" t="n"/>
      <c r="W133" s="23" t="n"/>
      <c r="X133" s="82" t="n"/>
      <c r="Y133" s="23" t="n"/>
      <c r="Z133" s="82" t="n"/>
      <c r="AA133" s="23" t="n"/>
      <c r="AB133" s="23" t="n"/>
      <c r="AC133" s="7" t="n"/>
      <c r="AD133" s="7" t="n"/>
      <c r="AE133" s="61">
        <f>IF(Tasks[[#This Row],[Task Name]]="","",IF(Tasks[[#This Row],[_IsSummary]],MIN(INDEX(Tasks[_ShownFcstStart],Tasks[[#This Row],[_Row]]+1):INDEX(Tasks[_ShownFcstStart],Tasks[[#This Row],[_Row]]+Tasks[[#This Row],[_Descendants]])),Tasks[[#This Row],[_ShownFcstStart]]))</f>
        <v/>
      </c>
      <c r="AF133" s="61">
        <f>IF(Tasks[[#This Row],[Task Name]]="","",IF(Tasks[[#This Row],[_IsSummary]],MAX(INDEX(Tasks[_ShownFcstFinish],Tasks[[#This Row],[_Row]]+1):INDEX(Tasks[_ShownFcstFinish],Tasks[[#This Row],[_Row]]+Tasks[[#This Row],[_Descendants]])),Tasks[[#This Row],[_ShownFcstFinish]]))</f>
        <v/>
      </c>
      <c r="AG133" s="21">
        <f>""</f>
        <v/>
      </c>
      <c r="AH133" s="23" t="n"/>
      <c r="AI13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3" s="7" t="n"/>
      <c r="AK133" s="22" t="n"/>
      <c r="AL133" s="23" t="n"/>
      <c r="AM133" s="7" t="n"/>
      <c r="AN133" s="21">
        <f>IF(Tasks[[#This Row],[Task Name]]="","",IF(Tasks[[#This Row],[Finish]]&gt;=Tasks[[#This Row],[Planned Finish]],NETWORKDAYS.INTL(Tasks[[#This Row],[Planned Finish]],Tasks[[#This Row],[Finish]],WorkWeek,Holidays)-1,1-NETWORKDAYS.INTL(Tasks[[#This Row],[Finish]],Tasks[[#This Row],[Planned Finish]],WorkWeek,Holidays)))</f>
        <v/>
      </c>
      <c r="AO133" s="21">
        <f>IF(Tasks[[#This Row],[Task Name]]="","",IF(Tasks[[#This Row],[Progress]]&gt;=1,"Complete",IF(OR(N(Tasks[[#This Row],[Actual Start]])&gt;0,Tasks[[#This Row],[Progress]]&gt;0),IF(Tasks[[#This Row],[Finish Var]]&gt;0,"Behind","In Progress"),IF(Tasks[[#This Row],[Planned Start]]&lt;StatusDate,"Late Start","Not Started"))))</f>
        <v/>
      </c>
      <c r="AP133" s="21">
        <f>IF(Tasks[[#This Row],[Task Name]]="","",IF(IF(Tasks[[#This Row],[_IsSummary]],COUNTIF(INDEX(Tasks[_LeafCritical],Tasks[[#This Row],[_Row]]+1):INDEX(Tasks[_LeafCritical],Tasks[[#This Row],[_Row]]+Tasks[[#This Row],[_Descendants]]),TRUE())&gt;0,Tasks[[#This Row],[_LeafCritical]]),"Yes",""))</f>
        <v/>
      </c>
      <c r="AQ133" s="61">
        <f>IF(Tasks[[#This Row],[Task Name]]="","",IF(N(Tasks[[#This Row],[Baseline Start]])&gt;0,Tasks[[#This Row],[Baseline Start]],Tasks[[#This Row],[_CalcStart]]))</f>
        <v/>
      </c>
      <c r="AR133" s="61">
        <f>IF(Tasks[[#This Row],[Task Name]]="","",IF(N(Tasks[[#This Row],[Baseline Finish]])&gt;0,Tasks[[#This Row],[Baseline Finish]],Tasks[[#This Row],[_CalcFinish]]))</f>
        <v/>
      </c>
      <c r="AS133" s="21">
        <f>IF(Tasks[[#This Row],[Task Name]]="","",IF(Tasks[[#This Row],[Start]]&gt;=Tasks[[#This Row],[Planned Start]],NETWORKDAYS.INTL(Tasks[[#This Row],[Planned Start]],Tasks[[#This Row],[Start]],WorkWeek,Holidays)-1,1-NETWORKDAYS.INTL(Tasks[[#This Row],[Start]],Tasks[[#This Row],[Planned Start]],WorkWeek,Holidays)))</f>
        <v/>
      </c>
      <c r="AT133" s="61">
        <f>IF(Tasks[[#This Row],[Task Name]]="","",IF(Tasks[[#This Row],[_IsSummary]],MIN(INDEX(Tasks[_LeafLateStart],Tasks[[#This Row],[_Row]]+1):INDEX(Tasks[_LeafLateStart],Tasks[[#This Row],[_Row]]+Tasks[[#This Row],[_Descendants]])),Tasks[[#This Row],[_LeafLateStart]]))</f>
        <v/>
      </c>
      <c r="AU133" s="61">
        <f>IF(Tasks[[#This Row],[Task Name]]="","",IF(Tasks[[#This Row],[_IsSummary]],MAX(INDEX(Tasks[_LeafLateFinish],Tasks[[#This Row],[_Row]]+1):INDEX(Tasks[_LeafLateFinish],Tasks[[#This Row],[_Row]]+Tasks[[#This Row],[_Descendants]])),Tasks[[#This Row],[_LeafLateFinish]]))</f>
        <v/>
      </c>
      <c r="AV133" s="21">
        <f>IF(Tasks[[#This Row],[Task Name]]="","",IF(Tasks[[#This Row],[_IsSummary]],MIN(INDEX(Tasks[_LeafTotalSlack],Tasks[[#This Row],[_Row]]+1):INDEX(Tasks[_LeafTotalSlack],Tasks[[#This Row],[_Row]]+Tasks[[#This Row],[_Descendants]])),Tasks[[#This Row],[_LeafTotalSlack]]))</f>
        <v/>
      </c>
      <c r="AW13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3" t="n"/>
      <c r="BA13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f>IF(Tasks[[#This Row],[Task Name]]="","",IF(Tasks[[#This Row],[_Level]]&lt;=OutlineShowLevel,"Yes","No"))</f>
        <v/>
      </c>
      <c r="BE133" s="84">
        <f>IF(Tasks[[#This Row],[Task Name]]="","",IF(Tasks[[#This Row],[_IsSummary]],SUM(INDEX(Tasks[_LeafTotalWork],Tasks[[#This Row],[_Row]]+1):INDEX(Tasks[_LeafTotalWork],Tasks[[#This Row],[_Row]]+Tasks[[#This Row],[_Descendants]])),Tasks[[#This Row],[_LeafTotalWork]]))</f>
        <v/>
      </c>
      <c r="BF133" s="23" t="n"/>
      <c r="BG13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f>""</f>
        <v/>
      </c>
      <c r="BI133" s="85" t="n"/>
      <c r="BJ133" s="22" t="n"/>
      <c r="BK133" s="21">
        <f>IF(OR(Tasks[[#This Row],[Task Name]]="",Tasks[[#This Row],[Baseline Duration]]=""),"",Tasks[[#This Row],[_SpanDays]]-N(Tasks[[#This Row],[Baseline Duration]]))</f>
        <v/>
      </c>
      <c r="BL133" s="84">
        <f>IF(OR(Tasks[[#This Row],[Task Name]]="",Tasks[[#This Row],[Baseline Work]]=""),"",Tasks[[#This Row],[Work]]-N(Tasks[[#This Row],[Baseline Work]]))</f>
        <v/>
      </c>
      <c r="BM133" s="61">
        <f>IF(Tasks[[#This Row],[Task Name]]="","",IF(OR(TakeBaseline="Yes",N(Tasks[[#This Row],[Baseline Start]])=0),Tasks[[#This Row],[Start]],Tasks[[#This Row],[Baseline Start]]))</f>
        <v/>
      </c>
      <c r="BN133" s="61">
        <f>IF(Tasks[[#This Row],[Task Name]]="","",IF(OR(TakeBaseline="Yes",N(Tasks[[#This Row],[Baseline Finish]])=0),Tasks[[#This Row],[Finish]],Tasks[[#This Row],[Baseline Finish]]))</f>
        <v/>
      </c>
      <c r="BO133" s="21">
        <f>IF(Tasks[[#This Row],[Task Name]]="","",IF(OR(TakeBaseline="Yes",N(Tasks[[#This Row],[Baseline Duration]])=0),Tasks[[#This Row],[_SpanDays]],Tasks[[#This Row],[Baseline Duration]]))</f>
        <v/>
      </c>
      <c r="BP133" s="84">
        <f>IF(Tasks[[#This Row],[Task Name]]="","",IF(OR(TakeBaseline="Yes",N(Tasks[[#This Row],[Baseline Work]])=0),Tasks[[#This Row],[Work]],Tasks[[#This Row],[Baseline Work]]))</f>
        <v/>
      </c>
      <c r="BQ133" s="7" t="n"/>
      <c r="BR133" s="7" t="n"/>
      <c r="BS133" s="22" t="n"/>
      <c r="BT133" s="86" t="n"/>
      <c r="BU133" s="23" t="n"/>
      <c r="BV133" s="23" t="n"/>
      <c r="BW133" s="23" t="n"/>
      <c r="BX133" s="87">
        <f>IF(AND(Tasks[[#This Row],[_IsLeaf]]=1,ISNUMBER(Tasks[[#This Row],[Optimistic]]),ISNUMBER(Tasks[[#This Row],[Pessimistic]])),ROUND((Tasks[[#This Row],[Optimistic]]+4*N(Tasks[[#This Row],[_Days]])+Tasks[[#This Row],[Pessimistic]])/6,1),"")</f>
        <v/>
      </c>
      <c r="BY133" s="85" t="n"/>
      <c r="BZ133" s="85" t="n"/>
      <c r="CA133" s="22" t="n"/>
      <c r="CB133" s="42">
        <f>IF(Tasks[[#This Row],[Task Name]]="","",MAX(1,N(Tasks[[#This Row],[Level]])))</f>
        <v/>
      </c>
      <c r="CC133" s="42">
        <f>ROW()-ROW(Tasks[[#Headers],[ID]])</f>
        <v/>
      </c>
      <c r="CD133" s="42">
        <f>IF(OR(Tasks[[#This Row],[Task Name]]="",Tasks[[#This Row],[_Level]]&lt;=1),0,IFERROR(LOOKUP(2,1/(Tasks[[#Headers],[_Level]]:Tasks[[#This Row],[_Level]]=Tasks[[#This Row],[_Level]]-1),ROW(Tasks[[#Headers],[_Level]]:Tasks[[#This Row],[_Level]])),0))</f>
        <v/>
      </c>
      <c r="CE133" s="42">
        <f>IFERROR(N(INDEX(Tasks[_Level],Tasks[[#This Row],[_Row]]+1)),0)</f>
        <v/>
      </c>
      <c r="CF133" s="42">
        <f>AND(Tasks[[#This Row],[Task Name]]&lt;&gt;"",Tasks[[#This Row],[_NextLevel]]&gt;Tasks[[#This Row],[_Level]])</f>
        <v/>
      </c>
      <c r="CG133" s="42">
        <f>IF(Tasks[[#This Row],[_IsSummary]],COUNTIF(Tasks[WBS],Tasks[[#This Row],[WBS]]&amp;".*"),0)</f>
        <v/>
      </c>
      <c r="CH133" s="42">
        <f>IF(AND(Tasks[[#This Row],[Task Name]]&lt;&gt;"",NOT(Tasks[[#This Row],[_IsSummary]])),1,0)</f>
        <v/>
      </c>
      <c r="CI133" s="42">
        <f>IF(N(Tasks[[#This Row],[_Pred1UID]])=0,0,IFERROR(MATCH(Tasks[[#This Row],[_Pred1UID]],Tasks[UID],0),-1))</f>
        <v/>
      </c>
      <c r="CJ133" s="42">
        <f>IF(N(Tasks[[#This Row],[_Pred2UID]])=0,0,IFERROR(MATCH(Tasks[[#This Row],[_Pred2UID]],Tasks[UID],0),-1))</f>
        <v/>
      </c>
      <c r="CK133" s="42">
        <f>IF(N(Tasks[[#This Row],[_Pred3UID]])=0,0,IFERROR(MATCH(Tasks[[#This Row],[_Pred3UID]],Tasks[UID],0),-1))</f>
        <v/>
      </c>
      <c r="CL133" s="42">
        <f>IF(N(Tasks[[#This Row],[_Pred4UID]])=0,0,IFERROR(MATCH(Tasks[[#This Row],[_Pred4UID]],Tasks[UID],0),-1))</f>
        <v/>
      </c>
      <c r="CM13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3" s="88">
        <f>IF(N(Tasks[[#This Row],[Constraint Date]])=0,0,IF(AND(OR(Tasks[[#This Row],[_ConstraintCode]]=3,Tasks[[#This Row],[_ConstraintCode]]=6,Tasks[[#This Row],[_ConstraintCode]]=7),N(Tasks[[#This Row],[_Days]])&gt;1),WORKDAY.INTL(N(Tasks[[#This Row],[Constraint Date]]),-(N(Tasks[[#This Row],[_Days]])-1),WorkWeek,Holidays),N(Tasks[[#This Row],[Constraint Date]])))</f>
        <v/>
      </c>
      <c r="CO133" s="88">
        <f>IF(OR(Tasks[[#This Row],[_ConstraintCode]]=2,Tasks[[#This Row],[_ConstraintCode]]=3,Tasks[[#This Row],[_ConstraintCode]]=4,Tasks[[#This Row],[_ConstraintCode]]=6),Tasks[[#This Row],[_ConstraintStart]],0)</f>
        <v/>
      </c>
      <c r="CP133" s="88">
        <f>IF(OR(Tasks[[#This Row],[_ConstraintCode]]=2,Tasks[[#This Row],[_ConstraintCode]]=3,Tasks[[#This Row],[_ConstraintCode]]=5,Tasks[[#This Row],[_ConstraintCode]]=7),Tasks[[#This Row],[_ConstraintStart]],2958465)</f>
        <v/>
      </c>
      <c r="CQ13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3" s="88">
        <f>IF(NOT(Tasks[[#This Row],[_IsLeaf]]=1),"",IF(N(Tasks[[#This Row],[_Days]])&lt;=0,Tasks[[#This Row],[_LeafCalcStart]],WORKDAY.INTL(Tasks[[#This Row],[_LeafCalcStart]],Tasks[[#This Row],[_Days]]-1,WorkWeek,Holidays)))</f>
        <v/>
      </c>
      <c r="CS13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3" s="42">
        <f>IF(Tasks[[#This Row],[_Predecessors]]="","",TRIM(MID(SUBSTITUTE(SUBSTITUTE(SUBSTITUTE(UPPER(Tasks[[#This Row],[_Predecessors]]),";",",")," ",""),",",REPT(" ",99)),1,99)))</f>
        <v/>
      </c>
      <c r="CV133" s="42">
        <f>IF(Tasks[[#This Row],[_Pred1Text]]="","",IFERROR(VALUE(LEFT(Tasks[[#This Row],[_Pred1Text]],MIN(FIND("F",Tasks[[#This Row],[_Pred1Text]]&amp;"F"),FIND("S",Tasks[[#This Row],[_Pred1Text]]&amp;"S"),FIND("+",Tasks[[#This Row],[_Pred1Text]]&amp;"+"),FIND("-",Tasks[[#This Row],[_Pred1Text]]&amp;"-"))-1)),""))</f>
        <v/>
      </c>
      <c r="CW13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3" s="42">
        <f>IF(Tasks[[#This Row],[_Pred1Text]]="","",TRIM(MID(SUBSTITUTE(SUBSTITUTE(SUBSTITUTE(UPPER(Tasks[[#This Row],[_Predecessors]]),";",",")," ",""),",",REPT(" ",99)),100,99)))</f>
        <v/>
      </c>
      <c r="CZ133" s="42">
        <f>IF(Tasks[[#This Row],[_Pred2Text]]="","",IFERROR(VALUE(LEFT(Tasks[[#This Row],[_Pred2Text]],MIN(FIND("F",Tasks[[#This Row],[_Pred2Text]]&amp;"F"),FIND("S",Tasks[[#This Row],[_Pred2Text]]&amp;"S"),FIND("+",Tasks[[#This Row],[_Pred2Text]]&amp;"+"),FIND("-",Tasks[[#This Row],[_Pred2Text]]&amp;"-"))-1)),""))</f>
        <v/>
      </c>
      <c r="DA13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3" s="42">
        <f>IF(Tasks[[#This Row],[_Pred2Text]]="","",TRIM(MID(SUBSTITUTE(SUBSTITUTE(SUBSTITUTE(UPPER(Tasks[[#This Row],[_Predecessors]]),";",",")," ",""),",",REPT(" ",99)),199,99)))</f>
        <v/>
      </c>
      <c r="DD133" s="42">
        <f>IF(Tasks[[#This Row],[_Pred3Text]]="","",IFERROR(VALUE(LEFT(Tasks[[#This Row],[_Pred3Text]],MIN(FIND("F",Tasks[[#This Row],[_Pred3Text]]&amp;"F"),FIND("S",Tasks[[#This Row],[_Pred3Text]]&amp;"S"),FIND("+",Tasks[[#This Row],[_Pred3Text]]&amp;"+"),FIND("-",Tasks[[#This Row],[_Pred3Text]]&amp;"-"))-1)),""))</f>
        <v/>
      </c>
      <c r="DE13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3" s="42">
        <f>IF(Tasks[[#This Row],[_Pred3Text]]="","",TRIM(MID(SUBSTITUTE(SUBSTITUTE(SUBSTITUTE(UPPER(Tasks[[#This Row],[_Predecessors]]),";",",")," ",""),",",REPT(" ",99)),298,99)))</f>
        <v/>
      </c>
      <c r="DH133" s="42">
        <f>IF(Tasks[[#This Row],[_Pred4Text]]="","",IFERROR(VALUE(LEFT(Tasks[[#This Row],[_Pred4Text]],MIN(FIND("F",Tasks[[#This Row],[_Pred4Text]]&amp;"F"),FIND("S",Tasks[[#This Row],[_Pred4Text]]&amp;"S"),FIND("+",Tasks[[#This Row],[_Pred4Text]]&amp;"+"),FIND("-",Tasks[[#This Row],[_Pred4Text]]&amp;"-"))-1)),""))</f>
        <v/>
      </c>
      <c r="DI13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3" s="42">
        <f>IF(OR(Tasks[[#This Row],[Task Name]]="",Tasks[[#This Row],[_Resources]]=""),"",TRIM(MID(SUBSTITUTE(Tasks[[#This Row],[_Resources]],",",REPT(" ",99)),1,99)))</f>
        <v/>
      </c>
      <c r="DL133" s="42">
        <f>IF(Tasks[[#This Row],[_Res1Text]]="","",TRIM(MID(SUBSTITUTE(Tasks[[#This Row],[_Resources]],",",REPT(" ",99)),100,99)))</f>
        <v/>
      </c>
      <c r="DM133" s="42">
        <f>IF(Tasks[[#This Row],[_Res2Text]]="","",TRIM(MID(SUBSTITUTE(Tasks[[#This Row],[_Resources]],",",REPT(" ",99)),199,99)))</f>
        <v/>
      </c>
      <c r="DN133" s="42">
        <f>IF(Tasks[[#This Row],[_Res3Text]]="","",TRIM(MID(SUBSTITUTE(Tasks[[#This Row],[_Resources]],",",REPT(" ",99)),298,99)))</f>
        <v/>
      </c>
      <c r="DO133" s="42">
        <f>IF(Tasks[[#This Row],[_Res1Text]]="",0,IFERROR(MATCH(TRIM(LEFT(Tasks[[#This Row],[_Res1Text]],FIND("[",Tasks[[#This Row],[_Res1Text]]&amp;"[")-1)),res_Name,0),IFERROR(MATCH(TRIM(LEFT(Tasks[[#This Row],[_Res1Text]],FIND("[",Tasks[[#This Row],[_Res1Text]]&amp;"[")-1)),res_Initials,0),0)))</f>
        <v/>
      </c>
      <c r="DP133" s="42">
        <f>IF(Tasks[[#This Row],[_Res2Text]]="",0,IFERROR(MATCH(TRIM(LEFT(Tasks[[#This Row],[_Res2Text]],FIND("[",Tasks[[#This Row],[_Res2Text]]&amp;"[")-1)),res_Name,0),IFERROR(MATCH(TRIM(LEFT(Tasks[[#This Row],[_Res2Text]],FIND("[",Tasks[[#This Row],[_Res2Text]]&amp;"[")-1)),res_Initials,0),0)))</f>
        <v/>
      </c>
      <c r="DQ133" s="42">
        <f>IF(Tasks[[#This Row],[_Res3Text]]="",0,IFERROR(MATCH(TRIM(LEFT(Tasks[[#This Row],[_Res3Text]],FIND("[",Tasks[[#This Row],[_Res3Text]]&amp;"[")-1)),res_Name,0),IFERROR(MATCH(TRIM(LEFT(Tasks[[#This Row],[_Res3Text]],FIND("[",Tasks[[#This Row],[_Res3Text]]&amp;"[")-1)),res_Initials,0),0)))</f>
        <v/>
      </c>
      <c r="DR133" s="42">
        <f>IF(Tasks[[#This Row],[_Res4Text]]="",0,IFERROR(MATCH(TRIM(LEFT(Tasks[[#This Row],[_Res4Text]],FIND("[",Tasks[[#This Row],[_Res4Text]]&amp;"[")-1)),res_Name,0),IFERROR(MATCH(TRIM(LEFT(Tasks[[#This Row],[_Res4Text]],FIND("[",Tasks[[#This Row],[_Res4Text]]&amp;"[")-1)),res_Initials,0),0)))</f>
        <v/>
      </c>
      <c r="DS133" s="42">
        <f>IF(Tasks[[#This Row],[_Res1Text]]="","",IF(Tasks[[#This Row],[_Res1Row]]&gt;0,INDEX(res_Name,Tasks[[#This Row],[_Res1Row]]),TRIM(LEFT(Tasks[[#This Row],[_Res1Text]],FIND("[",Tasks[[#This Row],[_Res1Text]]&amp;"[")-1))))</f>
        <v/>
      </c>
      <c r="DT13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3" s="42">
        <f>IF(NOT(Tasks[[#This Row],[_IsLeaf]]=1),0,(Tasks[[#This Row],[_Resource1]]&lt;&gt;"")+(Tasks[[#This Row],[_Res2]]&lt;&gt;"")+(Tasks[[#This Row],[_Res3]]&lt;&gt;"")+(Tasks[[#This Row],[_Res4]]&lt;&gt;""))</f>
        <v/>
      </c>
      <c r="DV133" s="42">
        <f>IF(Tasks[[#This Row],[_Res2Text]]="","",IF(Tasks[[#This Row],[_Res2Row]]&gt;0,INDEX(res_Name,Tasks[[#This Row],[_Res2Row]]),TRIM(LEFT(Tasks[[#This Row],[_Res2Text]],FIND("[",Tasks[[#This Row],[_Res2Text]]&amp;"[")-1))))</f>
        <v/>
      </c>
      <c r="DW13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3" s="42">
        <f>IF(OR(NOT(Tasks[[#This Row],[_IsLeaf]]=1),Tasks[[#This Row],[_Res2Row]]=0),0,N(Tasks[[#This Row],[_Days]])*HoursPerDay*IF(Tasks[[#This Row],[_Res2Units]]="",DefaultUnits,Tasks[[#This Row],[_Res2Units]]))</f>
        <v/>
      </c>
      <c r="DY133" s="42">
        <f>IF(AND(AND(Tasks[[#This Row],[_IsLeaf]]=1,Tasks[[#This Row],[_LeafTotalWork]]&gt;0),Tasks[[#This Row],[_Res2Work]]&gt;0),Tasks[[#This Row],[_Res2Work]]/(Tasks[[#This Row],[_FinishWorkday]]-Tasks[[#This Row],[_StartWorkday]]+1),0)</f>
        <v/>
      </c>
      <c r="DZ133" s="42">
        <f>Tasks[[#This Row],[_Res2WorkPerWD]]*MAX(0,Tasks[[#This Row],[_StartWorkday]]-1)</f>
        <v/>
      </c>
      <c r="EA133" s="42">
        <f>Tasks[[#This Row],[_Res2Work]]*Tasks[[#This Row],[_LeafProgress]]</f>
        <v/>
      </c>
      <c r="EB133" s="42">
        <f>IF(Tasks[[#This Row],[_Res3Text]]="","",IF(Tasks[[#This Row],[_Res3Row]]&gt;0,INDEX(res_Name,Tasks[[#This Row],[_Res3Row]]),TRIM(LEFT(Tasks[[#This Row],[_Res3Text]],FIND("[",Tasks[[#This Row],[_Res3Text]]&amp;"[")-1))))</f>
        <v/>
      </c>
      <c r="EC13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3" s="42">
        <f>IF(OR(NOT(Tasks[[#This Row],[_IsLeaf]]=1),Tasks[[#This Row],[_Res3Row]]=0),0,N(Tasks[[#This Row],[_Days]])*HoursPerDay*IF(Tasks[[#This Row],[_Res3Units]]="",DefaultUnits,Tasks[[#This Row],[_Res3Units]]))</f>
        <v/>
      </c>
      <c r="EE133" s="42">
        <f>IF(AND(AND(Tasks[[#This Row],[_IsLeaf]]=1,Tasks[[#This Row],[_LeafTotalWork]]&gt;0),Tasks[[#This Row],[_Res3Work]]&gt;0),Tasks[[#This Row],[_Res3Work]]/(Tasks[[#This Row],[_FinishWorkday]]-Tasks[[#This Row],[_StartWorkday]]+1),0)</f>
        <v/>
      </c>
      <c r="EF133" s="42">
        <f>Tasks[[#This Row],[_Res3WorkPerWD]]*MAX(0,Tasks[[#This Row],[_StartWorkday]]-1)</f>
        <v/>
      </c>
      <c r="EG133" s="42">
        <f>Tasks[[#This Row],[_Res3Work]]*Tasks[[#This Row],[_LeafProgress]]</f>
        <v/>
      </c>
      <c r="EH133" s="42">
        <f>IF(Tasks[[#This Row],[_Res4Text]]="","",IF(Tasks[[#This Row],[_Res4Row]]&gt;0,INDEX(res_Name,Tasks[[#This Row],[_Res4Row]]),TRIM(LEFT(Tasks[[#This Row],[_Res4Text]],FIND("[",Tasks[[#This Row],[_Res4Text]]&amp;"[")-1))))</f>
        <v/>
      </c>
      <c r="EI13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3" s="42">
        <f>IF(OR(NOT(Tasks[[#This Row],[_IsLeaf]]=1),Tasks[[#This Row],[_Res4Row]]=0),0,N(Tasks[[#This Row],[_Days]])*HoursPerDay*IF(Tasks[[#This Row],[_Res4Units]]="",DefaultUnits,Tasks[[#This Row],[_Res4Units]]))</f>
        <v/>
      </c>
      <c r="EK133" s="42">
        <f>IF(AND(AND(Tasks[[#This Row],[_IsLeaf]]=1,Tasks[[#This Row],[_LeafTotalWork]]&gt;0),Tasks[[#This Row],[_Res4Work]]&gt;0),Tasks[[#This Row],[_Res4Work]]/(Tasks[[#This Row],[_FinishWorkday]]-Tasks[[#This Row],[_StartWorkday]]+1),0)</f>
        <v/>
      </c>
      <c r="EL133" s="42">
        <f>Tasks[[#This Row],[_Res4WorkPerWD]]*MAX(0,Tasks[[#This Row],[_StartWorkday]]-1)</f>
        <v/>
      </c>
      <c r="EM133" s="42">
        <f>Tasks[[#This Row],[_Res4Work]]*Tasks[[#This Row],[_LeafProgress]]</f>
        <v/>
      </c>
      <c r="EN133" s="42">
        <f>IF(ISNUMBER(Tasks[[#This Row],[% Complete]]),Tasks[[#This Row],[% Complete]],IF(Tasks[[#This Row],[Stage]]="",0,IFERROR(INDEX(stg_Pct,MATCH(Tasks[[#This Row],[Stage]],stg_Name,0)),0)))</f>
        <v/>
      </c>
      <c r="EO133" s="42">
        <f>IF(NOT(Tasks[[#This Row],[_IsLeaf]]=1),0,IF(N(Tasks[[#This Row],[Actual Finish]])&gt;0,1,MIN(1,Tasks[[#This Row],[_Pct]])))</f>
        <v/>
      </c>
      <c r="EP133" s="42">
        <f>IF(OR(NOT(Tasks[[#This Row],[_IsLeaf]]=1),Tasks[[#This Row],[_Res1Row]]=0),0,N(Tasks[[#This Row],[_Days]])*HoursPerDay*IF(Tasks[[#This Row],[_Units1]]="",DefaultUnits,Tasks[[#This Row],[_Units1]]))</f>
        <v/>
      </c>
      <c r="EQ133" s="42">
        <f>Tasks[[#This Row],[_LeafWork]]+Tasks[[#This Row],[_Res2Work]]+Tasks[[#This Row],[_Res3Work]]+Tasks[[#This Row],[_Res4Work]]</f>
        <v/>
      </c>
      <c r="ER13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3" s="42">
        <f>IF(NOT(Tasks[[#This Row],[_IsLeaf]]=1),0,MAX(_xlfn.MAXIFS(Tasks[_Row],Tasks[_Pred1UID],Tasks[[#This Row],[UID]]),_xlfn.MAXIFS(Tasks[_Row],Tasks[_Pred2UID],Tasks[[#This Row],[UID]]),_xlfn.MAXIFS(Tasks[_Row],Tasks[_Pred3UID],Tasks[[#This Row],[UID]]),_xlfn.MAXIFS(Tasks[_Row],Tasks[_Pred4UID],Tasks[[#This Row],[UID]])))</f>
        <v/>
      </c>
      <c r="FA13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3" s="88">
        <f>IF(NOT(Tasks[[#This Row],[_IsLeaf]]=1),"",IF(N(Tasks[[#This Row],[_Days]])&lt;=0,Tasks[[#This Row],[_LeafLateFinish]],WORKDAY.INTL(Tasks[[#This Row],[_LeafLateFinish]],-(Tasks[[#This Row],[_Days]]-1),WorkWeek,Holidays)))</f>
        <v/>
      </c>
      <c r="FD13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3" s="42">
        <f>AND(Tasks[[#This Row],[_IsLeaf]]=1,Tasks[[#This Row],[_LeafProgress]]&lt;1,N(Tasks[[#This Row],[_LeafTotalSlack]])&lt;=CriticalSlackDays)</f>
        <v/>
      </c>
      <c r="FF133" s="42">
        <f>IF(AND(Tasks[[#This Row],[_IsLeaf]]=1,Tasks[[#This Row],[_ConstraintCode]]=1,Tasks[[#This Row],[Mode]]&lt;&gt;"Manual",N(Tasks[[#This Row],[Actual Start]])=0),MAX(0,N(Tasks[[#This Row],[Free Slack]])),0)</f>
        <v/>
      </c>
      <c r="FG133" s="88">
        <f>IF(NOT(Tasks[[#This Row],[_IsLeaf]]=1),"",IF(Tasks[[#This Row],[_AlapShift]]=0,Tasks[[#This Row],[_LeafCalcStart]],WORKDAY.INTL(Tasks[[#This Row],[_LeafCalcStart]],Tasks[[#This Row],[_AlapShift]],WorkWeek,Holidays)))</f>
        <v/>
      </c>
      <c r="FH133" s="88">
        <f>IF(NOT(Tasks[[#This Row],[_IsLeaf]]=1),"",IF(Tasks[[#This Row],[_AlapShift]]=0,Tasks[[#This Row],[_LeafCalcFinish]],WORKDAY.INTL(Tasks[[#This Row],[_LeafCalcFinish]],Tasks[[#This Row],[_AlapShift]],WorkWeek,Holidays)))</f>
        <v/>
      </c>
      <c r="FI133" s="88">
        <f>IF(NOT(Tasks[[#This Row],[_IsLeaf]]=1),"",IF(Tasks[[#This Row],[_AlapShift]]=0,Tasks[[#This Row],[_LeafFcstStart]],WORKDAY.INTL(Tasks[[#This Row],[_LeafFcstStart]],Tasks[[#This Row],[_AlapShift]],WorkWeek,Holidays)))</f>
        <v/>
      </c>
      <c r="FJ133" s="88">
        <f>IF(NOT(Tasks[[#This Row],[_IsLeaf]]=1),"",IF(Tasks[[#This Row],[_AlapShift]]=0,Tasks[[#This Row],[_LeafFcstFinish]],WORKDAY.INTL(Tasks[[#This Row],[_LeafFcstFinish]],Tasks[[#This Row],[_AlapShift]],WorkWeek,Holidays)))</f>
        <v/>
      </c>
      <c r="FK133" s="88">
        <f>IF(Tasks[[#This Row],[Task Name]]="","",IF(Tasks[[#This Row],[_IsSummary]],MIN(INDEX(Tasks[_ShownCalcStart],Tasks[[#This Row],[_Row]]+1):INDEX(Tasks[_ShownCalcStart],Tasks[[#This Row],[_Row]]+Tasks[[#This Row],[_Descendants]])),Tasks[[#This Row],[_ShownCalcStart]]))</f>
        <v/>
      </c>
      <c r="FL133" s="88">
        <f>IF(Tasks[[#This Row],[Task Name]]="","",IF(Tasks[[#This Row],[_IsSummary]],MAX(INDEX(Tasks[_ShownCalcFinish],Tasks[[#This Row],[_Row]]+1):INDEX(Tasks[_ShownCalcFinish],Tasks[[#This Row],[_Row]]+Tasks[[#This Row],[_Descendants]])),Tasks[[#This Row],[_ShownCalcFinish]]))</f>
        <v/>
      </c>
      <c r="FM13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3" s="42">
        <f>IF(AND(Tasks[[#This Row],[_IsLeaf]]=1,Tasks[[#This Row],[_LeafTotalWork]]&gt;0),NETWORKDAYS.INTL(ProjectStart,Tasks[[#This Row],[_ShownFcstStart]],WorkWeek,Holidays),0)</f>
        <v/>
      </c>
      <c r="FZ133" s="42">
        <f>IF(AND(Tasks[[#This Row],[_IsLeaf]]=1,Tasks[[#This Row],[_LeafTotalWork]]&gt;0),MAX(Tasks[[#This Row],[_StartWorkday]],NETWORKDAYS.INTL(ProjectStart,Tasks[[#This Row],[_ShownFcstFinish]],WorkWeek,Holidays)),0)</f>
        <v/>
      </c>
      <c r="GA133" s="42">
        <f>IF(AND(Tasks[[#This Row],[_IsLeaf]]=1,Tasks[[#This Row],[_LeafTotalWork]]&gt;0),Tasks[[#This Row],[_LeafWork]]/(Tasks[[#This Row],[_FinishWorkday]]-Tasks[[#This Row],[_StartWorkday]]+1),0)</f>
        <v/>
      </c>
      <c r="GB133" s="42">
        <f>Tasks[[#This Row],[_WorkPerWorkday]]*(Tasks[[#This Row],[_StartWorkday]]-1)</f>
        <v/>
      </c>
      <c r="GC133" s="42">
        <f>IF(Tasks[[#This Row],[_IsLeaf]]=1,MAX(N(Tasks[[#This Row],[_Days]]),0.1),0)</f>
        <v/>
      </c>
      <c r="GD133" s="42">
        <f>Tasks[[#This Row],[_WeightDur]]*Tasks[[#This Row],[_LeafProgress]]</f>
        <v/>
      </c>
      <c r="GE133" s="42">
        <f>Tasks[[#This Row],[_WeightDur]]*Tasks[[#This Row],[_PlannedPct]]</f>
        <v/>
      </c>
      <c r="GF13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3" s="42">
        <f>IF(AND(Tasks[[#This Row],[_IsLeaf]]=1,N(Tasks[[#This Row],[_Days]])=0,Tasks[[#This Row],[_LeafProgress]]&lt;1),Tasks[[#This Row],[_ShownFcstFinish]]+Tasks[[#This Row],[_Row]]/100000,"")</f>
        <v/>
      </c>
      <c r="GH13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3" s="42">
        <f>IF(Tasks[[#This Row],[Task Name]]="","",LEFT(Tasks[[#This Row],[WBS]],FIND(".",Tasks[[#This Row],[WBS]]&amp;".")-1))</f>
        <v/>
      </c>
      <c r="GJ133" s="42">
        <f>IF(AND(Tasks[[#This Row],[Task Name]]&lt;&gt;"",Tasks[[#This Row],[_Level]]=1),Tasks[[#This Row],[_Row]],"")</f>
        <v/>
      </c>
      <c r="GK133" s="42">
        <f>IF(AND(Tasks[[#This Row],[_IsLeaf]]=1,N(Tasks[[#This Row],[_Days]])=0),Tasks[[#This Row],[Planned Finish]]+Tasks[[#This Row],[_Row]]/100000,"")</f>
        <v/>
      </c>
      <c r="GL133" s="42">
        <f>IF(AND(Tasks[[#This Row],[_IsLeaf]]=1,Tasks[[#This Row],[_LeafProgress]]&lt;1,OR(N(Tasks[[#This Row],[Finish Var]])&gt;0,Tasks[[#This Row],[Status]]="Late Start")),MAX(0,Tasks[[#This Row],[Finish Var]])+1-Tasks[[#This Row],[_Row]]/1000000,"")</f>
        <v/>
      </c>
      <c r="GM133" s="42">
        <f>IF(AND(Tasks[[#This Row],[_IsLeaf]]=1,N(Tasks[[#This Row],[Actual Start]])=0,Tasks[[#This Row],[_ShownFcstStart]]&gt;=StatusDate,Tasks[[#This Row],[_ShownFcstStart]]&lt;=LookaheadEnd),Tasks[[#This Row],[_ShownFcstStart]]+Tasks[[#This Row],[_Row]]/100000,"")</f>
        <v/>
      </c>
      <c r="GN133" s="42">
        <f>IF(AND(Tasks[[#This Row],[_IsLeaf]]=1,Tasks[[#This Row],[_LeafProgress]]&lt;1,Tasks[[#This Row],[_ShownFcstFinish]]&gt;=StatusDate,Tasks[[#This Row],[_ShownFcstFinish]]&lt;=LookaheadEnd),Tasks[[#This Row],[_ShownFcstFinish]]+Tasks[[#This Row],[_Row]]/100000,"")</f>
        <v/>
      </c>
      <c r="GO133" s="42">
        <f>IF(Tasks[[#This Row],[_LeafCritical]],Tasks[[#This Row],[_ShownFcstStart]]+Tasks[[#This Row],[_Row]]/100000,"")</f>
        <v/>
      </c>
      <c r="GP133" s="42">
        <f>Tasks[[#This Row],[_LeafWork]]*Tasks[[#This Row],[_LeafProgress]]</f>
        <v/>
      </c>
      <c r="GQ133" s="88">
        <f>IF(AND(Tasks[[#This Row],[_IsLeaf]]=1,Tasks[[#This Row],[_LeafProgress]]&gt;=1),IF(N(Tasks[[#This Row],[Actual Finish]])&gt;0,Tasks[[#This Row],[Actual Finish]],Tasks[[#This Row],[_ShownFcstFinish]]),"")</f>
        <v/>
      </c>
      <c r="GR133" s="42">
        <f>IF(Tasks[[#This Row],[_IsLeaf]]=1,N(Tasks[[#This Row],[Story Points]]),0)</f>
        <v/>
      </c>
      <c r="GS133" s="42">
        <f>""</f>
        <v/>
      </c>
      <c r="GT133" s="42">
        <f>IF(Tasks[[#This Row],[Task Name]]="",FALSE(),AND(Tasks[[#This Row],[_IsLeaf]]=1,N(Tasks[[#This Row],[_Days]])=0))</f>
        <v/>
      </c>
      <c r="GU133" s="88">
        <f>IF(Tasks[[#This Row],[Task Name]]="",0,IF(AND(Tasks[[#This Row],[_IsLeaf]]=1,NOT(Tasks[[#This Row],[_IsMilestone]]),N(Tasks[[#This Row],[Progress]])&gt;0),Tasks[[#This Row],[Start]],0))</f>
        <v/>
      </c>
      <c r="GV133" s="88">
        <f>IF(Tasks[[#This Row],[_DoneFrom]]=0,0,IF(Tasks[[#This Row],[Progress]]&gt;=1,Tasks[[#This Row],[Finish]],MAX(Tasks[[#This Row],[_DoneFrom]],Tasks[[#This Row],[Start]]+ROUND((Tasks[[#This Row],[Finish]]-Tasks[[#This Row],[Start]]+1)*Tasks[[#This Row],[Progress]],0)-1)))</f>
        <v/>
      </c>
      <c r="GW133" s="88">
        <f>IF(Tasks[[#This Row],[Task Name]]="",0,IF(OR(NOT(Tasks[[#This Row],[_IsLeaf]]=1),Tasks[[#This Row],[_IsMilestone]],N(Tasks[[#This Row],[Progress]])&gt;=1),0,IF(Tasks[[#This Row],[_DoneTo]]&gt;0,Tasks[[#This Row],[_DoneTo]]+1,Tasks[[#This Row],[Start]])))</f>
        <v/>
      </c>
      <c r="GX133" s="88">
        <f>IF(Tasks[[#This Row],[_RemFrom]]=0,0,Tasks[[#This Row],[Finish]])</f>
        <v/>
      </c>
      <c r="GY133" s="42">
        <f>IF(Tasks[[#This Row],[Task Name]]="",FALSE(),OR(NOT(BaselineSet),N(Tasks[[#This Row],[Baseline Start]])&gt;0))</f>
        <v/>
      </c>
      <c r="GZ133" s="42">
        <f>IF(AND(Sandbox="Yes",L_PARSE_DURATION(Tasks[[#This Row],[Sandbox Duration]])&lt;&gt;""),L_PARSE_DURATION(Tasks[[#This Row],[Sandbox Duration]]),L_PARSE_DURATION(Tasks[[#This Row],[Duration]]))</f>
        <v/>
      </c>
      <c r="HA13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3" s="42">
        <f>IF(Tasks[[#This Row],[_IsLeaf]]=1,Tasks[[#This Row],[_Row]],"")</f>
        <v/>
      </c>
      <c r="HD133" s="42">
        <f>IFERROR(INDEX(Tasks[UID],SMALL(Tasks[_PickKey],Tasks[[#This Row],[_Row]]))&amp;" "&amp;INDEX(Tasks[Task Name],SMALL(Tasks[_PickKey],Tasks[[#This Row],[_Row]])),"")</f>
        <v/>
      </c>
      <c r="HE133" s="42">
        <f>IF(Tasks[[#This Row],[Task Name]]="","",IF(Tasks[[#This Row],[_IsSummary]],NETWORKDAYS.INTL(Tasks[[#This Row],[Start]],Tasks[[#This Row],[Finish]],WorkWeek,Holidays),N(Tasks[[#This Row],[_Days]])))</f>
        <v/>
      </c>
      <c r="HF133" s="42">
        <f>IF(Tasks[[#This Row],[Expected]]="",0,((Tasks[[#This Row],[Pessimistic]]-Tasks[[#This Row],[Optimistic]])/6)^2)</f>
        <v/>
      </c>
      <c r="HG133" s="42">
        <f>IF(Tasks[[#This Row],[Expected]]="",0,Tasks[[#This Row],[Expected]]-N(Tasks[[#This Row],[_Days]]))</f>
        <v/>
      </c>
    </row>
    <row r="134">
      <c r="A134" s="21">
        <f>IF(Tasks[[#This Row],[Task Name]]="","",COUNTA(Tasks[[#Headers],[Task Name]]:Tasks[[#This Row],[Task Name]])-1)</f>
        <v/>
      </c>
      <c r="B134" s="22" t="n">
        <v>142</v>
      </c>
      <c r="C134" s="22" t="n"/>
      <c r="D134" s="23" t="n"/>
      <c r="E134" s="22" t="n"/>
      <c r="F134" s="23" t="n"/>
      <c r="G134" s="22" t="n"/>
      <c r="H134" s="22" t="n"/>
      <c r="I134" s="23" t="n"/>
      <c r="J134" s="22" t="n"/>
      <c r="K134" s="22" t="n"/>
      <c r="L134" s="23" t="n"/>
      <c r="M134" s="22" t="n"/>
      <c r="N134" s="22" t="n"/>
      <c r="O134" s="23" t="n"/>
      <c r="P134" s="22" t="n"/>
      <c r="Q134" s="22" t="n"/>
      <c r="R134" s="23" t="n"/>
      <c r="S134" s="23" t="n"/>
      <c r="T134" s="82" t="n"/>
      <c r="U134" s="23" t="n"/>
      <c r="V134" s="82" t="n"/>
      <c r="W134" s="23" t="n"/>
      <c r="X134" s="82" t="n"/>
      <c r="Y134" s="23" t="n"/>
      <c r="Z134" s="82" t="n"/>
      <c r="AA134" s="23" t="n"/>
      <c r="AB134" s="23" t="n"/>
      <c r="AC134" s="7" t="n"/>
      <c r="AD134" s="7" t="n"/>
      <c r="AE134" s="61">
        <f>IF(Tasks[[#This Row],[Task Name]]="","",IF(Tasks[[#This Row],[_IsSummary]],MIN(INDEX(Tasks[_ShownFcstStart],Tasks[[#This Row],[_Row]]+1):INDEX(Tasks[_ShownFcstStart],Tasks[[#This Row],[_Row]]+Tasks[[#This Row],[_Descendants]])),Tasks[[#This Row],[_ShownFcstStart]]))</f>
        <v/>
      </c>
      <c r="AF134" s="61">
        <f>IF(Tasks[[#This Row],[Task Name]]="","",IF(Tasks[[#This Row],[_IsSummary]],MAX(INDEX(Tasks[_ShownFcstFinish],Tasks[[#This Row],[_Row]]+1):INDEX(Tasks[_ShownFcstFinish],Tasks[[#This Row],[_Row]]+Tasks[[#This Row],[_Descendants]])),Tasks[[#This Row],[_ShownFcstFinish]]))</f>
        <v/>
      </c>
      <c r="AG134" s="21">
        <f>""</f>
        <v/>
      </c>
      <c r="AH134" s="23" t="n"/>
      <c r="AI13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4" s="7" t="n"/>
      <c r="AK134" s="22" t="n"/>
      <c r="AL134" s="23" t="n"/>
      <c r="AM134" s="7" t="n"/>
      <c r="AN134" s="21">
        <f>IF(Tasks[[#This Row],[Task Name]]="","",IF(Tasks[[#This Row],[Finish]]&gt;=Tasks[[#This Row],[Planned Finish]],NETWORKDAYS.INTL(Tasks[[#This Row],[Planned Finish]],Tasks[[#This Row],[Finish]],WorkWeek,Holidays)-1,1-NETWORKDAYS.INTL(Tasks[[#This Row],[Finish]],Tasks[[#This Row],[Planned Finish]],WorkWeek,Holidays)))</f>
        <v/>
      </c>
      <c r="AO134" s="21">
        <f>IF(Tasks[[#This Row],[Task Name]]="","",IF(Tasks[[#This Row],[Progress]]&gt;=1,"Complete",IF(OR(N(Tasks[[#This Row],[Actual Start]])&gt;0,Tasks[[#This Row],[Progress]]&gt;0),IF(Tasks[[#This Row],[Finish Var]]&gt;0,"Behind","In Progress"),IF(Tasks[[#This Row],[Planned Start]]&lt;StatusDate,"Late Start","Not Started"))))</f>
        <v/>
      </c>
      <c r="AP134" s="21">
        <f>IF(Tasks[[#This Row],[Task Name]]="","",IF(IF(Tasks[[#This Row],[_IsSummary]],COUNTIF(INDEX(Tasks[_LeafCritical],Tasks[[#This Row],[_Row]]+1):INDEX(Tasks[_LeafCritical],Tasks[[#This Row],[_Row]]+Tasks[[#This Row],[_Descendants]]),TRUE())&gt;0,Tasks[[#This Row],[_LeafCritical]]),"Yes",""))</f>
        <v/>
      </c>
      <c r="AQ134" s="61">
        <f>IF(Tasks[[#This Row],[Task Name]]="","",IF(N(Tasks[[#This Row],[Baseline Start]])&gt;0,Tasks[[#This Row],[Baseline Start]],Tasks[[#This Row],[_CalcStart]]))</f>
        <v/>
      </c>
      <c r="AR134" s="61">
        <f>IF(Tasks[[#This Row],[Task Name]]="","",IF(N(Tasks[[#This Row],[Baseline Finish]])&gt;0,Tasks[[#This Row],[Baseline Finish]],Tasks[[#This Row],[_CalcFinish]]))</f>
        <v/>
      </c>
      <c r="AS134" s="21">
        <f>IF(Tasks[[#This Row],[Task Name]]="","",IF(Tasks[[#This Row],[Start]]&gt;=Tasks[[#This Row],[Planned Start]],NETWORKDAYS.INTL(Tasks[[#This Row],[Planned Start]],Tasks[[#This Row],[Start]],WorkWeek,Holidays)-1,1-NETWORKDAYS.INTL(Tasks[[#This Row],[Start]],Tasks[[#This Row],[Planned Start]],WorkWeek,Holidays)))</f>
        <v/>
      </c>
      <c r="AT134" s="61">
        <f>IF(Tasks[[#This Row],[Task Name]]="","",IF(Tasks[[#This Row],[_IsSummary]],MIN(INDEX(Tasks[_LeafLateStart],Tasks[[#This Row],[_Row]]+1):INDEX(Tasks[_LeafLateStart],Tasks[[#This Row],[_Row]]+Tasks[[#This Row],[_Descendants]])),Tasks[[#This Row],[_LeafLateStart]]))</f>
        <v/>
      </c>
      <c r="AU134" s="61">
        <f>IF(Tasks[[#This Row],[Task Name]]="","",IF(Tasks[[#This Row],[_IsSummary]],MAX(INDEX(Tasks[_LeafLateFinish],Tasks[[#This Row],[_Row]]+1):INDEX(Tasks[_LeafLateFinish],Tasks[[#This Row],[_Row]]+Tasks[[#This Row],[_Descendants]])),Tasks[[#This Row],[_LeafLateFinish]]))</f>
        <v/>
      </c>
      <c r="AV134" s="21">
        <f>IF(Tasks[[#This Row],[Task Name]]="","",IF(Tasks[[#This Row],[_IsSummary]],MIN(INDEX(Tasks[_LeafTotalSlack],Tasks[[#This Row],[_Row]]+1):INDEX(Tasks[_LeafTotalSlack],Tasks[[#This Row],[_Row]]+Tasks[[#This Row],[_Descendants]])),Tasks[[#This Row],[_LeafTotalSlack]]))</f>
        <v/>
      </c>
      <c r="AW13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3" t="n"/>
      <c r="BA13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f>IF(Tasks[[#This Row],[Task Name]]="","",IF(Tasks[[#This Row],[_Level]]&lt;=OutlineShowLevel,"Yes","No"))</f>
        <v/>
      </c>
      <c r="BE134" s="84">
        <f>IF(Tasks[[#This Row],[Task Name]]="","",IF(Tasks[[#This Row],[_IsSummary]],SUM(INDEX(Tasks[_LeafTotalWork],Tasks[[#This Row],[_Row]]+1):INDEX(Tasks[_LeafTotalWork],Tasks[[#This Row],[_Row]]+Tasks[[#This Row],[_Descendants]])),Tasks[[#This Row],[_LeafTotalWork]]))</f>
        <v/>
      </c>
      <c r="BF134" s="23" t="n"/>
      <c r="BG13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f>""</f>
        <v/>
      </c>
      <c r="BI134" s="85" t="n"/>
      <c r="BJ134" s="22" t="n"/>
      <c r="BK134" s="21">
        <f>IF(OR(Tasks[[#This Row],[Task Name]]="",Tasks[[#This Row],[Baseline Duration]]=""),"",Tasks[[#This Row],[_SpanDays]]-N(Tasks[[#This Row],[Baseline Duration]]))</f>
        <v/>
      </c>
      <c r="BL134" s="84">
        <f>IF(OR(Tasks[[#This Row],[Task Name]]="",Tasks[[#This Row],[Baseline Work]]=""),"",Tasks[[#This Row],[Work]]-N(Tasks[[#This Row],[Baseline Work]]))</f>
        <v/>
      </c>
      <c r="BM134" s="61">
        <f>IF(Tasks[[#This Row],[Task Name]]="","",IF(OR(TakeBaseline="Yes",N(Tasks[[#This Row],[Baseline Start]])=0),Tasks[[#This Row],[Start]],Tasks[[#This Row],[Baseline Start]]))</f>
        <v/>
      </c>
      <c r="BN134" s="61">
        <f>IF(Tasks[[#This Row],[Task Name]]="","",IF(OR(TakeBaseline="Yes",N(Tasks[[#This Row],[Baseline Finish]])=0),Tasks[[#This Row],[Finish]],Tasks[[#This Row],[Baseline Finish]]))</f>
        <v/>
      </c>
      <c r="BO134" s="21">
        <f>IF(Tasks[[#This Row],[Task Name]]="","",IF(OR(TakeBaseline="Yes",N(Tasks[[#This Row],[Baseline Duration]])=0),Tasks[[#This Row],[_SpanDays]],Tasks[[#This Row],[Baseline Duration]]))</f>
        <v/>
      </c>
      <c r="BP134" s="84">
        <f>IF(Tasks[[#This Row],[Task Name]]="","",IF(OR(TakeBaseline="Yes",N(Tasks[[#This Row],[Baseline Work]])=0),Tasks[[#This Row],[Work]],Tasks[[#This Row],[Baseline Work]]))</f>
        <v/>
      </c>
      <c r="BQ134" s="7" t="n"/>
      <c r="BR134" s="7" t="n"/>
      <c r="BS134" s="22" t="n"/>
      <c r="BT134" s="86" t="n"/>
      <c r="BU134" s="23" t="n"/>
      <c r="BV134" s="23" t="n"/>
      <c r="BW134" s="23" t="n"/>
      <c r="BX134" s="87">
        <f>IF(AND(Tasks[[#This Row],[_IsLeaf]]=1,ISNUMBER(Tasks[[#This Row],[Optimistic]]),ISNUMBER(Tasks[[#This Row],[Pessimistic]])),ROUND((Tasks[[#This Row],[Optimistic]]+4*N(Tasks[[#This Row],[_Days]])+Tasks[[#This Row],[Pessimistic]])/6,1),"")</f>
        <v/>
      </c>
      <c r="BY134" s="85" t="n"/>
      <c r="BZ134" s="85" t="n"/>
      <c r="CA134" s="22" t="n"/>
      <c r="CB134" s="42">
        <f>IF(Tasks[[#This Row],[Task Name]]="","",MAX(1,N(Tasks[[#This Row],[Level]])))</f>
        <v/>
      </c>
      <c r="CC134" s="42">
        <f>ROW()-ROW(Tasks[[#Headers],[ID]])</f>
        <v/>
      </c>
      <c r="CD134" s="42">
        <f>IF(OR(Tasks[[#This Row],[Task Name]]="",Tasks[[#This Row],[_Level]]&lt;=1),0,IFERROR(LOOKUP(2,1/(Tasks[[#Headers],[_Level]]:Tasks[[#This Row],[_Level]]=Tasks[[#This Row],[_Level]]-1),ROW(Tasks[[#Headers],[_Level]]:Tasks[[#This Row],[_Level]])),0))</f>
        <v/>
      </c>
      <c r="CE134" s="42">
        <f>IFERROR(N(INDEX(Tasks[_Level],Tasks[[#This Row],[_Row]]+1)),0)</f>
        <v/>
      </c>
      <c r="CF134" s="42">
        <f>AND(Tasks[[#This Row],[Task Name]]&lt;&gt;"",Tasks[[#This Row],[_NextLevel]]&gt;Tasks[[#This Row],[_Level]])</f>
        <v/>
      </c>
      <c r="CG134" s="42">
        <f>IF(Tasks[[#This Row],[_IsSummary]],COUNTIF(Tasks[WBS],Tasks[[#This Row],[WBS]]&amp;".*"),0)</f>
        <v/>
      </c>
      <c r="CH134" s="42">
        <f>IF(AND(Tasks[[#This Row],[Task Name]]&lt;&gt;"",NOT(Tasks[[#This Row],[_IsSummary]])),1,0)</f>
        <v/>
      </c>
      <c r="CI134" s="42">
        <f>IF(N(Tasks[[#This Row],[_Pred1UID]])=0,0,IFERROR(MATCH(Tasks[[#This Row],[_Pred1UID]],Tasks[UID],0),-1))</f>
        <v/>
      </c>
      <c r="CJ134" s="42">
        <f>IF(N(Tasks[[#This Row],[_Pred2UID]])=0,0,IFERROR(MATCH(Tasks[[#This Row],[_Pred2UID]],Tasks[UID],0),-1))</f>
        <v/>
      </c>
      <c r="CK134" s="42">
        <f>IF(N(Tasks[[#This Row],[_Pred3UID]])=0,0,IFERROR(MATCH(Tasks[[#This Row],[_Pred3UID]],Tasks[UID],0),-1))</f>
        <v/>
      </c>
      <c r="CL134" s="42">
        <f>IF(N(Tasks[[#This Row],[_Pred4UID]])=0,0,IFERROR(MATCH(Tasks[[#This Row],[_Pred4UID]],Tasks[UID],0),-1))</f>
        <v/>
      </c>
      <c r="CM13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4" s="88">
        <f>IF(N(Tasks[[#This Row],[Constraint Date]])=0,0,IF(AND(OR(Tasks[[#This Row],[_ConstraintCode]]=3,Tasks[[#This Row],[_ConstraintCode]]=6,Tasks[[#This Row],[_ConstraintCode]]=7),N(Tasks[[#This Row],[_Days]])&gt;1),WORKDAY.INTL(N(Tasks[[#This Row],[Constraint Date]]),-(N(Tasks[[#This Row],[_Days]])-1),WorkWeek,Holidays),N(Tasks[[#This Row],[Constraint Date]])))</f>
        <v/>
      </c>
      <c r="CO134" s="88">
        <f>IF(OR(Tasks[[#This Row],[_ConstraintCode]]=2,Tasks[[#This Row],[_ConstraintCode]]=3,Tasks[[#This Row],[_ConstraintCode]]=4,Tasks[[#This Row],[_ConstraintCode]]=6),Tasks[[#This Row],[_ConstraintStart]],0)</f>
        <v/>
      </c>
      <c r="CP134" s="88">
        <f>IF(OR(Tasks[[#This Row],[_ConstraintCode]]=2,Tasks[[#This Row],[_ConstraintCode]]=3,Tasks[[#This Row],[_ConstraintCode]]=5,Tasks[[#This Row],[_ConstraintCode]]=7),Tasks[[#This Row],[_ConstraintStart]],2958465)</f>
        <v/>
      </c>
      <c r="CQ13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4" s="88">
        <f>IF(NOT(Tasks[[#This Row],[_IsLeaf]]=1),"",IF(N(Tasks[[#This Row],[_Days]])&lt;=0,Tasks[[#This Row],[_LeafCalcStart]],WORKDAY.INTL(Tasks[[#This Row],[_LeafCalcStart]],Tasks[[#This Row],[_Days]]-1,WorkWeek,Holidays)))</f>
        <v/>
      </c>
      <c r="CS13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4" s="42">
        <f>IF(Tasks[[#This Row],[_Predecessors]]="","",TRIM(MID(SUBSTITUTE(SUBSTITUTE(SUBSTITUTE(UPPER(Tasks[[#This Row],[_Predecessors]]),";",",")," ",""),",",REPT(" ",99)),1,99)))</f>
        <v/>
      </c>
      <c r="CV134" s="42">
        <f>IF(Tasks[[#This Row],[_Pred1Text]]="","",IFERROR(VALUE(LEFT(Tasks[[#This Row],[_Pred1Text]],MIN(FIND("F",Tasks[[#This Row],[_Pred1Text]]&amp;"F"),FIND("S",Tasks[[#This Row],[_Pred1Text]]&amp;"S"),FIND("+",Tasks[[#This Row],[_Pred1Text]]&amp;"+"),FIND("-",Tasks[[#This Row],[_Pred1Text]]&amp;"-"))-1)),""))</f>
        <v/>
      </c>
      <c r="CW13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4" s="42">
        <f>IF(Tasks[[#This Row],[_Pred1Text]]="","",TRIM(MID(SUBSTITUTE(SUBSTITUTE(SUBSTITUTE(UPPER(Tasks[[#This Row],[_Predecessors]]),";",",")," ",""),",",REPT(" ",99)),100,99)))</f>
        <v/>
      </c>
      <c r="CZ134" s="42">
        <f>IF(Tasks[[#This Row],[_Pred2Text]]="","",IFERROR(VALUE(LEFT(Tasks[[#This Row],[_Pred2Text]],MIN(FIND("F",Tasks[[#This Row],[_Pred2Text]]&amp;"F"),FIND("S",Tasks[[#This Row],[_Pred2Text]]&amp;"S"),FIND("+",Tasks[[#This Row],[_Pred2Text]]&amp;"+"),FIND("-",Tasks[[#This Row],[_Pred2Text]]&amp;"-"))-1)),""))</f>
        <v/>
      </c>
      <c r="DA13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4" s="42">
        <f>IF(Tasks[[#This Row],[_Pred2Text]]="","",TRIM(MID(SUBSTITUTE(SUBSTITUTE(SUBSTITUTE(UPPER(Tasks[[#This Row],[_Predecessors]]),";",",")," ",""),",",REPT(" ",99)),199,99)))</f>
        <v/>
      </c>
      <c r="DD134" s="42">
        <f>IF(Tasks[[#This Row],[_Pred3Text]]="","",IFERROR(VALUE(LEFT(Tasks[[#This Row],[_Pred3Text]],MIN(FIND("F",Tasks[[#This Row],[_Pred3Text]]&amp;"F"),FIND("S",Tasks[[#This Row],[_Pred3Text]]&amp;"S"),FIND("+",Tasks[[#This Row],[_Pred3Text]]&amp;"+"),FIND("-",Tasks[[#This Row],[_Pred3Text]]&amp;"-"))-1)),""))</f>
        <v/>
      </c>
      <c r="DE13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4" s="42">
        <f>IF(Tasks[[#This Row],[_Pred3Text]]="","",TRIM(MID(SUBSTITUTE(SUBSTITUTE(SUBSTITUTE(UPPER(Tasks[[#This Row],[_Predecessors]]),";",",")," ",""),",",REPT(" ",99)),298,99)))</f>
        <v/>
      </c>
      <c r="DH134" s="42">
        <f>IF(Tasks[[#This Row],[_Pred4Text]]="","",IFERROR(VALUE(LEFT(Tasks[[#This Row],[_Pred4Text]],MIN(FIND("F",Tasks[[#This Row],[_Pred4Text]]&amp;"F"),FIND("S",Tasks[[#This Row],[_Pred4Text]]&amp;"S"),FIND("+",Tasks[[#This Row],[_Pred4Text]]&amp;"+"),FIND("-",Tasks[[#This Row],[_Pred4Text]]&amp;"-"))-1)),""))</f>
        <v/>
      </c>
      <c r="DI13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4" s="42">
        <f>IF(OR(Tasks[[#This Row],[Task Name]]="",Tasks[[#This Row],[_Resources]]=""),"",TRIM(MID(SUBSTITUTE(Tasks[[#This Row],[_Resources]],",",REPT(" ",99)),1,99)))</f>
        <v/>
      </c>
      <c r="DL134" s="42">
        <f>IF(Tasks[[#This Row],[_Res1Text]]="","",TRIM(MID(SUBSTITUTE(Tasks[[#This Row],[_Resources]],",",REPT(" ",99)),100,99)))</f>
        <v/>
      </c>
      <c r="DM134" s="42">
        <f>IF(Tasks[[#This Row],[_Res2Text]]="","",TRIM(MID(SUBSTITUTE(Tasks[[#This Row],[_Resources]],",",REPT(" ",99)),199,99)))</f>
        <v/>
      </c>
      <c r="DN134" s="42">
        <f>IF(Tasks[[#This Row],[_Res3Text]]="","",TRIM(MID(SUBSTITUTE(Tasks[[#This Row],[_Resources]],",",REPT(" ",99)),298,99)))</f>
        <v/>
      </c>
      <c r="DO134" s="42">
        <f>IF(Tasks[[#This Row],[_Res1Text]]="",0,IFERROR(MATCH(TRIM(LEFT(Tasks[[#This Row],[_Res1Text]],FIND("[",Tasks[[#This Row],[_Res1Text]]&amp;"[")-1)),res_Name,0),IFERROR(MATCH(TRIM(LEFT(Tasks[[#This Row],[_Res1Text]],FIND("[",Tasks[[#This Row],[_Res1Text]]&amp;"[")-1)),res_Initials,0),0)))</f>
        <v/>
      </c>
      <c r="DP134" s="42">
        <f>IF(Tasks[[#This Row],[_Res2Text]]="",0,IFERROR(MATCH(TRIM(LEFT(Tasks[[#This Row],[_Res2Text]],FIND("[",Tasks[[#This Row],[_Res2Text]]&amp;"[")-1)),res_Name,0),IFERROR(MATCH(TRIM(LEFT(Tasks[[#This Row],[_Res2Text]],FIND("[",Tasks[[#This Row],[_Res2Text]]&amp;"[")-1)),res_Initials,0),0)))</f>
        <v/>
      </c>
      <c r="DQ134" s="42">
        <f>IF(Tasks[[#This Row],[_Res3Text]]="",0,IFERROR(MATCH(TRIM(LEFT(Tasks[[#This Row],[_Res3Text]],FIND("[",Tasks[[#This Row],[_Res3Text]]&amp;"[")-1)),res_Name,0),IFERROR(MATCH(TRIM(LEFT(Tasks[[#This Row],[_Res3Text]],FIND("[",Tasks[[#This Row],[_Res3Text]]&amp;"[")-1)),res_Initials,0),0)))</f>
        <v/>
      </c>
      <c r="DR134" s="42">
        <f>IF(Tasks[[#This Row],[_Res4Text]]="",0,IFERROR(MATCH(TRIM(LEFT(Tasks[[#This Row],[_Res4Text]],FIND("[",Tasks[[#This Row],[_Res4Text]]&amp;"[")-1)),res_Name,0),IFERROR(MATCH(TRIM(LEFT(Tasks[[#This Row],[_Res4Text]],FIND("[",Tasks[[#This Row],[_Res4Text]]&amp;"[")-1)),res_Initials,0),0)))</f>
        <v/>
      </c>
      <c r="DS134" s="42">
        <f>IF(Tasks[[#This Row],[_Res1Text]]="","",IF(Tasks[[#This Row],[_Res1Row]]&gt;0,INDEX(res_Name,Tasks[[#This Row],[_Res1Row]]),TRIM(LEFT(Tasks[[#This Row],[_Res1Text]],FIND("[",Tasks[[#This Row],[_Res1Text]]&amp;"[")-1))))</f>
        <v/>
      </c>
      <c r="DT13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4" s="42">
        <f>IF(NOT(Tasks[[#This Row],[_IsLeaf]]=1),0,(Tasks[[#This Row],[_Resource1]]&lt;&gt;"")+(Tasks[[#This Row],[_Res2]]&lt;&gt;"")+(Tasks[[#This Row],[_Res3]]&lt;&gt;"")+(Tasks[[#This Row],[_Res4]]&lt;&gt;""))</f>
        <v/>
      </c>
      <c r="DV134" s="42">
        <f>IF(Tasks[[#This Row],[_Res2Text]]="","",IF(Tasks[[#This Row],[_Res2Row]]&gt;0,INDEX(res_Name,Tasks[[#This Row],[_Res2Row]]),TRIM(LEFT(Tasks[[#This Row],[_Res2Text]],FIND("[",Tasks[[#This Row],[_Res2Text]]&amp;"[")-1))))</f>
        <v/>
      </c>
      <c r="DW13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4" s="42">
        <f>IF(OR(NOT(Tasks[[#This Row],[_IsLeaf]]=1),Tasks[[#This Row],[_Res2Row]]=0),0,N(Tasks[[#This Row],[_Days]])*HoursPerDay*IF(Tasks[[#This Row],[_Res2Units]]="",DefaultUnits,Tasks[[#This Row],[_Res2Units]]))</f>
        <v/>
      </c>
      <c r="DY134" s="42">
        <f>IF(AND(AND(Tasks[[#This Row],[_IsLeaf]]=1,Tasks[[#This Row],[_LeafTotalWork]]&gt;0),Tasks[[#This Row],[_Res2Work]]&gt;0),Tasks[[#This Row],[_Res2Work]]/(Tasks[[#This Row],[_FinishWorkday]]-Tasks[[#This Row],[_StartWorkday]]+1),0)</f>
        <v/>
      </c>
      <c r="DZ134" s="42">
        <f>Tasks[[#This Row],[_Res2WorkPerWD]]*MAX(0,Tasks[[#This Row],[_StartWorkday]]-1)</f>
        <v/>
      </c>
      <c r="EA134" s="42">
        <f>Tasks[[#This Row],[_Res2Work]]*Tasks[[#This Row],[_LeafProgress]]</f>
        <v/>
      </c>
      <c r="EB134" s="42">
        <f>IF(Tasks[[#This Row],[_Res3Text]]="","",IF(Tasks[[#This Row],[_Res3Row]]&gt;0,INDEX(res_Name,Tasks[[#This Row],[_Res3Row]]),TRIM(LEFT(Tasks[[#This Row],[_Res3Text]],FIND("[",Tasks[[#This Row],[_Res3Text]]&amp;"[")-1))))</f>
        <v/>
      </c>
      <c r="EC13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4" s="42">
        <f>IF(OR(NOT(Tasks[[#This Row],[_IsLeaf]]=1),Tasks[[#This Row],[_Res3Row]]=0),0,N(Tasks[[#This Row],[_Days]])*HoursPerDay*IF(Tasks[[#This Row],[_Res3Units]]="",DefaultUnits,Tasks[[#This Row],[_Res3Units]]))</f>
        <v/>
      </c>
      <c r="EE134" s="42">
        <f>IF(AND(AND(Tasks[[#This Row],[_IsLeaf]]=1,Tasks[[#This Row],[_LeafTotalWork]]&gt;0),Tasks[[#This Row],[_Res3Work]]&gt;0),Tasks[[#This Row],[_Res3Work]]/(Tasks[[#This Row],[_FinishWorkday]]-Tasks[[#This Row],[_StartWorkday]]+1),0)</f>
        <v/>
      </c>
      <c r="EF134" s="42">
        <f>Tasks[[#This Row],[_Res3WorkPerWD]]*MAX(0,Tasks[[#This Row],[_StartWorkday]]-1)</f>
        <v/>
      </c>
      <c r="EG134" s="42">
        <f>Tasks[[#This Row],[_Res3Work]]*Tasks[[#This Row],[_LeafProgress]]</f>
        <v/>
      </c>
      <c r="EH134" s="42">
        <f>IF(Tasks[[#This Row],[_Res4Text]]="","",IF(Tasks[[#This Row],[_Res4Row]]&gt;0,INDEX(res_Name,Tasks[[#This Row],[_Res4Row]]),TRIM(LEFT(Tasks[[#This Row],[_Res4Text]],FIND("[",Tasks[[#This Row],[_Res4Text]]&amp;"[")-1))))</f>
        <v/>
      </c>
      <c r="EI13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4" s="42">
        <f>IF(OR(NOT(Tasks[[#This Row],[_IsLeaf]]=1),Tasks[[#This Row],[_Res4Row]]=0),0,N(Tasks[[#This Row],[_Days]])*HoursPerDay*IF(Tasks[[#This Row],[_Res4Units]]="",DefaultUnits,Tasks[[#This Row],[_Res4Units]]))</f>
        <v/>
      </c>
      <c r="EK134" s="42">
        <f>IF(AND(AND(Tasks[[#This Row],[_IsLeaf]]=1,Tasks[[#This Row],[_LeafTotalWork]]&gt;0),Tasks[[#This Row],[_Res4Work]]&gt;0),Tasks[[#This Row],[_Res4Work]]/(Tasks[[#This Row],[_FinishWorkday]]-Tasks[[#This Row],[_StartWorkday]]+1),0)</f>
        <v/>
      </c>
      <c r="EL134" s="42">
        <f>Tasks[[#This Row],[_Res4WorkPerWD]]*MAX(0,Tasks[[#This Row],[_StartWorkday]]-1)</f>
        <v/>
      </c>
      <c r="EM134" s="42">
        <f>Tasks[[#This Row],[_Res4Work]]*Tasks[[#This Row],[_LeafProgress]]</f>
        <v/>
      </c>
      <c r="EN134" s="42">
        <f>IF(ISNUMBER(Tasks[[#This Row],[% Complete]]),Tasks[[#This Row],[% Complete]],IF(Tasks[[#This Row],[Stage]]="",0,IFERROR(INDEX(stg_Pct,MATCH(Tasks[[#This Row],[Stage]],stg_Name,0)),0)))</f>
        <v/>
      </c>
      <c r="EO134" s="42">
        <f>IF(NOT(Tasks[[#This Row],[_IsLeaf]]=1),0,IF(N(Tasks[[#This Row],[Actual Finish]])&gt;0,1,MIN(1,Tasks[[#This Row],[_Pct]])))</f>
        <v/>
      </c>
      <c r="EP134" s="42">
        <f>IF(OR(NOT(Tasks[[#This Row],[_IsLeaf]]=1),Tasks[[#This Row],[_Res1Row]]=0),0,N(Tasks[[#This Row],[_Days]])*HoursPerDay*IF(Tasks[[#This Row],[_Units1]]="",DefaultUnits,Tasks[[#This Row],[_Units1]]))</f>
        <v/>
      </c>
      <c r="EQ134" s="42">
        <f>Tasks[[#This Row],[_LeafWork]]+Tasks[[#This Row],[_Res2Work]]+Tasks[[#This Row],[_Res3Work]]+Tasks[[#This Row],[_Res4Work]]</f>
        <v/>
      </c>
      <c r="ER13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4" s="42">
        <f>IF(NOT(Tasks[[#This Row],[_IsLeaf]]=1),0,MAX(_xlfn.MAXIFS(Tasks[_Row],Tasks[_Pred1UID],Tasks[[#This Row],[UID]]),_xlfn.MAXIFS(Tasks[_Row],Tasks[_Pred2UID],Tasks[[#This Row],[UID]]),_xlfn.MAXIFS(Tasks[_Row],Tasks[_Pred3UID],Tasks[[#This Row],[UID]]),_xlfn.MAXIFS(Tasks[_Row],Tasks[_Pred4UID],Tasks[[#This Row],[UID]])))</f>
        <v/>
      </c>
      <c r="FA13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4" s="88">
        <f>IF(NOT(Tasks[[#This Row],[_IsLeaf]]=1),"",IF(N(Tasks[[#This Row],[_Days]])&lt;=0,Tasks[[#This Row],[_LeafLateFinish]],WORKDAY.INTL(Tasks[[#This Row],[_LeafLateFinish]],-(Tasks[[#This Row],[_Days]]-1),WorkWeek,Holidays)))</f>
        <v/>
      </c>
      <c r="FD13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4" s="42">
        <f>AND(Tasks[[#This Row],[_IsLeaf]]=1,Tasks[[#This Row],[_LeafProgress]]&lt;1,N(Tasks[[#This Row],[_LeafTotalSlack]])&lt;=CriticalSlackDays)</f>
        <v/>
      </c>
      <c r="FF134" s="42">
        <f>IF(AND(Tasks[[#This Row],[_IsLeaf]]=1,Tasks[[#This Row],[_ConstraintCode]]=1,Tasks[[#This Row],[Mode]]&lt;&gt;"Manual",N(Tasks[[#This Row],[Actual Start]])=0),MAX(0,N(Tasks[[#This Row],[Free Slack]])),0)</f>
        <v/>
      </c>
      <c r="FG134" s="88">
        <f>IF(NOT(Tasks[[#This Row],[_IsLeaf]]=1),"",IF(Tasks[[#This Row],[_AlapShift]]=0,Tasks[[#This Row],[_LeafCalcStart]],WORKDAY.INTL(Tasks[[#This Row],[_LeafCalcStart]],Tasks[[#This Row],[_AlapShift]],WorkWeek,Holidays)))</f>
        <v/>
      </c>
      <c r="FH134" s="88">
        <f>IF(NOT(Tasks[[#This Row],[_IsLeaf]]=1),"",IF(Tasks[[#This Row],[_AlapShift]]=0,Tasks[[#This Row],[_LeafCalcFinish]],WORKDAY.INTL(Tasks[[#This Row],[_LeafCalcFinish]],Tasks[[#This Row],[_AlapShift]],WorkWeek,Holidays)))</f>
        <v/>
      </c>
      <c r="FI134" s="88">
        <f>IF(NOT(Tasks[[#This Row],[_IsLeaf]]=1),"",IF(Tasks[[#This Row],[_AlapShift]]=0,Tasks[[#This Row],[_LeafFcstStart]],WORKDAY.INTL(Tasks[[#This Row],[_LeafFcstStart]],Tasks[[#This Row],[_AlapShift]],WorkWeek,Holidays)))</f>
        <v/>
      </c>
      <c r="FJ134" s="88">
        <f>IF(NOT(Tasks[[#This Row],[_IsLeaf]]=1),"",IF(Tasks[[#This Row],[_AlapShift]]=0,Tasks[[#This Row],[_LeafFcstFinish]],WORKDAY.INTL(Tasks[[#This Row],[_LeafFcstFinish]],Tasks[[#This Row],[_AlapShift]],WorkWeek,Holidays)))</f>
        <v/>
      </c>
      <c r="FK134" s="88">
        <f>IF(Tasks[[#This Row],[Task Name]]="","",IF(Tasks[[#This Row],[_IsSummary]],MIN(INDEX(Tasks[_ShownCalcStart],Tasks[[#This Row],[_Row]]+1):INDEX(Tasks[_ShownCalcStart],Tasks[[#This Row],[_Row]]+Tasks[[#This Row],[_Descendants]])),Tasks[[#This Row],[_ShownCalcStart]]))</f>
        <v/>
      </c>
      <c r="FL134" s="88">
        <f>IF(Tasks[[#This Row],[Task Name]]="","",IF(Tasks[[#This Row],[_IsSummary]],MAX(INDEX(Tasks[_ShownCalcFinish],Tasks[[#This Row],[_Row]]+1):INDEX(Tasks[_ShownCalcFinish],Tasks[[#This Row],[_Row]]+Tasks[[#This Row],[_Descendants]])),Tasks[[#This Row],[_ShownCalcFinish]]))</f>
        <v/>
      </c>
      <c r="FM13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4" s="42">
        <f>IF(AND(Tasks[[#This Row],[_IsLeaf]]=1,Tasks[[#This Row],[_LeafTotalWork]]&gt;0),NETWORKDAYS.INTL(ProjectStart,Tasks[[#This Row],[_ShownFcstStart]],WorkWeek,Holidays),0)</f>
        <v/>
      </c>
      <c r="FZ134" s="42">
        <f>IF(AND(Tasks[[#This Row],[_IsLeaf]]=1,Tasks[[#This Row],[_LeafTotalWork]]&gt;0),MAX(Tasks[[#This Row],[_StartWorkday]],NETWORKDAYS.INTL(ProjectStart,Tasks[[#This Row],[_ShownFcstFinish]],WorkWeek,Holidays)),0)</f>
        <v/>
      </c>
      <c r="GA134" s="42">
        <f>IF(AND(Tasks[[#This Row],[_IsLeaf]]=1,Tasks[[#This Row],[_LeafTotalWork]]&gt;0),Tasks[[#This Row],[_LeafWork]]/(Tasks[[#This Row],[_FinishWorkday]]-Tasks[[#This Row],[_StartWorkday]]+1),0)</f>
        <v/>
      </c>
      <c r="GB134" s="42">
        <f>Tasks[[#This Row],[_WorkPerWorkday]]*(Tasks[[#This Row],[_StartWorkday]]-1)</f>
        <v/>
      </c>
      <c r="GC134" s="42">
        <f>IF(Tasks[[#This Row],[_IsLeaf]]=1,MAX(N(Tasks[[#This Row],[_Days]]),0.1),0)</f>
        <v/>
      </c>
      <c r="GD134" s="42">
        <f>Tasks[[#This Row],[_WeightDur]]*Tasks[[#This Row],[_LeafProgress]]</f>
        <v/>
      </c>
      <c r="GE134" s="42">
        <f>Tasks[[#This Row],[_WeightDur]]*Tasks[[#This Row],[_PlannedPct]]</f>
        <v/>
      </c>
      <c r="GF13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4" s="42">
        <f>IF(AND(Tasks[[#This Row],[_IsLeaf]]=1,N(Tasks[[#This Row],[_Days]])=0,Tasks[[#This Row],[_LeafProgress]]&lt;1),Tasks[[#This Row],[_ShownFcstFinish]]+Tasks[[#This Row],[_Row]]/100000,"")</f>
        <v/>
      </c>
      <c r="GH13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4" s="42">
        <f>IF(Tasks[[#This Row],[Task Name]]="","",LEFT(Tasks[[#This Row],[WBS]],FIND(".",Tasks[[#This Row],[WBS]]&amp;".")-1))</f>
        <v/>
      </c>
      <c r="GJ134" s="42">
        <f>IF(AND(Tasks[[#This Row],[Task Name]]&lt;&gt;"",Tasks[[#This Row],[_Level]]=1),Tasks[[#This Row],[_Row]],"")</f>
        <v/>
      </c>
      <c r="GK134" s="42">
        <f>IF(AND(Tasks[[#This Row],[_IsLeaf]]=1,N(Tasks[[#This Row],[_Days]])=0),Tasks[[#This Row],[Planned Finish]]+Tasks[[#This Row],[_Row]]/100000,"")</f>
        <v/>
      </c>
      <c r="GL134" s="42">
        <f>IF(AND(Tasks[[#This Row],[_IsLeaf]]=1,Tasks[[#This Row],[_LeafProgress]]&lt;1,OR(N(Tasks[[#This Row],[Finish Var]])&gt;0,Tasks[[#This Row],[Status]]="Late Start")),MAX(0,Tasks[[#This Row],[Finish Var]])+1-Tasks[[#This Row],[_Row]]/1000000,"")</f>
        <v/>
      </c>
      <c r="GM134" s="42">
        <f>IF(AND(Tasks[[#This Row],[_IsLeaf]]=1,N(Tasks[[#This Row],[Actual Start]])=0,Tasks[[#This Row],[_ShownFcstStart]]&gt;=StatusDate,Tasks[[#This Row],[_ShownFcstStart]]&lt;=LookaheadEnd),Tasks[[#This Row],[_ShownFcstStart]]+Tasks[[#This Row],[_Row]]/100000,"")</f>
        <v/>
      </c>
      <c r="GN134" s="42">
        <f>IF(AND(Tasks[[#This Row],[_IsLeaf]]=1,Tasks[[#This Row],[_LeafProgress]]&lt;1,Tasks[[#This Row],[_ShownFcstFinish]]&gt;=StatusDate,Tasks[[#This Row],[_ShownFcstFinish]]&lt;=LookaheadEnd),Tasks[[#This Row],[_ShownFcstFinish]]+Tasks[[#This Row],[_Row]]/100000,"")</f>
        <v/>
      </c>
      <c r="GO134" s="42">
        <f>IF(Tasks[[#This Row],[_LeafCritical]],Tasks[[#This Row],[_ShownFcstStart]]+Tasks[[#This Row],[_Row]]/100000,"")</f>
        <v/>
      </c>
      <c r="GP134" s="42">
        <f>Tasks[[#This Row],[_LeafWork]]*Tasks[[#This Row],[_LeafProgress]]</f>
        <v/>
      </c>
      <c r="GQ134" s="88">
        <f>IF(AND(Tasks[[#This Row],[_IsLeaf]]=1,Tasks[[#This Row],[_LeafProgress]]&gt;=1),IF(N(Tasks[[#This Row],[Actual Finish]])&gt;0,Tasks[[#This Row],[Actual Finish]],Tasks[[#This Row],[_ShownFcstFinish]]),"")</f>
        <v/>
      </c>
      <c r="GR134" s="42">
        <f>IF(Tasks[[#This Row],[_IsLeaf]]=1,N(Tasks[[#This Row],[Story Points]]),0)</f>
        <v/>
      </c>
      <c r="GS134" s="42">
        <f>""</f>
        <v/>
      </c>
      <c r="GT134" s="42">
        <f>IF(Tasks[[#This Row],[Task Name]]="",FALSE(),AND(Tasks[[#This Row],[_IsLeaf]]=1,N(Tasks[[#This Row],[_Days]])=0))</f>
        <v/>
      </c>
      <c r="GU134" s="88">
        <f>IF(Tasks[[#This Row],[Task Name]]="",0,IF(AND(Tasks[[#This Row],[_IsLeaf]]=1,NOT(Tasks[[#This Row],[_IsMilestone]]),N(Tasks[[#This Row],[Progress]])&gt;0),Tasks[[#This Row],[Start]],0))</f>
        <v/>
      </c>
      <c r="GV134" s="88">
        <f>IF(Tasks[[#This Row],[_DoneFrom]]=0,0,IF(Tasks[[#This Row],[Progress]]&gt;=1,Tasks[[#This Row],[Finish]],MAX(Tasks[[#This Row],[_DoneFrom]],Tasks[[#This Row],[Start]]+ROUND((Tasks[[#This Row],[Finish]]-Tasks[[#This Row],[Start]]+1)*Tasks[[#This Row],[Progress]],0)-1)))</f>
        <v/>
      </c>
      <c r="GW134" s="88">
        <f>IF(Tasks[[#This Row],[Task Name]]="",0,IF(OR(NOT(Tasks[[#This Row],[_IsLeaf]]=1),Tasks[[#This Row],[_IsMilestone]],N(Tasks[[#This Row],[Progress]])&gt;=1),0,IF(Tasks[[#This Row],[_DoneTo]]&gt;0,Tasks[[#This Row],[_DoneTo]]+1,Tasks[[#This Row],[Start]])))</f>
        <v/>
      </c>
      <c r="GX134" s="88">
        <f>IF(Tasks[[#This Row],[_RemFrom]]=0,0,Tasks[[#This Row],[Finish]])</f>
        <v/>
      </c>
      <c r="GY134" s="42">
        <f>IF(Tasks[[#This Row],[Task Name]]="",FALSE(),OR(NOT(BaselineSet),N(Tasks[[#This Row],[Baseline Start]])&gt;0))</f>
        <v/>
      </c>
      <c r="GZ134" s="42">
        <f>IF(AND(Sandbox="Yes",L_PARSE_DURATION(Tasks[[#This Row],[Sandbox Duration]])&lt;&gt;""),L_PARSE_DURATION(Tasks[[#This Row],[Sandbox Duration]]),L_PARSE_DURATION(Tasks[[#This Row],[Duration]]))</f>
        <v/>
      </c>
      <c r="HA13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4" s="42">
        <f>IF(Tasks[[#This Row],[_IsLeaf]]=1,Tasks[[#This Row],[_Row]],"")</f>
        <v/>
      </c>
      <c r="HD134" s="42">
        <f>IFERROR(INDEX(Tasks[UID],SMALL(Tasks[_PickKey],Tasks[[#This Row],[_Row]]))&amp;" "&amp;INDEX(Tasks[Task Name],SMALL(Tasks[_PickKey],Tasks[[#This Row],[_Row]])),"")</f>
        <v/>
      </c>
      <c r="HE134" s="42">
        <f>IF(Tasks[[#This Row],[Task Name]]="","",IF(Tasks[[#This Row],[_IsSummary]],NETWORKDAYS.INTL(Tasks[[#This Row],[Start]],Tasks[[#This Row],[Finish]],WorkWeek,Holidays),N(Tasks[[#This Row],[_Days]])))</f>
        <v/>
      </c>
      <c r="HF134" s="42">
        <f>IF(Tasks[[#This Row],[Expected]]="",0,((Tasks[[#This Row],[Pessimistic]]-Tasks[[#This Row],[Optimistic]])/6)^2)</f>
        <v/>
      </c>
      <c r="HG134" s="42">
        <f>IF(Tasks[[#This Row],[Expected]]="",0,Tasks[[#This Row],[Expected]]-N(Tasks[[#This Row],[_Days]]))</f>
        <v/>
      </c>
    </row>
    <row r="135">
      <c r="A135" s="21">
        <f>IF(Tasks[[#This Row],[Task Name]]="","",COUNTA(Tasks[[#Headers],[Task Name]]:Tasks[[#This Row],[Task Name]])-1)</f>
        <v/>
      </c>
      <c r="B135" s="22" t="n">
        <v>143</v>
      </c>
      <c r="C135" s="22" t="n"/>
      <c r="D135" s="23" t="n"/>
      <c r="E135" s="22" t="n"/>
      <c r="F135" s="23" t="n"/>
      <c r="G135" s="22" t="n"/>
      <c r="H135" s="22" t="n"/>
      <c r="I135" s="23" t="n"/>
      <c r="J135" s="22" t="n"/>
      <c r="K135" s="22" t="n"/>
      <c r="L135" s="23" t="n"/>
      <c r="M135" s="22" t="n"/>
      <c r="N135" s="22" t="n"/>
      <c r="O135" s="23" t="n"/>
      <c r="P135" s="22" t="n"/>
      <c r="Q135" s="22" t="n"/>
      <c r="R135" s="23" t="n"/>
      <c r="S135" s="23" t="n"/>
      <c r="T135" s="82" t="n"/>
      <c r="U135" s="23" t="n"/>
      <c r="V135" s="82" t="n"/>
      <c r="W135" s="23" t="n"/>
      <c r="X135" s="82" t="n"/>
      <c r="Y135" s="23" t="n"/>
      <c r="Z135" s="82" t="n"/>
      <c r="AA135" s="23" t="n"/>
      <c r="AB135" s="23" t="n"/>
      <c r="AC135" s="7" t="n"/>
      <c r="AD135" s="7" t="n"/>
      <c r="AE135" s="61">
        <f>IF(Tasks[[#This Row],[Task Name]]="","",IF(Tasks[[#This Row],[_IsSummary]],MIN(INDEX(Tasks[_ShownFcstStart],Tasks[[#This Row],[_Row]]+1):INDEX(Tasks[_ShownFcstStart],Tasks[[#This Row],[_Row]]+Tasks[[#This Row],[_Descendants]])),Tasks[[#This Row],[_ShownFcstStart]]))</f>
        <v/>
      </c>
      <c r="AF135" s="61">
        <f>IF(Tasks[[#This Row],[Task Name]]="","",IF(Tasks[[#This Row],[_IsSummary]],MAX(INDEX(Tasks[_ShownFcstFinish],Tasks[[#This Row],[_Row]]+1):INDEX(Tasks[_ShownFcstFinish],Tasks[[#This Row],[_Row]]+Tasks[[#This Row],[_Descendants]])),Tasks[[#This Row],[_ShownFcstFinish]]))</f>
        <v/>
      </c>
      <c r="AG135" s="21">
        <f>""</f>
        <v/>
      </c>
      <c r="AH135" s="23" t="n"/>
      <c r="AI13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5" s="7" t="n"/>
      <c r="AK135" s="22" t="n"/>
      <c r="AL135" s="23" t="n"/>
      <c r="AM135" s="7" t="n"/>
      <c r="AN135" s="21">
        <f>IF(Tasks[[#This Row],[Task Name]]="","",IF(Tasks[[#This Row],[Finish]]&gt;=Tasks[[#This Row],[Planned Finish]],NETWORKDAYS.INTL(Tasks[[#This Row],[Planned Finish]],Tasks[[#This Row],[Finish]],WorkWeek,Holidays)-1,1-NETWORKDAYS.INTL(Tasks[[#This Row],[Finish]],Tasks[[#This Row],[Planned Finish]],WorkWeek,Holidays)))</f>
        <v/>
      </c>
      <c r="AO135" s="21">
        <f>IF(Tasks[[#This Row],[Task Name]]="","",IF(Tasks[[#This Row],[Progress]]&gt;=1,"Complete",IF(OR(N(Tasks[[#This Row],[Actual Start]])&gt;0,Tasks[[#This Row],[Progress]]&gt;0),IF(Tasks[[#This Row],[Finish Var]]&gt;0,"Behind","In Progress"),IF(Tasks[[#This Row],[Planned Start]]&lt;StatusDate,"Late Start","Not Started"))))</f>
        <v/>
      </c>
      <c r="AP135" s="21">
        <f>IF(Tasks[[#This Row],[Task Name]]="","",IF(IF(Tasks[[#This Row],[_IsSummary]],COUNTIF(INDEX(Tasks[_LeafCritical],Tasks[[#This Row],[_Row]]+1):INDEX(Tasks[_LeafCritical],Tasks[[#This Row],[_Row]]+Tasks[[#This Row],[_Descendants]]),TRUE())&gt;0,Tasks[[#This Row],[_LeafCritical]]),"Yes",""))</f>
        <v/>
      </c>
      <c r="AQ135" s="61">
        <f>IF(Tasks[[#This Row],[Task Name]]="","",IF(N(Tasks[[#This Row],[Baseline Start]])&gt;0,Tasks[[#This Row],[Baseline Start]],Tasks[[#This Row],[_CalcStart]]))</f>
        <v/>
      </c>
      <c r="AR135" s="61">
        <f>IF(Tasks[[#This Row],[Task Name]]="","",IF(N(Tasks[[#This Row],[Baseline Finish]])&gt;0,Tasks[[#This Row],[Baseline Finish]],Tasks[[#This Row],[_CalcFinish]]))</f>
        <v/>
      </c>
      <c r="AS135" s="21">
        <f>IF(Tasks[[#This Row],[Task Name]]="","",IF(Tasks[[#This Row],[Start]]&gt;=Tasks[[#This Row],[Planned Start]],NETWORKDAYS.INTL(Tasks[[#This Row],[Planned Start]],Tasks[[#This Row],[Start]],WorkWeek,Holidays)-1,1-NETWORKDAYS.INTL(Tasks[[#This Row],[Start]],Tasks[[#This Row],[Planned Start]],WorkWeek,Holidays)))</f>
        <v/>
      </c>
      <c r="AT135" s="61">
        <f>IF(Tasks[[#This Row],[Task Name]]="","",IF(Tasks[[#This Row],[_IsSummary]],MIN(INDEX(Tasks[_LeafLateStart],Tasks[[#This Row],[_Row]]+1):INDEX(Tasks[_LeafLateStart],Tasks[[#This Row],[_Row]]+Tasks[[#This Row],[_Descendants]])),Tasks[[#This Row],[_LeafLateStart]]))</f>
        <v/>
      </c>
      <c r="AU135" s="61">
        <f>IF(Tasks[[#This Row],[Task Name]]="","",IF(Tasks[[#This Row],[_IsSummary]],MAX(INDEX(Tasks[_LeafLateFinish],Tasks[[#This Row],[_Row]]+1):INDEX(Tasks[_LeafLateFinish],Tasks[[#This Row],[_Row]]+Tasks[[#This Row],[_Descendants]])),Tasks[[#This Row],[_LeafLateFinish]]))</f>
        <v/>
      </c>
      <c r="AV135" s="21">
        <f>IF(Tasks[[#This Row],[Task Name]]="","",IF(Tasks[[#This Row],[_IsSummary]],MIN(INDEX(Tasks[_LeafTotalSlack],Tasks[[#This Row],[_Row]]+1):INDEX(Tasks[_LeafTotalSlack],Tasks[[#This Row],[_Row]]+Tasks[[#This Row],[_Descendants]])),Tasks[[#This Row],[_LeafTotalSlack]]))</f>
        <v/>
      </c>
      <c r="AW13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3" t="n"/>
      <c r="BA13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f>IF(Tasks[[#This Row],[Task Name]]="","",IF(Tasks[[#This Row],[_Level]]&lt;=OutlineShowLevel,"Yes","No"))</f>
        <v/>
      </c>
      <c r="BE135" s="84">
        <f>IF(Tasks[[#This Row],[Task Name]]="","",IF(Tasks[[#This Row],[_IsSummary]],SUM(INDEX(Tasks[_LeafTotalWork],Tasks[[#This Row],[_Row]]+1):INDEX(Tasks[_LeafTotalWork],Tasks[[#This Row],[_Row]]+Tasks[[#This Row],[_Descendants]])),Tasks[[#This Row],[_LeafTotalWork]]))</f>
        <v/>
      </c>
      <c r="BF135" s="23" t="n"/>
      <c r="BG13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f>""</f>
        <v/>
      </c>
      <c r="BI135" s="85" t="n"/>
      <c r="BJ135" s="22" t="n"/>
      <c r="BK135" s="21">
        <f>IF(OR(Tasks[[#This Row],[Task Name]]="",Tasks[[#This Row],[Baseline Duration]]=""),"",Tasks[[#This Row],[_SpanDays]]-N(Tasks[[#This Row],[Baseline Duration]]))</f>
        <v/>
      </c>
      <c r="BL135" s="84">
        <f>IF(OR(Tasks[[#This Row],[Task Name]]="",Tasks[[#This Row],[Baseline Work]]=""),"",Tasks[[#This Row],[Work]]-N(Tasks[[#This Row],[Baseline Work]]))</f>
        <v/>
      </c>
      <c r="BM135" s="61">
        <f>IF(Tasks[[#This Row],[Task Name]]="","",IF(OR(TakeBaseline="Yes",N(Tasks[[#This Row],[Baseline Start]])=0),Tasks[[#This Row],[Start]],Tasks[[#This Row],[Baseline Start]]))</f>
        <v/>
      </c>
      <c r="BN135" s="61">
        <f>IF(Tasks[[#This Row],[Task Name]]="","",IF(OR(TakeBaseline="Yes",N(Tasks[[#This Row],[Baseline Finish]])=0),Tasks[[#This Row],[Finish]],Tasks[[#This Row],[Baseline Finish]]))</f>
        <v/>
      </c>
      <c r="BO135" s="21">
        <f>IF(Tasks[[#This Row],[Task Name]]="","",IF(OR(TakeBaseline="Yes",N(Tasks[[#This Row],[Baseline Duration]])=0),Tasks[[#This Row],[_SpanDays]],Tasks[[#This Row],[Baseline Duration]]))</f>
        <v/>
      </c>
      <c r="BP135" s="84">
        <f>IF(Tasks[[#This Row],[Task Name]]="","",IF(OR(TakeBaseline="Yes",N(Tasks[[#This Row],[Baseline Work]])=0),Tasks[[#This Row],[Work]],Tasks[[#This Row],[Baseline Work]]))</f>
        <v/>
      </c>
      <c r="BQ135" s="7" t="n"/>
      <c r="BR135" s="7" t="n"/>
      <c r="BS135" s="22" t="n"/>
      <c r="BT135" s="86" t="n"/>
      <c r="BU135" s="23" t="n"/>
      <c r="BV135" s="23" t="n"/>
      <c r="BW135" s="23" t="n"/>
      <c r="BX135" s="87">
        <f>IF(AND(Tasks[[#This Row],[_IsLeaf]]=1,ISNUMBER(Tasks[[#This Row],[Optimistic]]),ISNUMBER(Tasks[[#This Row],[Pessimistic]])),ROUND((Tasks[[#This Row],[Optimistic]]+4*N(Tasks[[#This Row],[_Days]])+Tasks[[#This Row],[Pessimistic]])/6,1),"")</f>
        <v/>
      </c>
      <c r="BY135" s="85" t="n"/>
      <c r="BZ135" s="85" t="n"/>
      <c r="CA135" s="22" t="n"/>
      <c r="CB135" s="42">
        <f>IF(Tasks[[#This Row],[Task Name]]="","",MAX(1,N(Tasks[[#This Row],[Level]])))</f>
        <v/>
      </c>
      <c r="CC135" s="42">
        <f>ROW()-ROW(Tasks[[#Headers],[ID]])</f>
        <v/>
      </c>
      <c r="CD135" s="42">
        <f>IF(OR(Tasks[[#This Row],[Task Name]]="",Tasks[[#This Row],[_Level]]&lt;=1),0,IFERROR(LOOKUP(2,1/(Tasks[[#Headers],[_Level]]:Tasks[[#This Row],[_Level]]=Tasks[[#This Row],[_Level]]-1),ROW(Tasks[[#Headers],[_Level]]:Tasks[[#This Row],[_Level]])),0))</f>
        <v/>
      </c>
      <c r="CE135" s="42">
        <f>IFERROR(N(INDEX(Tasks[_Level],Tasks[[#This Row],[_Row]]+1)),0)</f>
        <v/>
      </c>
      <c r="CF135" s="42">
        <f>AND(Tasks[[#This Row],[Task Name]]&lt;&gt;"",Tasks[[#This Row],[_NextLevel]]&gt;Tasks[[#This Row],[_Level]])</f>
        <v/>
      </c>
      <c r="CG135" s="42">
        <f>IF(Tasks[[#This Row],[_IsSummary]],COUNTIF(Tasks[WBS],Tasks[[#This Row],[WBS]]&amp;".*"),0)</f>
        <v/>
      </c>
      <c r="CH135" s="42">
        <f>IF(AND(Tasks[[#This Row],[Task Name]]&lt;&gt;"",NOT(Tasks[[#This Row],[_IsSummary]])),1,0)</f>
        <v/>
      </c>
      <c r="CI135" s="42">
        <f>IF(N(Tasks[[#This Row],[_Pred1UID]])=0,0,IFERROR(MATCH(Tasks[[#This Row],[_Pred1UID]],Tasks[UID],0),-1))</f>
        <v/>
      </c>
      <c r="CJ135" s="42">
        <f>IF(N(Tasks[[#This Row],[_Pred2UID]])=0,0,IFERROR(MATCH(Tasks[[#This Row],[_Pred2UID]],Tasks[UID],0),-1))</f>
        <v/>
      </c>
      <c r="CK135" s="42">
        <f>IF(N(Tasks[[#This Row],[_Pred3UID]])=0,0,IFERROR(MATCH(Tasks[[#This Row],[_Pred3UID]],Tasks[UID],0),-1))</f>
        <v/>
      </c>
      <c r="CL135" s="42">
        <f>IF(N(Tasks[[#This Row],[_Pred4UID]])=0,0,IFERROR(MATCH(Tasks[[#This Row],[_Pred4UID]],Tasks[UID],0),-1))</f>
        <v/>
      </c>
      <c r="CM13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5" s="88">
        <f>IF(N(Tasks[[#This Row],[Constraint Date]])=0,0,IF(AND(OR(Tasks[[#This Row],[_ConstraintCode]]=3,Tasks[[#This Row],[_ConstraintCode]]=6,Tasks[[#This Row],[_ConstraintCode]]=7),N(Tasks[[#This Row],[_Days]])&gt;1),WORKDAY.INTL(N(Tasks[[#This Row],[Constraint Date]]),-(N(Tasks[[#This Row],[_Days]])-1),WorkWeek,Holidays),N(Tasks[[#This Row],[Constraint Date]])))</f>
        <v/>
      </c>
      <c r="CO135" s="88">
        <f>IF(OR(Tasks[[#This Row],[_ConstraintCode]]=2,Tasks[[#This Row],[_ConstraintCode]]=3,Tasks[[#This Row],[_ConstraintCode]]=4,Tasks[[#This Row],[_ConstraintCode]]=6),Tasks[[#This Row],[_ConstraintStart]],0)</f>
        <v/>
      </c>
      <c r="CP135" s="88">
        <f>IF(OR(Tasks[[#This Row],[_ConstraintCode]]=2,Tasks[[#This Row],[_ConstraintCode]]=3,Tasks[[#This Row],[_ConstraintCode]]=5,Tasks[[#This Row],[_ConstraintCode]]=7),Tasks[[#This Row],[_ConstraintStart]],2958465)</f>
        <v/>
      </c>
      <c r="CQ13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5" s="88">
        <f>IF(NOT(Tasks[[#This Row],[_IsLeaf]]=1),"",IF(N(Tasks[[#This Row],[_Days]])&lt;=0,Tasks[[#This Row],[_LeafCalcStart]],WORKDAY.INTL(Tasks[[#This Row],[_LeafCalcStart]],Tasks[[#This Row],[_Days]]-1,WorkWeek,Holidays)))</f>
        <v/>
      </c>
      <c r="CS13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5" s="42">
        <f>IF(Tasks[[#This Row],[_Predecessors]]="","",TRIM(MID(SUBSTITUTE(SUBSTITUTE(SUBSTITUTE(UPPER(Tasks[[#This Row],[_Predecessors]]),";",",")," ",""),",",REPT(" ",99)),1,99)))</f>
        <v/>
      </c>
      <c r="CV135" s="42">
        <f>IF(Tasks[[#This Row],[_Pred1Text]]="","",IFERROR(VALUE(LEFT(Tasks[[#This Row],[_Pred1Text]],MIN(FIND("F",Tasks[[#This Row],[_Pred1Text]]&amp;"F"),FIND("S",Tasks[[#This Row],[_Pred1Text]]&amp;"S"),FIND("+",Tasks[[#This Row],[_Pred1Text]]&amp;"+"),FIND("-",Tasks[[#This Row],[_Pred1Text]]&amp;"-"))-1)),""))</f>
        <v/>
      </c>
      <c r="CW13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5" s="42">
        <f>IF(Tasks[[#This Row],[_Pred1Text]]="","",TRIM(MID(SUBSTITUTE(SUBSTITUTE(SUBSTITUTE(UPPER(Tasks[[#This Row],[_Predecessors]]),";",",")," ",""),",",REPT(" ",99)),100,99)))</f>
        <v/>
      </c>
      <c r="CZ135" s="42">
        <f>IF(Tasks[[#This Row],[_Pred2Text]]="","",IFERROR(VALUE(LEFT(Tasks[[#This Row],[_Pred2Text]],MIN(FIND("F",Tasks[[#This Row],[_Pred2Text]]&amp;"F"),FIND("S",Tasks[[#This Row],[_Pred2Text]]&amp;"S"),FIND("+",Tasks[[#This Row],[_Pred2Text]]&amp;"+"),FIND("-",Tasks[[#This Row],[_Pred2Text]]&amp;"-"))-1)),""))</f>
        <v/>
      </c>
      <c r="DA13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5" s="42">
        <f>IF(Tasks[[#This Row],[_Pred2Text]]="","",TRIM(MID(SUBSTITUTE(SUBSTITUTE(SUBSTITUTE(UPPER(Tasks[[#This Row],[_Predecessors]]),";",",")," ",""),",",REPT(" ",99)),199,99)))</f>
        <v/>
      </c>
      <c r="DD135" s="42">
        <f>IF(Tasks[[#This Row],[_Pred3Text]]="","",IFERROR(VALUE(LEFT(Tasks[[#This Row],[_Pred3Text]],MIN(FIND("F",Tasks[[#This Row],[_Pred3Text]]&amp;"F"),FIND("S",Tasks[[#This Row],[_Pred3Text]]&amp;"S"),FIND("+",Tasks[[#This Row],[_Pred3Text]]&amp;"+"),FIND("-",Tasks[[#This Row],[_Pred3Text]]&amp;"-"))-1)),""))</f>
        <v/>
      </c>
      <c r="DE13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5" s="42">
        <f>IF(Tasks[[#This Row],[_Pred3Text]]="","",TRIM(MID(SUBSTITUTE(SUBSTITUTE(SUBSTITUTE(UPPER(Tasks[[#This Row],[_Predecessors]]),";",",")," ",""),",",REPT(" ",99)),298,99)))</f>
        <v/>
      </c>
      <c r="DH135" s="42">
        <f>IF(Tasks[[#This Row],[_Pred4Text]]="","",IFERROR(VALUE(LEFT(Tasks[[#This Row],[_Pred4Text]],MIN(FIND("F",Tasks[[#This Row],[_Pred4Text]]&amp;"F"),FIND("S",Tasks[[#This Row],[_Pred4Text]]&amp;"S"),FIND("+",Tasks[[#This Row],[_Pred4Text]]&amp;"+"),FIND("-",Tasks[[#This Row],[_Pred4Text]]&amp;"-"))-1)),""))</f>
        <v/>
      </c>
      <c r="DI13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5" s="42">
        <f>IF(OR(Tasks[[#This Row],[Task Name]]="",Tasks[[#This Row],[_Resources]]=""),"",TRIM(MID(SUBSTITUTE(Tasks[[#This Row],[_Resources]],",",REPT(" ",99)),1,99)))</f>
        <v/>
      </c>
      <c r="DL135" s="42">
        <f>IF(Tasks[[#This Row],[_Res1Text]]="","",TRIM(MID(SUBSTITUTE(Tasks[[#This Row],[_Resources]],",",REPT(" ",99)),100,99)))</f>
        <v/>
      </c>
      <c r="DM135" s="42">
        <f>IF(Tasks[[#This Row],[_Res2Text]]="","",TRIM(MID(SUBSTITUTE(Tasks[[#This Row],[_Resources]],",",REPT(" ",99)),199,99)))</f>
        <v/>
      </c>
      <c r="DN135" s="42">
        <f>IF(Tasks[[#This Row],[_Res3Text]]="","",TRIM(MID(SUBSTITUTE(Tasks[[#This Row],[_Resources]],",",REPT(" ",99)),298,99)))</f>
        <v/>
      </c>
      <c r="DO135" s="42">
        <f>IF(Tasks[[#This Row],[_Res1Text]]="",0,IFERROR(MATCH(TRIM(LEFT(Tasks[[#This Row],[_Res1Text]],FIND("[",Tasks[[#This Row],[_Res1Text]]&amp;"[")-1)),res_Name,0),IFERROR(MATCH(TRIM(LEFT(Tasks[[#This Row],[_Res1Text]],FIND("[",Tasks[[#This Row],[_Res1Text]]&amp;"[")-1)),res_Initials,0),0)))</f>
        <v/>
      </c>
      <c r="DP135" s="42">
        <f>IF(Tasks[[#This Row],[_Res2Text]]="",0,IFERROR(MATCH(TRIM(LEFT(Tasks[[#This Row],[_Res2Text]],FIND("[",Tasks[[#This Row],[_Res2Text]]&amp;"[")-1)),res_Name,0),IFERROR(MATCH(TRIM(LEFT(Tasks[[#This Row],[_Res2Text]],FIND("[",Tasks[[#This Row],[_Res2Text]]&amp;"[")-1)),res_Initials,0),0)))</f>
        <v/>
      </c>
      <c r="DQ135" s="42">
        <f>IF(Tasks[[#This Row],[_Res3Text]]="",0,IFERROR(MATCH(TRIM(LEFT(Tasks[[#This Row],[_Res3Text]],FIND("[",Tasks[[#This Row],[_Res3Text]]&amp;"[")-1)),res_Name,0),IFERROR(MATCH(TRIM(LEFT(Tasks[[#This Row],[_Res3Text]],FIND("[",Tasks[[#This Row],[_Res3Text]]&amp;"[")-1)),res_Initials,0),0)))</f>
        <v/>
      </c>
      <c r="DR135" s="42">
        <f>IF(Tasks[[#This Row],[_Res4Text]]="",0,IFERROR(MATCH(TRIM(LEFT(Tasks[[#This Row],[_Res4Text]],FIND("[",Tasks[[#This Row],[_Res4Text]]&amp;"[")-1)),res_Name,0),IFERROR(MATCH(TRIM(LEFT(Tasks[[#This Row],[_Res4Text]],FIND("[",Tasks[[#This Row],[_Res4Text]]&amp;"[")-1)),res_Initials,0),0)))</f>
        <v/>
      </c>
      <c r="DS135" s="42">
        <f>IF(Tasks[[#This Row],[_Res1Text]]="","",IF(Tasks[[#This Row],[_Res1Row]]&gt;0,INDEX(res_Name,Tasks[[#This Row],[_Res1Row]]),TRIM(LEFT(Tasks[[#This Row],[_Res1Text]],FIND("[",Tasks[[#This Row],[_Res1Text]]&amp;"[")-1))))</f>
        <v/>
      </c>
      <c r="DT13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5" s="42">
        <f>IF(NOT(Tasks[[#This Row],[_IsLeaf]]=1),0,(Tasks[[#This Row],[_Resource1]]&lt;&gt;"")+(Tasks[[#This Row],[_Res2]]&lt;&gt;"")+(Tasks[[#This Row],[_Res3]]&lt;&gt;"")+(Tasks[[#This Row],[_Res4]]&lt;&gt;""))</f>
        <v/>
      </c>
      <c r="DV135" s="42">
        <f>IF(Tasks[[#This Row],[_Res2Text]]="","",IF(Tasks[[#This Row],[_Res2Row]]&gt;0,INDEX(res_Name,Tasks[[#This Row],[_Res2Row]]),TRIM(LEFT(Tasks[[#This Row],[_Res2Text]],FIND("[",Tasks[[#This Row],[_Res2Text]]&amp;"[")-1))))</f>
        <v/>
      </c>
      <c r="DW13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5" s="42">
        <f>IF(OR(NOT(Tasks[[#This Row],[_IsLeaf]]=1),Tasks[[#This Row],[_Res2Row]]=0),0,N(Tasks[[#This Row],[_Days]])*HoursPerDay*IF(Tasks[[#This Row],[_Res2Units]]="",DefaultUnits,Tasks[[#This Row],[_Res2Units]]))</f>
        <v/>
      </c>
      <c r="DY135" s="42">
        <f>IF(AND(AND(Tasks[[#This Row],[_IsLeaf]]=1,Tasks[[#This Row],[_LeafTotalWork]]&gt;0),Tasks[[#This Row],[_Res2Work]]&gt;0),Tasks[[#This Row],[_Res2Work]]/(Tasks[[#This Row],[_FinishWorkday]]-Tasks[[#This Row],[_StartWorkday]]+1),0)</f>
        <v/>
      </c>
      <c r="DZ135" s="42">
        <f>Tasks[[#This Row],[_Res2WorkPerWD]]*MAX(0,Tasks[[#This Row],[_StartWorkday]]-1)</f>
        <v/>
      </c>
      <c r="EA135" s="42">
        <f>Tasks[[#This Row],[_Res2Work]]*Tasks[[#This Row],[_LeafProgress]]</f>
        <v/>
      </c>
      <c r="EB135" s="42">
        <f>IF(Tasks[[#This Row],[_Res3Text]]="","",IF(Tasks[[#This Row],[_Res3Row]]&gt;0,INDEX(res_Name,Tasks[[#This Row],[_Res3Row]]),TRIM(LEFT(Tasks[[#This Row],[_Res3Text]],FIND("[",Tasks[[#This Row],[_Res3Text]]&amp;"[")-1))))</f>
        <v/>
      </c>
      <c r="EC13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5" s="42">
        <f>IF(OR(NOT(Tasks[[#This Row],[_IsLeaf]]=1),Tasks[[#This Row],[_Res3Row]]=0),0,N(Tasks[[#This Row],[_Days]])*HoursPerDay*IF(Tasks[[#This Row],[_Res3Units]]="",DefaultUnits,Tasks[[#This Row],[_Res3Units]]))</f>
        <v/>
      </c>
      <c r="EE135" s="42">
        <f>IF(AND(AND(Tasks[[#This Row],[_IsLeaf]]=1,Tasks[[#This Row],[_LeafTotalWork]]&gt;0),Tasks[[#This Row],[_Res3Work]]&gt;0),Tasks[[#This Row],[_Res3Work]]/(Tasks[[#This Row],[_FinishWorkday]]-Tasks[[#This Row],[_StartWorkday]]+1),0)</f>
        <v/>
      </c>
      <c r="EF135" s="42">
        <f>Tasks[[#This Row],[_Res3WorkPerWD]]*MAX(0,Tasks[[#This Row],[_StartWorkday]]-1)</f>
        <v/>
      </c>
      <c r="EG135" s="42">
        <f>Tasks[[#This Row],[_Res3Work]]*Tasks[[#This Row],[_LeafProgress]]</f>
        <v/>
      </c>
      <c r="EH135" s="42">
        <f>IF(Tasks[[#This Row],[_Res4Text]]="","",IF(Tasks[[#This Row],[_Res4Row]]&gt;0,INDEX(res_Name,Tasks[[#This Row],[_Res4Row]]),TRIM(LEFT(Tasks[[#This Row],[_Res4Text]],FIND("[",Tasks[[#This Row],[_Res4Text]]&amp;"[")-1))))</f>
        <v/>
      </c>
      <c r="EI13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5" s="42">
        <f>IF(OR(NOT(Tasks[[#This Row],[_IsLeaf]]=1),Tasks[[#This Row],[_Res4Row]]=0),0,N(Tasks[[#This Row],[_Days]])*HoursPerDay*IF(Tasks[[#This Row],[_Res4Units]]="",DefaultUnits,Tasks[[#This Row],[_Res4Units]]))</f>
        <v/>
      </c>
      <c r="EK135" s="42">
        <f>IF(AND(AND(Tasks[[#This Row],[_IsLeaf]]=1,Tasks[[#This Row],[_LeafTotalWork]]&gt;0),Tasks[[#This Row],[_Res4Work]]&gt;0),Tasks[[#This Row],[_Res4Work]]/(Tasks[[#This Row],[_FinishWorkday]]-Tasks[[#This Row],[_StartWorkday]]+1),0)</f>
        <v/>
      </c>
      <c r="EL135" s="42">
        <f>Tasks[[#This Row],[_Res4WorkPerWD]]*MAX(0,Tasks[[#This Row],[_StartWorkday]]-1)</f>
        <v/>
      </c>
      <c r="EM135" s="42">
        <f>Tasks[[#This Row],[_Res4Work]]*Tasks[[#This Row],[_LeafProgress]]</f>
        <v/>
      </c>
      <c r="EN135" s="42">
        <f>IF(ISNUMBER(Tasks[[#This Row],[% Complete]]),Tasks[[#This Row],[% Complete]],IF(Tasks[[#This Row],[Stage]]="",0,IFERROR(INDEX(stg_Pct,MATCH(Tasks[[#This Row],[Stage]],stg_Name,0)),0)))</f>
        <v/>
      </c>
      <c r="EO135" s="42">
        <f>IF(NOT(Tasks[[#This Row],[_IsLeaf]]=1),0,IF(N(Tasks[[#This Row],[Actual Finish]])&gt;0,1,MIN(1,Tasks[[#This Row],[_Pct]])))</f>
        <v/>
      </c>
      <c r="EP135" s="42">
        <f>IF(OR(NOT(Tasks[[#This Row],[_IsLeaf]]=1),Tasks[[#This Row],[_Res1Row]]=0),0,N(Tasks[[#This Row],[_Days]])*HoursPerDay*IF(Tasks[[#This Row],[_Units1]]="",DefaultUnits,Tasks[[#This Row],[_Units1]]))</f>
        <v/>
      </c>
      <c r="EQ135" s="42">
        <f>Tasks[[#This Row],[_LeafWork]]+Tasks[[#This Row],[_Res2Work]]+Tasks[[#This Row],[_Res3Work]]+Tasks[[#This Row],[_Res4Work]]</f>
        <v/>
      </c>
      <c r="ER13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5" s="42">
        <f>IF(NOT(Tasks[[#This Row],[_IsLeaf]]=1),0,MAX(_xlfn.MAXIFS(Tasks[_Row],Tasks[_Pred1UID],Tasks[[#This Row],[UID]]),_xlfn.MAXIFS(Tasks[_Row],Tasks[_Pred2UID],Tasks[[#This Row],[UID]]),_xlfn.MAXIFS(Tasks[_Row],Tasks[_Pred3UID],Tasks[[#This Row],[UID]]),_xlfn.MAXIFS(Tasks[_Row],Tasks[_Pred4UID],Tasks[[#This Row],[UID]])))</f>
        <v/>
      </c>
      <c r="FA13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5" s="88">
        <f>IF(NOT(Tasks[[#This Row],[_IsLeaf]]=1),"",IF(N(Tasks[[#This Row],[_Days]])&lt;=0,Tasks[[#This Row],[_LeafLateFinish]],WORKDAY.INTL(Tasks[[#This Row],[_LeafLateFinish]],-(Tasks[[#This Row],[_Days]]-1),WorkWeek,Holidays)))</f>
        <v/>
      </c>
      <c r="FD13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5" s="42">
        <f>AND(Tasks[[#This Row],[_IsLeaf]]=1,Tasks[[#This Row],[_LeafProgress]]&lt;1,N(Tasks[[#This Row],[_LeafTotalSlack]])&lt;=CriticalSlackDays)</f>
        <v/>
      </c>
      <c r="FF135" s="42">
        <f>IF(AND(Tasks[[#This Row],[_IsLeaf]]=1,Tasks[[#This Row],[_ConstraintCode]]=1,Tasks[[#This Row],[Mode]]&lt;&gt;"Manual",N(Tasks[[#This Row],[Actual Start]])=0),MAX(0,N(Tasks[[#This Row],[Free Slack]])),0)</f>
        <v/>
      </c>
      <c r="FG135" s="88">
        <f>IF(NOT(Tasks[[#This Row],[_IsLeaf]]=1),"",IF(Tasks[[#This Row],[_AlapShift]]=0,Tasks[[#This Row],[_LeafCalcStart]],WORKDAY.INTL(Tasks[[#This Row],[_LeafCalcStart]],Tasks[[#This Row],[_AlapShift]],WorkWeek,Holidays)))</f>
        <v/>
      </c>
      <c r="FH135" s="88">
        <f>IF(NOT(Tasks[[#This Row],[_IsLeaf]]=1),"",IF(Tasks[[#This Row],[_AlapShift]]=0,Tasks[[#This Row],[_LeafCalcFinish]],WORKDAY.INTL(Tasks[[#This Row],[_LeafCalcFinish]],Tasks[[#This Row],[_AlapShift]],WorkWeek,Holidays)))</f>
        <v/>
      </c>
      <c r="FI135" s="88">
        <f>IF(NOT(Tasks[[#This Row],[_IsLeaf]]=1),"",IF(Tasks[[#This Row],[_AlapShift]]=0,Tasks[[#This Row],[_LeafFcstStart]],WORKDAY.INTL(Tasks[[#This Row],[_LeafFcstStart]],Tasks[[#This Row],[_AlapShift]],WorkWeek,Holidays)))</f>
        <v/>
      </c>
      <c r="FJ135" s="88">
        <f>IF(NOT(Tasks[[#This Row],[_IsLeaf]]=1),"",IF(Tasks[[#This Row],[_AlapShift]]=0,Tasks[[#This Row],[_LeafFcstFinish]],WORKDAY.INTL(Tasks[[#This Row],[_LeafFcstFinish]],Tasks[[#This Row],[_AlapShift]],WorkWeek,Holidays)))</f>
        <v/>
      </c>
      <c r="FK135" s="88">
        <f>IF(Tasks[[#This Row],[Task Name]]="","",IF(Tasks[[#This Row],[_IsSummary]],MIN(INDEX(Tasks[_ShownCalcStart],Tasks[[#This Row],[_Row]]+1):INDEX(Tasks[_ShownCalcStart],Tasks[[#This Row],[_Row]]+Tasks[[#This Row],[_Descendants]])),Tasks[[#This Row],[_ShownCalcStart]]))</f>
        <v/>
      </c>
      <c r="FL135" s="88">
        <f>IF(Tasks[[#This Row],[Task Name]]="","",IF(Tasks[[#This Row],[_IsSummary]],MAX(INDEX(Tasks[_ShownCalcFinish],Tasks[[#This Row],[_Row]]+1):INDEX(Tasks[_ShownCalcFinish],Tasks[[#This Row],[_Row]]+Tasks[[#This Row],[_Descendants]])),Tasks[[#This Row],[_ShownCalcFinish]]))</f>
        <v/>
      </c>
      <c r="FM13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5" s="42">
        <f>IF(AND(Tasks[[#This Row],[_IsLeaf]]=1,Tasks[[#This Row],[_LeafTotalWork]]&gt;0),NETWORKDAYS.INTL(ProjectStart,Tasks[[#This Row],[_ShownFcstStart]],WorkWeek,Holidays),0)</f>
        <v/>
      </c>
      <c r="FZ135" s="42">
        <f>IF(AND(Tasks[[#This Row],[_IsLeaf]]=1,Tasks[[#This Row],[_LeafTotalWork]]&gt;0),MAX(Tasks[[#This Row],[_StartWorkday]],NETWORKDAYS.INTL(ProjectStart,Tasks[[#This Row],[_ShownFcstFinish]],WorkWeek,Holidays)),0)</f>
        <v/>
      </c>
      <c r="GA135" s="42">
        <f>IF(AND(Tasks[[#This Row],[_IsLeaf]]=1,Tasks[[#This Row],[_LeafTotalWork]]&gt;0),Tasks[[#This Row],[_LeafWork]]/(Tasks[[#This Row],[_FinishWorkday]]-Tasks[[#This Row],[_StartWorkday]]+1),0)</f>
        <v/>
      </c>
      <c r="GB135" s="42">
        <f>Tasks[[#This Row],[_WorkPerWorkday]]*(Tasks[[#This Row],[_StartWorkday]]-1)</f>
        <v/>
      </c>
      <c r="GC135" s="42">
        <f>IF(Tasks[[#This Row],[_IsLeaf]]=1,MAX(N(Tasks[[#This Row],[_Days]]),0.1),0)</f>
        <v/>
      </c>
      <c r="GD135" s="42">
        <f>Tasks[[#This Row],[_WeightDur]]*Tasks[[#This Row],[_LeafProgress]]</f>
        <v/>
      </c>
      <c r="GE135" s="42">
        <f>Tasks[[#This Row],[_WeightDur]]*Tasks[[#This Row],[_PlannedPct]]</f>
        <v/>
      </c>
      <c r="GF13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5" s="42">
        <f>IF(AND(Tasks[[#This Row],[_IsLeaf]]=1,N(Tasks[[#This Row],[_Days]])=0,Tasks[[#This Row],[_LeafProgress]]&lt;1),Tasks[[#This Row],[_ShownFcstFinish]]+Tasks[[#This Row],[_Row]]/100000,"")</f>
        <v/>
      </c>
      <c r="GH13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5" s="42">
        <f>IF(Tasks[[#This Row],[Task Name]]="","",LEFT(Tasks[[#This Row],[WBS]],FIND(".",Tasks[[#This Row],[WBS]]&amp;".")-1))</f>
        <v/>
      </c>
      <c r="GJ135" s="42">
        <f>IF(AND(Tasks[[#This Row],[Task Name]]&lt;&gt;"",Tasks[[#This Row],[_Level]]=1),Tasks[[#This Row],[_Row]],"")</f>
        <v/>
      </c>
      <c r="GK135" s="42">
        <f>IF(AND(Tasks[[#This Row],[_IsLeaf]]=1,N(Tasks[[#This Row],[_Days]])=0),Tasks[[#This Row],[Planned Finish]]+Tasks[[#This Row],[_Row]]/100000,"")</f>
        <v/>
      </c>
      <c r="GL135" s="42">
        <f>IF(AND(Tasks[[#This Row],[_IsLeaf]]=1,Tasks[[#This Row],[_LeafProgress]]&lt;1,OR(N(Tasks[[#This Row],[Finish Var]])&gt;0,Tasks[[#This Row],[Status]]="Late Start")),MAX(0,Tasks[[#This Row],[Finish Var]])+1-Tasks[[#This Row],[_Row]]/1000000,"")</f>
        <v/>
      </c>
      <c r="GM135" s="42">
        <f>IF(AND(Tasks[[#This Row],[_IsLeaf]]=1,N(Tasks[[#This Row],[Actual Start]])=0,Tasks[[#This Row],[_ShownFcstStart]]&gt;=StatusDate,Tasks[[#This Row],[_ShownFcstStart]]&lt;=LookaheadEnd),Tasks[[#This Row],[_ShownFcstStart]]+Tasks[[#This Row],[_Row]]/100000,"")</f>
        <v/>
      </c>
      <c r="GN135" s="42">
        <f>IF(AND(Tasks[[#This Row],[_IsLeaf]]=1,Tasks[[#This Row],[_LeafProgress]]&lt;1,Tasks[[#This Row],[_ShownFcstFinish]]&gt;=StatusDate,Tasks[[#This Row],[_ShownFcstFinish]]&lt;=LookaheadEnd),Tasks[[#This Row],[_ShownFcstFinish]]+Tasks[[#This Row],[_Row]]/100000,"")</f>
        <v/>
      </c>
      <c r="GO135" s="42">
        <f>IF(Tasks[[#This Row],[_LeafCritical]],Tasks[[#This Row],[_ShownFcstStart]]+Tasks[[#This Row],[_Row]]/100000,"")</f>
        <v/>
      </c>
      <c r="GP135" s="42">
        <f>Tasks[[#This Row],[_LeafWork]]*Tasks[[#This Row],[_LeafProgress]]</f>
        <v/>
      </c>
      <c r="GQ135" s="88">
        <f>IF(AND(Tasks[[#This Row],[_IsLeaf]]=1,Tasks[[#This Row],[_LeafProgress]]&gt;=1),IF(N(Tasks[[#This Row],[Actual Finish]])&gt;0,Tasks[[#This Row],[Actual Finish]],Tasks[[#This Row],[_ShownFcstFinish]]),"")</f>
        <v/>
      </c>
      <c r="GR135" s="42">
        <f>IF(Tasks[[#This Row],[_IsLeaf]]=1,N(Tasks[[#This Row],[Story Points]]),0)</f>
        <v/>
      </c>
      <c r="GS135" s="42">
        <f>""</f>
        <v/>
      </c>
      <c r="GT135" s="42">
        <f>IF(Tasks[[#This Row],[Task Name]]="",FALSE(),AND(Tasks[[#This Row],[_IsLeaf]]=1,N(Tasks[[#This Row],[_Days]])=0))</f>
        <v/>
      </c>
      <c r="GU135" s="88">
        <f>IF(Tasks[[#This Row],[Task Name]]="",0,IF(AND(Tasks[[#This Row],[_IsLeaf]]=1,NOT(Tasks[[#This Row],[_IsMilestone]]),N(Tasks[[#This Row],[Progress]])&gt;0),Tasks[[#This Row],[Start]],0))</f>
        <v/>
      </c>
      <c r="GV135" s="88">
        <f>IF(Tasks[[#This Row],[_DoneFrom]]=0,0,IF(Tasks[[#This Row],[Progress]]&gt;=1,Tasks[[#This Row],[Finish]],MAX(Tasks[[#This Row],[_DoneFrom]],Tasks[[#This Row],[Start]]+ROUND((Tasks[[#This Row],[Finish]]-Tasks[[#This Row],[Start]]+1)*Tasks[[#This Row],[Progress]],0)-1)))</f>
        <v/>
      </c>
      <c r="GW135" s="88">
        <f>IF(Tasks[[#This Row],[Task Name]]="",0,IF(OR(NOT(Tasks[[#This Row],[_IsLeaf]]=1),Tasks[[#This Row],[_IsMilestone]],N(Tasks[[#This Row],[Progress]])&gt;=1),0,IF(Tasks[[#This Row],[_DoneTo]]&gt;0,Tasks[[#This Row],[_DoneTo]]+1,Tasks[[#This Row],[Start]])))</f>
        <v/>
      </c>
      <c r="GX135" s="88">
        <f>IF(Tasks[[#This Row],[_RemFrom]]=0,0,Tasks[[#This Row],[Finish]])</f>
        <v/>
      </c>
      <c r="GY135" s="42">
        <f>IF(Tasks[[#This Row],[Task Name]]="",FALSE(),OR(NOT(BaselineSet),N(Tasks[[#This Row],[Baseline Start]])&gt;0))</f>
        <v/>
      </c>
      <c r="GZ135" s="42">
        <f>IF(AND(Sandbox="Yes",L_PARSE_DURATION(Tasks[[#This Row],[Sandbox Duration]])&lt;&gt;""),L_PARSE_DURATION(Tasks[[#This Row],[Sandbox Duration]]),L_PARSE_DURATION(Tasks[[#This Row],[Duration]]))</f>
        <v/>
      </c>
      <c r="HA13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5" s="42">
        <f>IF(Tasks[[#This Row],[_IsLeaf]]=1,Tasks[[#This Row],[_Row]],"")</f>
        <v/>
      </c>
      <c r="HD135" s="42">
        <f>IFERROR(INDEX(Tasks[UID],SMALL(Tasks[_PickKey],Tasks[[#This Row],[_Row]]))&amp;" "&amp;INDEX(Tasks[Task Name],SMALL(Tasks[_PickKey],Tasks[[#This Row],[_Row]])),"")</f>
        <v/>
      </c>
      <c r="HE135" s="42">
        <f>IF(Tasks[[#This Row],[Task Name]]="","",IF(Tasks[[#This Row],[_IsSummary]],NETWORKDAYS.INTL(Tasks[[#This Row],[Start]],Tasks[[#This Row],[Finish]],WorkWeek,Holidays),N(Tasks[[#This Row],[_Days]])))</f>
        <v/>
      </c>
      <c r="HF135" s="42">
        <f>IF(Tasks[[#This Row],[Expected]]="",0,((Tasks[[#This Row],[Pessimistic]]-Tasks[[#This Row],[Optimistic]])/6)^2)</f>
        <v/>
      </c>
      <c r="HG135" s="42">
        <f>IF(Tasks[[#This Row],[Expected]]="",0,Tasks[[#This Row],[Expected]]-N(Tasks[[#This Row],[_Days]]))</f>
        <v/>
      </c>
    </row>
    <row r="136">
      <c r="A136" s="21">
        <f>IF(Tasks[[#This Row],[Task Name]]="","",COUNTA(Tasks[[#Headers],[Task Name]]:Tasks[[#This Row],[Task Name]])-1)</f>
        <v/>
      </c>
      <c r="B136" s="22" t="n">
        <v>144</v>
      </c>
      <c r="C136" s="22" t="n"/>
      <c r="D136" s="23" t="n"/>
      <c r="E136" s="22" t="n"/>
      <c r="F136" s="23" t="n"/>
      <c r="G136" s="22" t="n"/>
      <c r="H136" s="22" t="n"/>
      <c r="I136" s="23" t="n"/>
      <c r="J136" s="22" t="n"/>
      <c r="K136" s="22" t="n"/>
      <c r="L136" s="23" t="n"/>
      <c r="M136" s="22" t="n"/>
      <c r="N136" s="22" t="n"/>
      <c r="O136" s="23" t="n"/>
      <c r="P136" s="22" t="n"/>
      <c r="Q136" s="22" t="n"/>
      <c r="R136" s="23" t="n"/>
      <c r="S136" s="23" t="n"/>
      <c r="T136" s="82" t="n"/>
      <c r="U136" s="23" t="n"/>
      <c r="V136" s="82" t="n"/>
      <c r="W136" s="23" t="n"/>
      <c r="X136" s="82" t="n"/>
      <c r="Y136" s="23" t="n"/>
      <c r="Z136" s="82" t="n"/>
      <c r="AA136" s="23" t="n"/>
      <c r="AB136" s="23" t="n"/>
      <c r="AC136" s="7" t="n"/>
      <c r="AD136" s="7" t="n"/>
      <c r="AE136" s="61">
        <f>IF(Tasks[[#This Row],[Task Name]]="","",IF(Tasks[[#This Row],[_IsSummary]],MIN(INDEX(Tasks[_ShownFcstStart],Tasks[[#This Row],[_Row]]+1):INDEX(Tasks[_ShownFcstStart],Tasks[[#This Row],[_Row]]+Tasks[[#This Row],[_Descendants]])),Tasks[[#This Row],[_ShownFcstStart]]))</f>
        <v/>
      </c>
      <c r="AF136" s="61">
        <f>IF(Tasks[[#This Row],[Task Name]]="","",IF(Tasks[[#This Row],[_IsSummary]],MAX(INDEX(Tasks[_ShownFcstFinish],Tasks[[#This Row],[_Row]]+1):INDEX(Tasks[_ShownFcstFinish],Tasks[[#This Row],[_Row]]+Tasks[[#This Row],[_Descendants]])),Tasks[[#This Row],[_ShownFcstFinish]]))</f>
        <v/>
      </c>
      <c r="AG136" s="21">
        <f>""</f>
        <v/>
      </c>
      <c r="AH136" s="23" t="n"/>
      <c r="AI13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6" s="7" t="n"/>
      <c r="AK136" s="22" t="n"/>
      <c r="AL136" s="23" t="n"/>
      <c r="AM136" s="7" t="n"/>
      <c r="AN136" s="21">
        <f>IF(Tasks[[#This Row],[Task Name]]="","",IF(Tasks[[#This Row],[Finish]]&gt;=Tasks[[#This Row],[Planned Finish]],NETWORKDAYS.INTL(Tasks[[#This Row],[Planned Finish]],Tasks[[#This Row],[Finish]],WorkWeek,Holidays)-1,1-NETWORKDAYS.INTL(Tasks[[#This Row],[Finish]],Tasks[[#This Row],[Planned Finish]],WorkWeek,Holidays)))</f>
        <v/>
      </c>
      <c r="AO136" s="21">
        <f>IF(Tasks[[#This Row],[Task Name]]="","",IF(Tasks[[#This Row],[Progress]]&gt;=1,"Complete",IF(OR(N(Tasks[[#This Row],[Actual Start]])&gt;0,Tasks[[#This Row],[Progress]]&gt;0),IF(Tasks[[#This Row],[Finish Var]]&gt;0,"Behind","In Progress"),IF(Tasks[[#This Row],[Planned Start]]&lt;StatusDate,"Late Start","Not Started"))))</f>
        <v/>
      </c>
      <c r="AP136" s="21">
        <f>IF(Tasks[[#This Row],[Task Name]]="","",IF(IF(Tasks[[#This Row],[_IsSummary]],COUNTIF(INDEX(Tasks[_LeafCritical],Tasks[[#This Row],[_Row]]+1):INDEX(Tasks[_LeafCritical],Tasks[[#This Row],[_Row]]+Tasks[[#This Row],[_Descendants]]),TRUE())&gt;0,Tasks[[#This Row],[_LeafCritical]]),"Yes",""))</f>
        <v/>
      </c>
      <c r="AQ136" s="61">
        <f>IF(Tasks[[#This Row],[Task Name]]="","",IF(N(Tasks[[#This Row],[Baseline Start]])&gt;0,Tasks[[#This Row],[Baseline Start]],Tasks[[#This Row],[_CalcStart]]))</f>
        <v/>
      </c>
      <c r="AR136" s="61">
        <f>IF(Tasks[[#This Row],[Task Name]]="","",IF(N(Tasks[[#This Row],[Baseline Finish]])&gt;0,Tasks[[#This Row],[Baseline Finish]],Tasks[[#This Row],[_CalcFinish]]))</f>
        <v/>
      </c>
      <c r="AS136" s="21">
        <f>IF(Tasks[[#This Row],[Task Name]]="","",IF(Tasks[[#This Row],[Start]]&gt;=Tasks[[#This Row],[Planned Start]],NETWORKDAYS.INTL(Tasks[[#This Row],[Planned Start]],Tasks[[#This Row],[Start]],WorkWeek,Holidays)-1,1-NETWORKDAYS.INTL(Tasks[[#This Row],[Start]],Tasks[[#This Row],[Planned Start]],WorkWeek,Holidays)))</f>
        <v/>
      </c>
      <c r="AT136" s="61">
        <f>IF(Tasks[[#This Row],[Task Name]]="","",IF(Tasks[[#This Row],[_IsSummary]],MIN(INDEX(Tasks[_LeafLateStart],Tasks[[#This Row],[_Row]]+1):INDEX(Tasks[_LeafLateStart],Tasks[[#This Row],[_Row]]+Tasks[[#This Row],[_Descendants]])),Tasks[[#This Row],[_LeafLateStart]]))</f>
        <v/>
      </c>
      <c r="AU136" s="61">
        <f>IF(Tasks[[#This Row],[Task Name]]="","",IF(Tasks[[#This Row],[_IsSummary]],MAX(INDEX(Tasks[_LeafLateFinish],Tasks[[#This Row],[_Row]]+1):INDEX(Tasks[_LeafLateFinish],Tasks[[#This Row],[_Row]]+Tasks[[#This Row],[_Descendants]])),Tasks[[#This Row],[_LeafLateFinish]]))</f>
        <v/>
      </c>
      <c r="AV136" s="21">
        <f>IF(Tasks[[#This Row],[Task Name]]="","",IF(Tasks[[#This Row],[_IsSummary]],MIN(INDEX(Tasks[_LeafTotalSlack],Tasks[[#This Row],[_Row]]+1):INDEX(Tasks[_LeafTotalSlack],Tasks[[#This Row],[_Row]]+Tasks[[#This Row],[_Descendants]])),Tasks[[#This Row],[_LeafTotalSlack]]))</f>
        <v/>
      </c>
      <c r="AW13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3" t="n"/>
      <c r="BA13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f>IF(Tasks[[#This Row],[Task Name]]="","",IF(Tasks[[#This Row],[_Level]]&lt;=OutlineShowLevel,"Yes","No"))</f>
        <v/>
      </c>
      <c r="BE136" s="84">
        <f>IF(Tasks[[#This Row],[Task Name]]="","",IF(Tasks[[#This Row],[_IsSummary]],SUM(INDEX(Tasks[_LeafTotalWork],Tasks[[#This Row],[_Row]]+1):INDEX(Tasks[_LeafTotalWork],Tasks[[#This Row],[_Row]]+Tasks[[#This Row],[_Descendants]])),Tasks[[#This Row],[_LeafTotalWork]]))</f>
        <v/>
      </c>
      <c r="BF136" s="23" t="n"/>
      <c r="BG13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f>""</f>
        <v/>
      </c>
      <c r="BI136" s="85" t="n"/>
      <c r="BJ136" s="22" t="n"/>
      <c r="BK136" s="21">
        <f>IF(OR(Tasks[[#This Row],[Task Name]]="",Tasks[[#This Row],[Baseline Duration]]=""),"",Tasks[[#This Row],[_SpanDays]]-N(Tasks[[#This Row],[Baseline Duration]]))</f>
        <v/>
      </c>
      <c r="BL136" s="84">
        <f>IF(OR(Tasks[[#This Row],[Task Name]]="",Tasks[[#This Row],[Baseline Work]]=""),"",Tasks[[#This Row],[Work]]-N(Tasks[[#This Row],[Baseline Work]]))</f>
        <v/>
      </c>
      <c r="BM136" s="61">
        <f>IF(Tasks[[#This Row],[Task Name]]="","",IF(OR(TakeBaseline="Yes",N(Tasks[[#This Row],[Baseline Start]])=0),Tasks[[#This Row],[Start]],Tasks[[#This Row],[Baseline Start]]))</f>
        <v/>
      </c>
      <c r="BN136" s="61">
        <f>IF(Tasks[[#This Row],[Task Name]]="","",IF(OR(TakeBaseline="Yes",N(Tasks[[#This Row],[Baseline Finish]])=0),Tasks[[#This Row],[Finish]],Tasks[[#This Row],[Baseline Finish]]))</f>
        <v/>
      </c>
      <c r="BO136" s="21">
        <f>IF(Tasks[[#This Row],[Task Name]]="","",IF(OR(TakeBaseline="Yes",N(Tasks[[#This Row],[Baseline Duration]])=0),Tasks[[#This Row],[_SpanDays]],Tasks[[#This Row],[Baseline Duration]]))</f>
        <v/>
      </c>
      <c r="BP136" s="84">
        <f>IF(Tasks[[#This Row],[Task Name]]="","",IF(OR(TakeBaseline="Yes",N(Tasks[[#This Row],[Baseline Work]])=0),Tasks[[#This Row],[Work]],Tasks[[#This Row],[Baseline Work]]))</f>
        <v/>
      </c>
      <c r="BQ136" s="7" t="n"/>
      <c r="BR136" s="7" t="n"/>
      <c r="BS136" s="22" t="n"/>
      <c r="BT136" s="86" t="n"/>
      <c r="BU136" s="23" t="n"/>
      <c r="BV136" s="23" t="n"/>
      <c r="BW136" s="23" t="n"/>
      <c r="BX136" s="87">
        <f>IF(AND(Tasks[[#This Row],[_IsLeaf]]=1,ISNUMBER(Tasks[[#This Row],[Optimistic]]),ISNUMBER(Tasks[[#This Row],[Pessimistic]])),ROUND((Tasks[[#This Row],[Optimistic]]+4*N(Tasks[[#This Row],[_Days]])+Tasks[[#This Row],[Pessimistic]])/6,1),"")</f>
        <v/>
      </c>
      <c r="BY136" s="85" t="n"/>
      <c r="BZ136" s="85" t="n"/>
      <c r="CA136" s="22" t="n"/>
      <c r="CB136" s="42">
        <f>IF(Tasks[[#This Row],[Task Name]]="","",MAX(1,N(Tasks[[#This Row],[Level]])))</f>
        <v/>
      </c>
      <c r="CC136" s="42">
        <f>ROW()-ROW(Tasks[[#Headers],[ID]])</f>
        <v/>
      </c>
      <c r="CD136" s="42">
        <f>IF(OR(Tasks[[#This Row],[Task Name]]="",Tasks[[#This Row],[_Level]]&lt;=1),0,IFERROR(LOOKUP(2,1/(Tasks[[#Headers],[_Level]]:Tasks[[#This Row],[_Level]]=Tasks[[#This Row],[_Level]]-1),ROW(Tasks[[#Headers],[_Level]]:Tasks[[#This Row],[_Level]])),0))</f>
        <v/>
      </c>
      <c r="CE136" s="42">
        <f>IFERROR(N(INDEX(Tasks[_Level],Tasks[[#This Row],[_Row]]+1)),0)</f>
        <v/>
      </c>
      <c r="CF136" s="42">
        <f>AND(Tasks[[#This Row],[Task Name]]&lt;&gt;"",Tasks[[#This Row],[_NextLevel]]&gt;Tasks[[#This Row],[_Level]])</f>
        <v/>
      </c>
      <c r="CG136" s="42">
        <f>IF(Tasks[[#This Row],[_IsSummary]],COUNTIF(Tasks[WBS],Tasks[[#This Row],[WBS]]&amp;".*"),0)</f>
        <v/>
      </c>
      <c r="CH136" s="42">
        <f>IF(AND(Tasks[[#This Row],[Task Name]]&lt;&gt;"",NOT(Tasks[[#This Row],[_IsSummary]])),1,0)</f>
        <v/>
      </c>
      <c r="CI136" s="42">
        <f>IF(N(Tasks[[#This Row],[_Pred1UID]])=0,0,IFERROR(MATCH(Tasks[[#This Row],[_Pred1UID]],Tasks[UID],0),-1))</f>
        <v/>
      </c>
      <c r="CJ136" s="42">
        <f>IF(N(Tasks[[#This Row],[_Pred2UID]])=0,0,IFERROR(MATCH(Tasks[[#This Row],[_Pred2UID]],Tasks[UID],0),-1))</f>
        <v/>
      </c>
      <c r="CK136" s="42">
        <f>IF(N(Tasks[[#This Row],[_Pred3UID]])=0,0,IFERROR(MATCH(Tasks[[#This Row],[_Pred3UID]],Tasks[UID],0),-1))</f>
        <v/>
      </c>
      <c r="CL136" s="42">
        <f>IF(N(Tasks[[#This Row],[_Pred4UID]])=0,0,IFERROR(MATCH(Tasks[[#This Row],[_Pred4UID]],Tasks[UID],0),-1))</f>
        <v/>
      </c>
      <c r="CM13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6" s="88">
        <f>IF(N(Tasks[[#This Row],[Constraint Date]])=0,0,IF(AND(OR(Tasks[[#This Row],[_ConstraintCode]]=3,Tasks[[#This Row],[_ConstraintCode]]=6,Tasks[[#This Row],[_ConstraintCode]]=7),N(Tasks[[#This Row],[_Days]])&gt;1),WORKDAY.INTL(N(Tasks[[#This Row],[Constraint Date]]),-(N(Tasks[[#This Row],[_Days]])-1),WorkWeek,Holidays),N(Tasks[[#This Row],[Constraint Date]])))</f>
        <v/>
      </c>
      <c r="CO136" s="88">
        <f>IF(OR(Tasks[[#This Row],[_ConstraintCode]]=2,Tasks[[#This Row],[_ConstraintCode]]=3,Tasks[[#This Row],[_ConstraintCode]]=4,Tasks[[#This Row],[_ConstraintCode]]=6),Tasks[[#This Row],[_ConstraintStart]],0)</f>
        <v/>
      </c>
      <c r="CP136" s="88">
        <f>IF(OR(Tasks[[#This Row],[_ConstraintCode]]=2,Tasks[[#This Row],[_ConstraintCode]]=3,Tasks[[#This Row],[_ConstraintCode]]=5,Tasks[[#This Row],[_ConstraintCode]]=7),Tasks[[#This Row],[_ConstraintStart]],2958465)</f>
        <v/>
      </c>
      <c r="CQ13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6" s="88">
        <f>IF(NOT(Tasks[[#This Row],[_IsLeaf]]=1),"",IF(N(Tasks[[#This Row],[_Days]])&lt;=0,Tasks[[#This Row],[_LeafCalcStart]],WORKDAY.INTL(Tasks[[#This Row],[_LeafCalcStart]],Tasks[[#This Row],[_Days]]-1,WorkWeek,Holidays)))</f>
        <v/>
      </c>
      <c r="CS13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6" s="42">
        <f>IF(Tasks[[#This Row],[_Predecessors]]="","",TRIM(MID(SUBSTITUTE(SUBSTITUTE(SUBSTITUTE(UPPER(Tasks[[#This Row],[_Predecessors]]),";",",")," ",""),",",REPT(" ",99)),1,99)))</f>
        <v/>
      </c>
      <c r="CV136" s="42">
        <f>IF(Tasks[[#This Row],[_Pred1Text]]="","",IFERROR(VALUE(LEFT(Tasks[[#This Row],[_Pred1Text]],MIN(FIND("F",Tasks[[#This Row],[_Pred1Text]]&amp;"F"),FIND("S",Tasks[[#This Row],[_Pred1Text]]&amp;"S"),FIND("+",Tasks[[#This Row],[_Pred1Text]]&amp;"+"),FIND("-",Tasks[[#This Row],[_Pred1Text]]&amp;"-"))-1)),""))</f>
        <v/>
      </c>
      <c r="CW13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6" s="42">
        <f>IF(Tasks[[#This Row],[_Pred1Text]]="","",TRIM(MID(SUBSTITUTE(SUBSTITUTE(SUBSTITUTE(UPPER(Tasks[[#This Row],[_Predecessors]]),";",",")," ",""),",",REPT(" ",99)),100,99)))</f>
        <v/>
      </c>
      <c r="CZ136" s="42">
        <f>IF(Tasks[[#This Row],[_Pred2Text]]="","",IFERROR(VALUE(LEFT(Tasks[[#This Row],[_Pred2Text]],MIN(FIND("F",Tasks[[#This Row],[_Pred2Text]]&amp;"F"),FIND("S",Tasks[[#This Row],[_Pred2Text]]&amp;"S"),FIND("+",Tasks[[#This Row],[_Pred2Text]]&amp;"+"),FIND("-",Tasks[[#This Row],[_Pred2Text]]&amp;"-"))-1)),""))</f>
        <v/>
      </c>
      <c r="DA13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6" s="42">
        <f>IF(Tasks[[#This Row],[_Pred2Text]]="","",TRIM(MID(SUBSTITUTE(SUBSTITUTE(SUBSTITUTE(UPPER(Tasks[[#This Row],[_Predecessors]]),";",",")," ",""),",",REPT(" ",99)),199,99)))</f>
        <v/>
      </c>
      <c r="DD136" s="42">
        <f>IF(Tasks[[#This Row],[_Pred3Text]]="","",IFERROR(VALUE(LEFT(Tasks[[#This Row],[_Pred3Text]],MIN(FIND("F",Tasks[[#This Row],[_Pred3Text]]&amp;"F"),FIND("S",Tasks[[#This Row],[_Pred3Text]]&amp;"S"),FIND("+",Tasks[[#This Row],[_Pred3Text]]&amp;"+"),FIND("-",Tasks[[#This Row],[_Pred3Text]]&amp;"-"))-1)),""))</f>
        <v/>
      </c>
      <c r="DE13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6" s="42">
        <f>IF(Tasks[[#This Row],[_Pred3Text]]="","",TRIM(MID(SUBSTITUTE(SUBSTITUTE(SUBSTITUTE(UPPER(Tasks[[#This Row],[_Predecessors]]),";",",")," ",""),",",REPT(" ",99)),298,99)))</f>
        <v/>
      </c>
      <c r="DH136" s="42">
        <f>IF(Tasks[[#This Row],[_Pred4Text]]="","",IFERROR(VALUE(LEFT(Tasks[[#This Row],[_Pred4Text]],MIN(FIND("F",Tasks[[#This Row],[_Pred4Text]]&amp;"F"),FIND("S",Tasks[[#This Row],[_Pred4Text]]&amp;"S"),FIND("+",Tasks[[#This Row],[_Pred4Text]]&amp;"+"),FIND("-",Tasks[[#This Row],[_Pred4Text]]&amp;"-"))-1)),""))</f>
        <v/>
      </c>
      <c r="DI13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6" s="42">
        <f>IF(OR(Tasks[[#This Row],[Task Name]]="",Tasks[[#This Row],[_Resources]]=""),"",TRIM(MID(SUBSTITUTE(Tasks[[#This Row],[_Resources]],",",REPT(" ",99)),1,99)))</f>
        <v/>
      </c>
      <c r="DL136" s="42">
        <f>IF(Tasks[[#This Row],[_Res1Text]]="","",TRIM(MID(SUBSTITUTE(Tasks[[#This Row],[_Resources]],",",REPT(" ",99)),100,99)))</f>
        <v/>
      </c>
      <c r="DM136" s="42">
        <f>IF(Tasks[[#This Row],[_Res2Text]]="","",TRIM(MID(SUBSTITUTE(Tasks[[#This Row],[_Resources]],",",REPT(" ",99)),199,99)))</f>
        <v/>
      </c>
      <c r="DN136" s="42">
        <f>IF(Tasks[[#This Row],[_Res3Text]]="","",TRIM(MID(SUBSTITUTE(Tasks[[#This Row],[_Resources]],",",REPT(" ",99)),298,99)))</f>
        <v/>
      </c>
      <c r="DO136" s="42">
        <f>IF(Tasks[[#This Row],[_Res1Text]]="",0,IFERROR(MATCH(TRIM(LEFT(Tasks[[#This Row],[_Res1Text]],FIND("[",Tasks[[#This Row],[_Res1Text]]&amp;"[")-1)),res_Name,0),IFERROR(MATCH(TRIM(LEFT(Tasks[[#This Row],[_Res1Text]],FIND("[",Tasks[[#This Row],[_Res1Text]]&amp;"[")-1)),res_Initials,0),0)))</f>
        <v/>
      </c>
      <c r="DP136" s="42">
        <f>IF(Tasks[[#This Row],[_Res2Text]]="",0,IFERROR(MATCH(TRIM(LEFT(Tasks[[#This Row],[_Res2Text]],FIND("[",Tasks[[#This Row],[_Res2Text]]&amp;"[")-1)),res_Name,0),IFERROR(MATCH(TRIM(LEFT(Tasks[[#This Row],[_Res2Text]],FIND("[",Tasks[[#This Row],[_Res2Text]]&amp;"[")-1)),res_Initials,0),0)))</f>
        <v/>
      </c>
      <c r="DQ136" s="42">
        <f>IF(Tasks[[#This Row],[_Res3Text]]="",0,IFERROR(MATCH(TRIM(LEFT(Tasks[[#This Row],[_Res3Text]],FIND("[",Tasks[[#This Row],[_Res3Text]]&amp;"[")-1)),res_Name,0),IFERROR(MATCH(TRIM(LEFT(Tasks[[#This Row],[_Res3Text]],FIND("[",Tasks[[#This Row],[_Res3Text]]&amp;"[")-1)),res_Initials,0),0)))</f>
        <v/>
      </c>
      <c r="DR136" s="42">
        <f>IF(Tasks[[#This Row],[_Res4Text]]="",0,IFERROR(MATCH(TRIM(LEFT(Tasks[[#This Row],[_Res4Text]],FIND("[",Tasks[[#This Row],[_Res4Text]]&amp;"[")-1)),res_Name,0),IFERROR(MATCH(TRIM(LEFT(Tasks[[#This Row],[_Res4Text]],FIND("[",Tasks[[#This Row],[_Res4Text]]&amp;"[")-1)),res_Initials,0),0)))</f>
        <v/>
      </c>
      <c r="DS136" s="42">
        <f>IF(Tasks[[#This Row],[_Res1Text]]="","",IF(Tasks[[#This Row],[_Res1Row]]&gt;0,INDEX(res_Name,Tasks[[#This Row],[_Res1Row]]),TRIM(LEFT(Tasks[[#This Row],[_Res1Text]],FIND("[",Tasks[[#This Row],[_Res1Text]]&amp;"[")-1))))</f>
        <v/>
      </c>
      <c r="DT13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6" s="42">
        <f>IF(NOT(Tasks[[#This Row],[_IsLeaf]]=1),0,(Tasks[[#This Row],[_Resource1]]&lt;&gt;"")+(Tasks[[#This Row],[_Res2]]&lt;&gt;"")+(Tasks[[#This Row],[_Res3]]&lt;&gt;"")+(Tasks[[#This Row],[_Res4]]&lt;&gt;""))</f>
        <v/>
      </c>
      <c r="DV136" s="42">
        <f>IF(Tasks[[#This Row],[_Res2Text]]="","",IF(Tasks[[#This Row],[_Res2Row]]&gt;0,INDEX(res_Name,Tasks[[#This Row],[_Res2Row]]),TRIM(LEFT(Tasks[[#This Row],[_Res2Text]],FIND("[",Tasks[[#This Row],[_Res2Text]]&amp;"[")-1))))</f>
        <v/>
      </c>
      <c r="DW13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6" s="42">
        <f>IF(OR(NOT(Tasks[[#This Row],[_IsLeaf]]=1),Tasks[[#This Row],[_Res2Row]]=0),0,N(Tasks[[#This Row],[_Days]])*HoursPerDay*IF(Tasks[[#This Row],[_Res2Units]]="",DefaultUnits,Tasks[[#This Row],[_Res2Units]]))</f>
        <v/>
      </c>
      <c r="DY136" s="42">
        <f>IF(AND(AND(Tasks[[#This Row],[_IsLeaf]]=1,Tasks[[#This Row],[_LeafTotalWork]]&gt;0),Tasks[[#This Row],[_Res2Work]]&gt;0),Tasks[[#This Row],[_Res2Work]]/(Tasks[[#This Row],[_FinishWorkday]]-Tasks[[#This Row],[_StartWorkday]]+1),0)</f>
        <v/>
      </c>
      <c r="DZ136" s="42">
        <f>Tasks[[#This Row],[_Res2WorkPerWD]]*MAX(0,Tasks[[#This Row],[_StartWorkday]]-1)</f>
        <v/>
      </c>
      <c r="EA136" s="42">
        <f>Tasks[[#This Row],[_Res2Work]]*Tasks[[#This Row],[_LeafProgress]]</f>
        <v/>
      </c>
      <c r="EB136" s="42">
        <f>IF(Tasks[[#This Row],[_Res3Text]]="","",IF(Tasks[[#This Row],[_Res3Row]]&gt;0,INDEX(res_Name,Tasks[[#This Row],[_Res3Row]]),TRIM(LEFT(Tasks[[#This Row],[_Res3Text]],FIND("[",Tasks[[#This Row],[_Res3Text]]&amp;"[")-1))))</f>
        <v/>
      </c>
      <c r="EC13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6" s="42">
        <f>IF(OR(NOT(Tasks[[#This Row],[_IsLeaf]]=1),Tasks[[#This Row],[_Res3Row]]=0),0,N(Tasks[[#This Row],[_Days]])*HoursPerDay*IF(Tasks[[#This Row],[_Res3Units]]="",DefaultUnits,Tasks[[#This Row],[_Res3Units]]))</f>
        <v/>
      </c>
      <c r="EE136" s="42">
        <f>IF(AND(AND(Tasks[[#This Row],[_IsLeaf]]=1,Tasks[[#This Row],[_LeafTotalWork]]&gt;0),Tasks[[#This Row],[_Res3Work]]&gt;0),Tasks[[#This Row],[_Res3Work]]/(Tasks[[#This Row],[_FinishWorkday]]-Tasks[[#This Row],[_StartWorkday]]+1),0)</f>
        <v/>
      </c>
      <c r="EF136" s="42">
        <f>Tasks[[#This Row],[_Res3WorkPerWD]]*MAX(0,Tasks[[#This Row],[_StartWorkday]]-1)</f>
        <v/>
      </c>
      <c r="EG136" s="42">
        <f>Tasks[[#This Row],[_Res3Work]]*Tasks[[#This Row],[_LeafProgress]]</f>
        <v/>
      </c>
      <c r="EH136" s="42">
        <f>IF(Tasks[[#This Row],[_Res4Text]]="","",IF(Tasks[[#This Row],[_Res4Row]]&gt;0,INDEX(res_Name,Tasks[[#This Row],[_Res4Row]]),TRIM(LEFT(Tasks[[#This Row],[_Res4Text]],FIND("[",Tasks[[#This Row],[_Res4Text]]&amp;"[")-1))))</f>
        <v/>
      </c>
      <c r="EI13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6" s="42">
        <f>IF(OR(NOT(Tasks[[#This Row],[_IsLeaf]]=1),Tasks[[#This Row],[_Res4Row]]=0),0,N(Tasks[[#This Row],[_Days]])*HoursPerDay*IF(Tasks[[#This Row],[_Res4Units]]="",DefaultUnits,Tasks[[#This Row],[_Res4Units]]))</f>
        <v/>
      </c>
      <c r="EK136" s="42">
        <f>IF(AND(AND(Tasks[[#This Row],[_IsLeaf]]=1,Tasks[[#This Row],[_LeafTotalWork]]&gt;0),Tasks[[#This Row],[_Res4Work]]&gt;0),Tasks[[#This Row],[_Res4Work]]/(Tasks[[#This Row],[_FinishWorkday]]-Tasks[[#This Row],[_StartWorkday]]+1),0)</f>
        <v/>
      </c>
      <c r="EL136" s="42">
        <f>Tasks[[#This Row],[_Res4WorkPerWD]]*MAX(0,Tasks[[#This Row],[_StartWorkday]]-1)</f>
        <v/>
      </c>
      <c r="EM136" s="42">
        <f>Tasks[[#This Row],[_Res4Work]]*Tasks[[#This Row],[_LeafProgress]]</f>
        <v/>
      </c>
      <c r="EN136" s="42">
        <f>IF(ISNUMBER(Tasks[[#This Row],[% Complete]]),Tasks[[#This Row],[% Complete]],IF(Tasks[[#This Row],[Stage]]="",0,IFERROR(INDEX(stg_Pct,MATCH(Tasks[[#This Row],[Stage]],stg_Name,0)),0)))</f>
        <v/>
      </c>
      <c r="EO136" s="42">
        <f>IF(NOT(Tasks[[#This Row],[_IsLeaf]]=1),0,IF(N(Tasks[[#This Row],[Actual Finish]])&gt;0,1,MIN(1,Tasks[[#This Row],[_Pct]])))</f>
        <v/>
      </c>
      <c r="EP136" s="42">
        <f>IF(OR(NOT(Tasks[[#This Row],[_IsLeaf]]=1),Tasks[[#This Row],[_Res1Row]]=0),0,N(Tasks[[#This Row],[_Days]])*HoursPerDay*IF(Tasks[[#This Row],[_Units1]]="",DefaultUnits,Tasks[[#This Row],[_Units1]]))</f>
        <v/>
      </c>
      <c r="EQ136" s="42">
        <f>Tasks[[#This Row],[_LeafWork]]+Tasks[[#This Row],[_Res2Work]]+Tasks[[#This Row],[_Res3Work]]+Tasks[[#This Row],[_Res4Work]]</f>
        <v/>
      </c>
      <c r="ER13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6" s="42">
        <f>IF(NOT(Tasks[[#This Row],[_IsLeaf]]=1),0,MAX(_xlfn.MAXIFS(Tasks[_Row],Tasks[_Pred1UID],Tasks[[#This Row],[UID]]),_xlfn.MAXIFS(Tasks[_Row],Tasks[_Pred2UID],Tasks[[#This Row],[UID]]),_xlfn.MAXIFS(Tasks[_Row],Tasks[_Pred3UID],Tasks[[#This Row],[UID]]),_xlfn.MAXIFS(Tasks[_Row],Tasks[_Pred4UID],Tasks[[#This Row],[UID]])))</f>
        <v/>
      </c>
      <c r="FA13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6" s="88">
        <f>IF(NOT(Tasks[[#This Row],[_IsLeaf]]=1),"",IF(N(Tasks[[#This Row],[_Days]])&lt;=0,Tasks[[#This Row],[_LeafLateFinish]],WORKDAY.INTL(Tasks[[#This Row],[_LeafLateFinish]],-(Tasks[[#This Row],[_Days]]-1),WorkWeek,Holidays)))</f>
        <v/>
      </c>
      <c r="FD13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6" s="42">
        <f>AND(Tasks[[#This Row],[_IsLeaf]]=1,Tasks[[#This Row],[_LeafProgress]]&lt;1,N(Tasks[[#This Row],[_LeafTotalSlack]])&lt;=CriticalSlackDays)</f>
        <v/>
      </c>
      <c r="FF136" s="42">
        <f>IF(AND(Tasks[[#This Row],[_IsLeaf]]=1,Tasks[[#This Row],[_ConstraintCode]]=1,Tasks[[#This Row],[Mode]]&lt;&gt;"Manual",N(Tasks[[#This Row],[Actual Start]])=0),MAX(0,N(Tasks[[#This Row],[Free Slack]])),0)</f>
        <v/>
      </c>
      <c r="FG136" s="88">
        <f>IF(NOT(Tasks[[#This Row],[_IsLeaf]]=1),"",IF(Tasks[[#This Row],[_AlapShift]]=0,Tasks[[#This Row],[_LeafCalcStart]],WORKDAY.INTL(Tasks[[#This Row],[_LeafCalcStart]],Tasks[[#This Row],[_AlapShift]],WorkWeek,Holidays)))</f>
        <v/>
      </c>
      <c r="FH136" s="88">
        <f>IF(NOT(Tasks[[#This Row],[_IsLeaf]]=1),"",IF(Tasks[[#This Row],[_AlapShift]]=0,Tasks[[#This Row],[_LeafCalcFinish]],WORKDAY.INTL(Tasks[[#This Row],[_LeafCalcFinish]],Tasks[[#This Row],[_AlapShift]],WorkWeek,Holidays)))</f>
        <v/>
      </c>
      <c r="FI136" s="88">
        <f>IF(NOT(Tasks[[#This Row],[_IsLeaf]]=1),"",IF(Tasks[[#This Row],[_AlapShift]]=0,Tasks[[#This Row],[_LeafFcstStart]],WORKDAY.INTL(Tasks[[#This Row],[_LeafFcstStart]],Tasks[[#This Row],[_AlapShift]],WorkWeek,Holidays)))</f>
        <v/>
      </c>
      <c r="FJ136" s="88">
        <f>IF(NOT(Tasks[[#This Row],[_IsLeaf]]=1),"",IF(Tasks[[#This Row],[_AlapShift]]=0,Tasks[[#This Row],[_LeafFcstFinish]],WORKDAY.INTL(Tasks[[#This Row],[_LeafFcstFinish]],Tasks[[#This Row],[_AlapShift]],WorkWeek,Holidays)))</f>
        <v/>
      </c>
      <c r="FK136" s="88">
        <f>IF(Tasks[[#This Row],[Task Name]]="","",IF(Tasks[[#This Row],[_IsSummary]],MIN(INDEX(Tasks[_ShownCalcStart],Tasks[[#This Row],[_Row]]+1):INDEX(Tasks[_ShownCalcStart],Tasks[[#This Row],[_Row]]+Tasks[[#This Row],[_Descendants]])),Tasks[[#This Row],[_ShownCalcStart]]))</f>
        <v/>
      </c>
      <c r="FL136" s="88">
        <f>IF(Tasks[[#This Row],[Task Name]]="","",IF(Tasks[[#This Row],[_IsSummary]],MAX(INDEX(Tasks[_ShownCalcFinish],Tasks[[#This Row],[_Row]]+1):INDEX(Tasks[_ShownCalcFinish],Tasks[[#This Row],[_Row]]+Tasks[[#This Row],[_Descendants]])),Tasks[[#This Row],[_ShownCalcFinish]]))</f>
        <v/>
      </c>
      <c r="FM13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6" s="42">
        <f>IF(AND(Tasks[[#This Row],[_IsLeaf]]=1,Tasks[[#This Row],[_LeafTotalWork]]&gt;0),NETWORKDAYS.INTL(ProjectStart,Tasks[[#This Row],[_ShownFcstStart]],WorkWeek,Holidays),0)</f>
        <v/>
      </c>
      <c r="FZ136" s="42">
        <f>IF(AND(Tasks[[#This Row],[_IsLeaf]]=1,Tasks[[#This Row],[_LeafTotalWork]]&gt;0),MAX(Tasks[[#This Row],[_StartWorkday]],NETWORKDAYS.INTL(ProjectStart,Tasks[[#This Row],[_ShownFcstFinish]],WorkWeek,Holidays)),0)</f>
        <v/>
      </c>
      <c r="GA136" s="42">
        <f>IF(AND(Tasks[[#This Row],[_IsLeaf]]=1,Tasks[[#This Row],[_LeafTotalWork]]&gt;0),Tasks[[#This Row],[_LeafWork]]/(Tasks[[#This Row],[_FinishWorkday]]-Tasks[[#This Row],[_StartWorkday]]+1),0)</f>
        <v/>
      </c>
      <c r="GB136" s="42">
        <f>Tasks[[#This Row],[_WorkPerWorkday]]*(Tasks[[#This Row],[_StartWorkday]]-1)</f>
        <v/>
      </c>
      <c r="GC136" s="42">
        <f>IF(Tasks[[#This Row],[_IsLeaf]]=1,MAX(N(Tasks[[#This Row],[_Days]]),0.1),0)</f>
        <v/>
      </c>
      <c r="GD136" s="42">
        <f>Tasks[[#This Row],[_WeightDur]]*Tasks[[#This Row],[_LeafProgress]]</f>
        <v/>
      </c>
      <c r="GE136" s="42">
        <f>Tasks[[#This Row],[_WeightDur]]*Tasks[[#This Row],[_PlannedPct]]</f>
        <v/>
      </c>
      <c r="GF13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6" s="42">
        <f>IF(AND(Tasks[[#This Row],[_IsLeaf]]=1,N(Tasks[[#This Row],[_Days]])=0,Tasks[[#This Row],[_LeafProgress]]&lt;1),Tasks[[#This Row],[_ShownFcstFinish]]+Tasks[[#This Row],[_Row]]/100000,"")</f>
        <v/>
      </c>
      <c r="GH13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6" s="42">
        <f>IF(Tasks[[#This Row],[Task Name]]="","",LEFT(Tasks[[#This Row],[WBS]],FIND(".",Tasks[[#This Row],[WBS]]&amp;".")-1))</f>
        <v/>
      </c>
      <c r="GJ136" s="42">
        <f>IF(AND(Tasks[[#This Row],[Task Name]]&lt;&gt;"",Tasks[[#This Row],[_Level]]=1),Tasks[[#This Row],[_Row]],"")</f>
        <v/>
      </c>
      <c r="GK136" s="42">
        <f>IF(AND(Tasks[[#This Row],[_IsLeaf]]=1,N(Tasks[[#This Row],[_Days]])=0),Tasks[[#This Row],[Planned Finish]]+Tasks[[#This Row],[_Row]]/100000,"")</f>
        <v/>
      </c>
      <c r="GL136" s="42">
        <f>IF(AND(Tasks[[#This Row],[_IsLeaf]]=1,Tasks[[#This Row],[_LeafProgress]]&lt;1,OR(N(Tasks[[#This Row],[Finish Var]])&gt;0,Tasks[[#This Row],[Status]]="Late Start")),MAX(0,Tasks[[#This Row],[Finish Var]])+1-Tasks[[#This Row],[_Row]]/1000000,"")</f>
        <v/>
      </c>
      <c r="GM136" s="42">
        <f>IF(AND(Tasks[[#This Row],[_IsLeaf]]=1,N(Tasks[[#This Row],[Actual Start]])=0,Tasks[[#This Row],[_ShownFcstStart]]&gt;=StatusDate,Tasks[[#This Row],[_ShownFcstStart]]&lt;=LookaheadEnd),Tasks[[#This Row],[_ShownFcstStart]]+Tasks[[#This Row],[_Row]]/100000,"")</f>
        <v/>
      </c>
      <c r="GN136" s="42">
        <f>IF(AND(Tasks[[#This Row],[_IsLeaf]]=1,Tasks[[#This Row],[_LeafProgress]]&lt;1,Tasks[[#This Row],[_ShownFcstFinish]]&gt;=StatusDate,Tasks[[#This Row],[_ShownFcstFinish]]&lt;=LookaheadEnd),Tasks[[#This Row],[_ShownFcstFinish]]+Tasks[[#This Row],[_Row]]/100000,"")</f>
        <v/>
      </c>
      <c r="GO136" s="42">
        <f>IF(Tasks[[#This Row],[_LeafCritical]],Tasks[[#This Row],[_ShownFcstStart]]+Tasks[[#This Row],[_Row]]/100000,"")</f>
        <v/>
      </c>
      <c r="GP136" s="42">
        <f>Tasks[[#This Row],[_LeafWork]]*Tasks[[#This Row],[_LeafProgress]]</f>
        <v/>
      </c>
      <c r="GQ136" s="88">
        <f>IF(AND(Tasks[[#This Row],[_IsLeaf]]=1,Tasks[[#This Row],[_LeafProgress]]&gt;=1),IF(N(Tasks[[#This Row],[Actual Finish]])&gt;0,Tasks[[#This Row],[Actual Finish]],Tasks[[#This Row],[_ShownFcstFinish]]),"")</f>
        <v/>
      </c>
      <c r="GR136" s="42">
        <f>IF(Tasks[[#This Row],[_IsLeaf]]=1,N(Tasks[[#This Row],[Story Points]]),0)</f>
        <v/>
      </c>
      <c r="GS136" s="42">
        <f>""</f>
        <v/>
      </c>
      <c r="GT136" s="42">
        <f>IF(Tasks[[#This Row],[Task Name]]="",FALSE(),AND(Tasks[[#This Row],[_IsLeaf]]=1,N(Tasks[[#This Row],[_Days]])=0))</f>
        <v/>
      </c>
      <c r="GU136" s="88">
        <f>IF(Tasks[[#This Row],[Task Name]]="",0,IF(AND(Tasks[[#This Row],[_IsLeaf]]=1,NOT(Tasks[[#This Row],[_IsMilestone]]),N(Tasks[[#This Row],[Progress]])&gt;0),Tasks[[#This Row],[Start]],0))</f>
        <v/>
      </c>
      <c r="GV136" s="88">
        <f>IF(Tasks[[#This Row],[_DoneFrom]]=0,0,IF(Tasks[[#This Row],[Progress]]&gt;=1,Tasks[[#This Row],[Finish]],MAX(Tasks[[#This Row],[_DoneFrom]],Tasks[[#This Row],[Start]]+ROUND((Tasks[[#This Row],[Finish]]-Tasks[[#This Row],[Start]]+1)*Tasks[[#This Row],[Progress]],0)-1)))</f>
        <v/>
      </c>
      <c r="GW136" s="88">
        <f>IF(Tasks[[#This Row],[Task Name]]="",0,IF(OR(NOT(Tasks[[#This Row],[_IsLeaf]]=1),Tasks[[#This Row],[_IsMilestone]],N(Tasks[[#This Row],[Progress]])&gt;=1),0,IF(Tasks[[#This Row],[_DoneTo]]&gt;0,Tasks[[#This Row],[_DoneTo]]+1,Tasks[[#This Row],[Start]])))</f>
        <v/>
      </c>
      <c r="GX136" s="88">
        <f>IF(Tasks[[#This Row],[_RemFrom]]=0,0,Tasks[[#This Row],[Finish]])</f>
        <v/>
      </c>
      <c r="GY136" s="42">
        <f>IF(Tasks[[#This Row],[Task Name]]="",FALSE(),OR(NOT(BaselineSet),N(Tasks[[#This Row],[Baseline Start]])&gt;0))</f>
        <v/>
      </c>
      <c r="GZ136" s="42">
        <f>IF(AND(Sandbox="Yes",L_PARSE_DURATION(Tasks[[#This Row],[Sandbox Duration]])&lt;&gt;""),L_PARSE_DURATION(Tasks[[#This Row],[Sandbox Duration]]),L_PARSE_DURATION(Tasks[[#This Row],[Duration]]))</f>
        <v/>
      </c>
      <c r="HA13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6" s="42">
        <f>IF(Tasks[[#This Row],[_IsLeaf]]=1,Tasks[[#This Row],[_Row]],"")</f>
        <v/>
      </c>
      <c r="HD136" s="42">
        <f>IFERROR(INDEX(Tasks[UID],SMALL(Tasks[_PickKey],Tasks[[#This Row],[_Row]]))&amp;" "&amp;INDEX(Tasks[Task Name],SMALL(Tasks[_PickKey],Tasks[[#This Row],[_Row]])),"")</f>
        <v/>
      </c>
      <c r="HE136" s="42">
        <f>IF(Tasks[[#This Row],[Task Name]]="","",IF(Tasks[[#This Row],[_IsSummary]],NETWORKDAYS.INTL(Tasks[[#This Row],[Start]],Tasks[[#This Row],[Finish]],WorkWeek,Holidays),N(Tasks[[#This Row],[_Days]])))</f>
        <v/>
      </c>
      <c r="HF136" s="42">
        <f>IF(Tasks[[#This Row],[Expected]]="",0,((Tasks[[#This Row],[Pessimistic]]-Tasks[[#This Row],[Optimistic]])/6)^2)</f>
        <v/>
      </c>
      <c r="HG136" s="42">
        <f>IF(Tasks[[#This Row],[Expected]]="",0,Tasks[[#This Row],[Expected]]-N(Tasks[[#This Row],[_Days]]))</f>
        <v/>
      </c>
    </row>
    <row r="137">
      <c r="A137" s="21">
        <f>IF(Tasks[[#This Row],[Task Name]]="","",COUNTA(Tasks[[#Headers],[Task Name]]:Tasks[[#This Row],[Task Name]])-1)</f>
        <v/>
      </c>
      <c r="B137" s="22" t="n">
        <v>145</v>
      </c>
      <c r="C137" s="22" t="n"/>
      <c r="D137" s="23" t="n"/>
      <c r="E137" s="22" t="n"/>
      <c r="F137" s="23" t="n"/>
      <c r="G137" s="22" t="n"/>
      <c r="H137" s="22" t="n"/>
      <c r="I137" s="23" t="n"/>
      <c r="J137" s="22" t="n"/>
      <c r="K137" s="22" t="n"/>
      <c r="L137" s="23" t="n"/>
      <c r="M137" s="22" t="n"/>
      <c r="N137" s="22" t="n"/>
      <c r="O137" s="23" t="n"/>
      <c r="P137" s="22" t="n"/>
      <c r="Q137" s="22" t="n"/>
      <c r="R137" s="23" t="n"/>
      <c r="S137" s="23" t="n"/>
      <c r="T137" s="82" t="n"/>
      <c r="U137" s="23" t="n"/>
      <c r="V137" s="82" t="n"/>
      <c r="W137" s="23" t="n"/>
      <c r="X137" s="82" t="n"/>
      <c r="Y137" s="23" t="n"/>
      <c r="Z137" s="82" t="n"/>
      <c r="AA137" s="23" t="n"/>
      <c r="AB137" s="23" t="n"/>
      <c r="AC137" s="7" t="n"/>
      <c r="AD137" s="7" t="n"/>
      <c r="AE137" s="61">
        <f>IF(Tasks[[#This Row],[Task Name]]="","",IF(Tasks[[#This Row],[_IsSummary]],MIN(INDEX(Tasks[_ShownFcstStart],Tasks[[#This Row],[_Row]]+1):INDEX(Tasks[_ShownFcstStart],Tasks[[#This Row],[_Row]]+Tasks[[#This Row],[_Descendants]])),Tasks[[#This Row],[_ShownFcstStart]]))</f>
        <v/>
      </c>
      <c r="AF137" s="61">
        <f>IF(Tasks[[#This Row],[Task Name]]="","",IF(Tasks[[#This Row],[_IsSummary]],MAX(INDEX(Tasks[_ShownFcstFinish],Tasks[[#This Row],[_Row]]+1):INDEX(Tasks[_ShownFcstFinish],Tasks[[#This Row],[_Row]]+Tasks[[#This Row],[_Descendants]])),Tasks[[#This Row],[_ShownFcstFinish]]))</f>
        <v/>
      </c>
      <c r="AG137" s="21">
        <f>""</f>
        <v/>
      </c>
      <c r="AH137" s="23" t="n"/>
      <c r="AI13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7" s="7" t="n"/>
      <c r="AK137" s="22" t="n"/>
      <c r="AL137" s="23" t="n"/>
      <c r="AM137" s="7" t="n"/>
      <c r="AN137" s="21">
        <f>IF(Tasks[[#This Row],[Task Name]]="","",IF(Tasks[[#This Row],[Finish]]&gt;=Tasks[[#This Row],[Planned Finish]],NETWORKDAYS.INTL(Tasks[[#This Row],[Planned Finish]],Tasks[[#This Row],[Finish]],WorkWeek,Holidays)-1,1-NETWORKDAYS.INTL(Tasks[[#This Row],[Finish]],Tasks[[#This Row],[Planned Finish]],WorkWeek,Holidays)))</f>
        <v/>
      </c>
      <c r="AO137" s="21">
        <f>IF(Tasks[[#This Row],[Task Name]]="","",IF(Tasks[[#This Row],[Progress]]&gt;=1,"Complete",IF(OR(N(Tasks[[#This Row],[Actual Start]])&gt;0,Tasks[[#This Row],[Progress]]&gt;0),IF(Tasks[[#This Row],[Finish Var]]&gt;0,"Behind","In Progress"),IF(Tasks[[#This Row],[Planned Start]]&lt;StatusDate,"Late Start","Not Started"))))</f>
        <v/>
      </c>
      <c r="AP137" s="21">
        <f>IF(Tasks[[#This Row],[Task Name]]="","",IF(IF(Tasks[[#This Row],[_IsSummary]],COUNTIF(INDEX(Tasks[_LeafCritical],Tasks[[#This Row],[_Row]]+1):INDEX(Tasks[_LeafCritical],Tasks[[#This Row],[_Row]]+Tasks[[#This Row],[_Descendants]]),TRUE())&gt;0,Tasks[[#This Row],[_LeafCritical]]),"Yes",""))</f>
        <v/>
      </c>
      <c r="AQ137" s="61">
        <f>IF(Tasks[[#This Row],[Task Name]]="","",IF(N(Tasks[[#This Row],[Baseline Start]])&gt;0,Tasks[[#This Row],[Baseline Start]],Tasks[[#This Row],[_CalcStart]]))</f>
        <v/>
      </c>
      <c r="AR137" s="61">
        <f>IF(Tasks[[#This Row],[Task Name]]="","",IF(N(Tasks[[#This Row],[Baseline Finish]])&gt;0,Tasks[[#This Row],[Baseline Finish]],Tasks[[#This Row],[_CalcFinish]]))</f>
        <v/>
      </c>
      <c r="AS137" s="21">
        <f>IF(Tasks[[#This Row],[Task Name]]="","",IF(Tasks[[#This Row],[Start]]&gt;=Tasks[[#This Row],[Planned Start]],NETWORKDAYS.INTL(Tasks[[#This Row],[Planned Start]],Tasks[[#This Row],[Start]],WorkWeek,Holidays)-1,1-NETWORKDAYS.INTL(Tasks[[#This Row],[Start]],Tasks[[#This Row],[Planned Start]],WorkWeek,Holidays)))</f>
        <v/>
      </c>
      <c r="AT137" s="61">
        <f>IF(Tasks[[#This Row],[Task Name]]="","",IF(Tasks[[#This Row],[_IsSummary]],MIN(INDEX(Tasks[_LeafLateStart],Tasks[[#This Row],[_Row]]+1):INDEX(Tasks[_LeafLateStart],Tasks[[#This Row],[_Row]]+Tasks[[#This Row],[_Descendants]])),Tasks[[#This Row],[_LeafLateStart]]))</f>
        <v/>
      </c>
      <c r="AU137" s="61">
        <f>IF(Tasks[[#This Row],[Task Name]]="","",IF(Tasks[[#This Row],[_IsSummary]],MAX(INDEX(Tasks[_LeafLateFinish],Tasks[[#This Row],[_Row]]+1):INDEX(Tasks[_LeafLateFinish],Tasks[[#This Row],[_Row]]+Tasks[[#This Row],[_Descendants]])),Tasks[[#This Row],[_LeafLateFinish]]))</f>
        <v/>
      </c>
      <c r="AV137" s="21">
        <f>IF(Tasks[[#This Row],[Task Name]]="","",IF(Tasks[[#This Row],[_IsSummary]],MIN(INDEX(Tasks[_LeafTotalSlack],Tasks[[#This Row],[_Row]]+1):INDEX(Tasks[_LeafTotalSlack],Tasks[[#This Row],[_Row]]+Tasks[[#This Row],[_Descendants]])),Tasks[[#This Row],[_LeafTotalSlack]]))</f>
        <v/>
      </c>
      <c r="AW13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3" t="n"/>
      <c r="BA13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f>IF(Tasks[[#This Row],[Task Name]]="","",IF(Tasks[[#This Row],[_Level]]&lt;=OutlineShowLevel,"Yes","No"))</f>
        <v/>
      </c>
      <c r="BE137" s="84">
        <f>IF(Tasks[[#This Row],[Task Name]]="","",IF(Tasks[[#This Row],[_IsSummary]],SUM(INDEX(Tasks[_LeafTotalWork],Tasks[[#This Row],[_Row]]+1):INDEX(Tasks[_LeafTotalWork],Tasks[[#This Row],[_Row]]+Tasks[[#This Row],[_Descendants]])),Tasks[[#This Row],[_LeafTotalWork]]))</f>
        <v/>
      </c>
      <c r="BF137" s="23" t="n"/>
      <c r="BG13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f>""</f>
        <v/>
      </c>
      <c r="BI137" s="85" t="n"/>
      <c r="BJ137" s="22" t="n"/>
      <c r="BK137" s="21">
        <f>IF(OR(Tasks[[#This Row],[Task Name]]="",Tasks[[#This Row],[Baseline Duration]]=""),"",Tasks[[#This Row],[_SpanDays]]-N(Tasks[[#This Row],[Baseline Duration]]))</f>
        <v/>
      </c>
      <c r="BL137" s="84">
        <f>IF(OR(Tasks[[#This Row],[Task Name]]="",Tasks[[#This Row],[Baseline Work]]=""),"",Tasks[[#This Row],[Work]]-N(Tasks[[#This Row],[Baseline Work]]))</f>
        <v/>
      </c>
      <c r="BM137" s="61">
        <f>IF(Tasks[[#This Row],[Task Name]]="","",IF(OR(TakeBaseline="Yes",N(Tasks[[#This Row],[Baseline Start]])=0),Tasks[[#This Row],[Start]],Tasks[[#This Row],[Baseline Start]]))</f>
        <v/>
      </c>
      <c r="BN137" s="61">
        <f>IF(Tasks[[#This Row],[Task Name]]="","",IF(OR(TakeBaseline="Yes",N(Tasks[[#This Row],[Baseline Finish]])=0),Tasks[[#This Row],[Finish]],Tasks[[#This Row],[Baseline Finish]]))</f>
        <v/>
      </c>
      <c r="BO137" s="21">
        <f>IF(Tasks[[#This Row],[Task Name]]="","",IF(OR(TakeBaseline="Yes",N(Tasks[[#This Row],[Baseline Duration]])=0),Tasks[[#This Row],[_SpanDays]],Tasks[[#This Row],[Baseline Duration]]))</f>
        <v/>
      </c>
      <c r="BP137" s="84">
        <f>IF(Tasks[[#This Row],[Task Name]]="","",IF(OR(TakeBaseline="Yes",N(Tasks[[#This Row],[Baseline Work]])=0),Tasks[[#This Row],[Work]],Tasks[[#This Row],[Baseline Work]]))</f>
        <v/>
      </c>
      <c r="BQ137" s="7" t="n"/>
      <c r="BR137" s="7" t="n"/>
      <c r="BS137" s="22" t="n"/>
      <c r="BT137" s="86" t="n"/>
      <c r="BU137" s="23" t="n"/>
      <c r="BV137" s="23" t="n"/>
      <c r="BW137" s="23" t="n"/>
      <c r="BX137" s="87">
        <f>IF(AND(Tasks[[#This Row],[_IsLeaf]]=1,ISNUMBER(Tasks[[#This Row],[Optimistic]]),ISNUMBER(Tasks[[#This Row],[Pessimistic]])),ROUND((Tasks[[#This Row],[Optimistic]]+4*N(Tasks[[#This Row],[_Days]])+Tasks[[#This Row],[Pessimistic]])/6,1),"")</f>
        <v/>
      </c>
      <c r="BY137" s="85" t="n"/>
      <c r="BZ137" s="85" t="n"/>
      <c r="CA137" s="22" t="n"/>
      <c r="CB137" s="42">
        <f>IF(Tasks[[#This Row],[Task Name]]="","",MAX(1,N(Tasks[[#This Row],[Level]])))</f>
        <v/>
      </c>
      <c r="CC137" s="42">
        <f>ROW()-ROW(Tasks[[#Headers],[ID]])</f>
        <v/>
      </c>
      <c r="CD137" s="42">
        <f>IF(OR(Tasks[[#This Row],[Task Name]]="",Tasks[[#This Row],[_Level]]&lt;=1),0,IFERROR(LOOKUP(2,1/(Tasks[[#Headers],[_Level]]:Tasks[[#This Row],[_Level]]=Tasks[[#This Row],[_Level]]-1),ROW(Tasks[[#Headers],[_Level]]:Tasks[[#This Row],[_Level]])),0))</f>
        <v/>
      </c>
      <c r="CE137" s="42">
        <f>IFERROR(N(INDEX(Tasks[_Level],Tasks[[#This Row],[_Row]]+1)),0)</f>
        <v/>
      </c>
      <c r="CF137" s="42">
        <f>AND(Tasks[[#This Row],[Task Name]]&lt;&gt;"",Tasks[[#This Row],[_NextLevel]]&gt;Tasks[[#This Row],[_Level]])</f>
        <v/>
      </c>
      <c r="CG137" s="42">
        <f>IF(Tasks[[#This Row],[_IsSummary]],COUNTIF(Tasks[WBS],Tasks[[#This Row],[WBS]]&amp;".*"),0)</f>
        <v/>
      </c>
      <c r="CH137" s="42">
        <f>IF(AND(Tasks[[#This Row],[Task Name]]&lt;&gt;"",NOT(Tasks[[#This Row],[_IsSummary]])),1,0)</f>
        <v/>
      </c>
      <c r="CI137" s="42">
        <f>IF(N(Tasks[[#This Row],[_Pred1UID]])=0,0,IFERROR(MATCH(Tasks[[#This Row],[_Pred1UID]],Tasks[UID],0),-1))</f>
        <v/>
      </c>
      <c r="CJ137" s="42">
        <f>IF(N(Tasks[[#This Row],[_Pred2UID]])=0,0,IFERROR(MATCH(Tasks[[#This Row],[_Pred2UID]],Tasks[UID],0),-1))</f>
        <v/>
      </c>
      <c r="CK137" s="42">
        <f>IF(N(Tasks[[#This Row],[_Pred3UID]])=0,0,IFERROR(MATCH(Tasks[[#This Row],[_Pred3UID]],Tasks[UID],0),-1))</f>
        <v/>
      </c>
      <c r="CL137" s="42">
        <f>IF(N(Tasks[[#This Row],[_Pred4UID]])=0,0,IFERROR(MATCH(Tasks[[#This Row],[_Pred4UID]],Tasks[UID],0),-1))</f>
        <v/>
      </c>
      <c r="CM13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7" s="88">
        <f>IF(N(Tasks[[#This Row],[Constraint Date]])=0,0,IF(AND(OR(Tasks[[#This Row],[_ConstraintCode]]=3,Tasks[[#This Row],[_ConstraintCode]]=6,Tasks[[#This Row],[_ConstraintCode]]=7),N(Tasks[[#This Row],[_Days]])&gt;1),WORKDAY.INTL(N(Tasks[[#This Row],[Constraint Date]]),-(N(Tasks[[#This Row],[_Days]])-1),WorkWeek,Holidays),N(Tasks[[#This Row],[Constraint Date]])))</f>
        <v/>
      </c>
      <c r="CO137" s="88">
        <f>IF(OR(Tasks[[#This Row],[_ConstraintCode]]=2,Tasks[[#This Row],[_ConstraintCode]]=3,Tasks[[#This Row],[_ConstraintCode]]=4,Tasks[[#This Row],[_ConstraintCode]]=6),Tasks[[#This Row],[_ConstraintStart]],0)</f>
        <v/>
      </c>
      <c r="CP137" s="88">
        <f>IF(OR(Tasks[[#This Row],[_ConstraintCode]]=2,Tasks[[#This Row],[_ConstraintCode]]=3,Tasks[[#This Row],[_ConstraintCode]]=5,Tasks[[#This Row],[_ConstraintCode]]=7),Tasks[[#This Row],[_ConstraintStart]],2958465)</f>
        <v/>
      </c>
      <c r="CQ13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7" s="88">
        <f>IF(NOT(Tasks[[#This Row],[_IsLeaf]]=1),"",IF(N(Tasks[[#This Row],[_Days]])&lt;=0,Tasks[[#This Row],[_LeafCalcStart]],WORKDAY.INTL(Tasks[[#This Row],[_LeafCalcStart]],Tasks[[#This Row],[_Days]]-1,WorkWeek,Holidays)))</f>
        <v/>
      </c>
      <c r="CS13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7" s="42">
        <f>IF(Tasks[[#This Row],[_Predecessors]]="","",TRIM(MID(SUBSTITUTE(SUBSTITUTE(SUBSTITUTE(UPPER(Tasks[[#This Row],[_Predecessors]]),";",",")," ",""),",",REPT(" ",99)),1,99)))</f>
        <v/>
      </c>
      <c r="CV137" s="42">
        <f>IF(Tasks[[#This Row],[_Pred1Text]]="","",IFERROR(VALUE(LEFT(Tasks[[#This Row],[_Pred1Text]],MIN(FIND("F",Tasks[[#This Row],[_Pred1Text]]&amp;"F"),FIND("S",Tasks[[#This Row],[_Pred1Text]]&amp;"S"),FIND("+",Tasks[[#This Row],[_Pred1Text]]&amp;"+"),FIND("-",Tasks[[#This Row],[_Pred1Text]]&amp;"-"))-1)),""))</f>
        <v/>
      </c>
      <c r="CW13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7" s="42">
        <f>IF(Tasks[[#This Row],[_Pred1Text]]="","",TRIM(MID(SUBSTITUTE(SUBSTITUTE(SUBSTITUTE(UPPER(Tasks[[#This Row],[_Predecessors]]),";",",")," ",""),",",REPT(" ",99)),100,99)))</f>
        <v/>
      </c>
      <c r="CZ137" s="42">
        <f>IF(Tasks[[#This Row],[_Pred2Text]]="","",IFERROR(VALUE(LEFT(Tasks[[#This Row],[_Pred2Text]],MIN(FIND("F",Tasks[[#This Row],[_Pred2Text]]&amp;"F"),FIND("S",Tasks[[#This Row],[_Pred2Text]]&amp;"S"),FIND("+",Tasks[[#This Row],[_Pred2Text]]&amp;"+"),FIND("-",Tasks[[#This Row],[_Pred2Text]]&amp;"-"))-1)),""))</f>
        <v/>
      </c>
      <c r="DA13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7" s="42">
        <f>IF(Tasks[[#This Row],[_Pred2Text]]="","",TRIM(MID(SUBSTITUTE(SUBSTITUTE(SUBSTITUTE(UPPER(Tasks[[#This Row],[_Predecessors]]),";",",")," ",""),",",REPT(" ",99)),199,99)))</f>
        <v/>
      </c>
      <c r="DD137" s="42">
        <f>IF(Tasks[[#This Row],[_Pred3Text]]="","",IFERROR(VALUE(LEFT(Tasks[[#This Row],[_Pred3Text]],MIN(FIND("F",Tasks[[#This Row],[_Pred3Text]]&amp;"F"),FIND("S",Tasks[[#This Row],[_Pred3Text]]&amp;"S"),FIND("+",Tasks[[#This Row],[_Pred3Text]]&amp;"+"),FIND("-",Tasks[[#This Row],[_Pred3Text]]&amp;"-"))-1)),""))</f>
        <v/>
      </c>
      <c r="DE13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7" s="42">
        <f>IF(Tasks[[#This Row],[_Pred3Text]]="","",TRIM(MID(SUBSTITUTE(SUBSTITUTE(SUBSTITUTE(UPPER(Tasks[[#This Row],[_Predecessors]]),";",",")," ",""),",",REPT(" ",99)),298,99)))</f>
        <v/>
      </c>
      <c r="DH137" s="42">
        <f>IF(Tasks[[#This Row],[_Pred4Text]]="","",IFERROR(VALUE(LEFT(Tasks[[#This Row],[_Pred4Text]],MIN(FIND("F",Tasks[[#This Row],[_Pred4Text]]&amp;"F"),FIND("S",Tasks[[#This Row],[_Pred4Text]]&amp;"S"),FIND("+",Tasks[[#This Row],[_Pred4Text]]&amp;"+"),FIND("-",Tasks[[#This Row],[_Pred4Text]]&amp;"-"))-1)),""))</f>
        <v/>
      </c>
      <c r="DI13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7" s="42">
        <f>IF(OR(Tasks[[#This Row],[Task Name]]="",Tasks[[#This Row],[_Resources]]=""),"",TRIM(MID(SUBSTITUTE(Tasks[[#This Row],[_Resources]],",",REPT(" ",99)),1,99)))</f>
        <v/>
      </c>
      <c r="DL137" s="42">
        <f>IF(Tasks[[#This Row],[_Res1Text]]="","",TRIM(MID(SUBSTITUTE(Tasks[[#This Row],[_Resources]],",",REPT(" ",99)),100,99)))</f>
        <v/>
      </c>
      <c r="DM137" s="42">
        <f>IF(Tasks[[#This Row],[_Res2Text]]="","",TRIM(MID(SUBSTITUTE(Tasks[[#This Row],[_Resources]],",",REPT(" ",99)),199,99)))</f>
        <v/>
      </c>
      <c r="DN137" s="42">
        <f>IF(Tasks[[#This Row],[_Res3Text]]="","",TRIM(MID(SUBSTITUTE(Tasks[[#This Row],[_Resources]],",",REPT(" ",99)),298,99)))</f>
        <v/>
      </c>
      <c r="DO137" s="42">
        <f>IF(Tasks[[#This Row],[_Res1Text]]="",0,IFERROR(MATCH(TRIM(LEFT(Tasks[[#This Row],[_Res1Text]],FIND("[",Tasks[[#This Row],[_Res1Text]]&amp;"[")-1)),res_Name,0),IFERROR(MATCH(TRIM(LEFT(Tasks[[#This Row],[_Res1Text]],FIND("[",Tasks[[#This Row],[_Res1Text]]&amp;"[")-1)),res_Initials,0),0)))</f>
        <v/>
      </c>
      <c r="DP137" s="42">
        <f>IF(Tasks[[#This Row],[_Res2Text]]="",0,IFERROR(MATCH(TRIM(LEFT(Tasks[[#This Row],[_Res2Text]],FIND("[",Tasks[[#This Row],[_Res2Text]]&amp;"[")-1)),res_Name,0),IFERROR(MATCH(TRIM(LEFT(Tasks[[#This Row],[_Res2Text]],FIND("[",Tasks[[#This Row],[_Res2Text]]&amp;"[")-1)),res_Initials,0),0)))</f>
        <v/>
      </c>
      <c r="DQ137" s="42">
        <f>IF(Tasks[[#This Row],[_Res3Text]]="",0,IFERROR(MATCH(TRIM(LEFT(Tasks[[#This Row],[_Res3Text]],FIND("[",Tasks[[#This Row],[_Res3Text]]&amp;"[")-1)),res_Name,0),IFERROR(MATCH(TRIM(LEFT(Tasks[[#This Row],[_Res3Text]],FIND("[",Tasks[[#This Row],[_Res3Text]]&amp;"[")-1)),res_Initials,0),0)))</f>
        <v/>
      </c>
      <c r="DR137" s="42">
        <f>IF(Tasks[[#This Row],[_Res4Text]]="",0,IFERROR(MATCH(TRIM(LEFT(Tasks[[#This Row],[_Res4Text]],FIND("[",Tasks[[#This Row],[_Res4Text]]&amp;"[")-1)),res_Name,0),IFERROR(MATCH(TRIM(LEFT(Tasks[[#This Row],[_Res4Text]],FIND("[",Tasks[[#This Row],[_Res4Text]]&amp;"[")-1)),res_Initials,0),0)))</f>
        <v/>
      </c>
      <c r="DS137" s="42">
        <f>IF(Tasks[[#This Row],[_Res1Text]]="","",IF(Tasks[[#This Row],[_Res1Row]]&gt;0,INDEX(res_Name,Tasks[[#This Row],[_Res1Row]]),TRIM(LEFT(Tasks[[#This Row],[_Res1Text]],FIND("[",Tasks[[#This Row],[_Res1Text]]&amp;"[")-1))))</f>
        <v/>
      </c>
      <c r="DT13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7" s="42">
        <f>IF(NOT(Tasks[[#This Row],[_IsLeaf]]=1),0,(Tasks[[#This Row],[_Resource1]]&lt;&gt;"")+(Tasks[[#This Row],[_Res2]]&lt;&gt;"")+(Tasks[[#This Row],[_Res3]]&lt;&gt;"")+(Tasks[[#This Row],[_Res4]]&lt;&gt;""))</f>
        <v/>
      </c>
      <c r="DV137" s="42">
        <f>IF(Tasks[[#This Row],[_Res2Text]]="","",IF(Tasks[[#This Row],[_Res2Row]]&gt;0,INDEX(res_Name,Tasks[[#This Row],[_Res2Row]]),TRIM(LEFT(Tasks[[#This Row],[_Res2Text]],FIND("[",Tasks[[#This Row],[_Res2Text]]&amp;"[")-1))))</f>
        <v/>
      </c>
      <c r="DW13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7" s="42">
        <f>IF(OR(NOT(Tasks[[#This Row],[_IsLeaf]]=1),Tasks[[#This Row],[_Res2Row]]=0),0,N(Tasks[[#This Row],[_Days]])*HoursPerDay*IF(Tasks[[#This Row],[_Res2Units]]="",DefaultUnits,Tasks[[#This Row],[_Res2Units]]))</f>
        <v/>
      </c>
      <c r="DY137" s="42">
        <f>IF(AND(AND(Tasks[[#This Row],[_IsLeaf]]=1,Tasks[[#This Row],[_LeafTotalWork]]&gt;0),Tasks[[#This Row],[_Res2Work]]&gt;0),Tasks[[#This Row],[_Res2Work]]/(Tasks[[#This Row],[_FinishWorkday]]-Tasks[[#This Row],[_StartWorkday]]+1),0)</f>
        <v/>
      </c>
      <c r="DZ137" s="42">
        <f>Tasks[[#This Row],[_Res2WorkPerWD]]*MAX(0,Tasks[[#This Row],[_StartWorkday]]-1)</f>
        <v/>
      </c>
      <c r="EA137" s="42">
        <f>Tasks[[#This Row],[_Res2Work]]*Tasks[[#This Row],[_LeafProgress]]</f>
        <v/>
      </c>
      <c r="EB137" s="42">
        <f>IF(Tasks[[#This Row],[_Res3Text]]="","",IF(Tasks[[#This Row],[_Res3Row]]&gt;0,INDEX(res_Name,Tasks[[#This Row],[_Res3Row]]),TRIM(LEFT(Tasks[[#This Row],[_Res3Text]],FIND("[",Tasks[[#This Row],[_Res3Text]]&amp;"[")-1))))</f>
        <v/>
      </c>
      <c r="EC13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7" s="42">
        <f>IF(OR(NOT(Tasks[[#This Row],[_IsLeaf]]=1),Tasks[[#This Row],[_Res3Row]]=0),0,N(Tasks[[#This Row],[_Days]])*HoursPerDay*IF(Tasks[[#This Row],[_Res3Units]]="",DefaultUnits,Tasks[[#This Row],[_Res3Units]]))</f>
        <v/>
      </c>
      <c r="EE137" s="42">
        <f>IF(AND(AND(Tasks[[#This Row],[_IsLeaf]]=1,Tasks[[#This Row],[_LeafTotalWork]]&gt;0),Tasks[[#This Row],[_Res3Work]]&gt;0),Tasks[[#This Row],[_Res3Work]]/(Tasks[[#This Row],[_FinishWorkday]]-Tasks[[#This Row],[_StartWorkday]]+1),0)</f>
        <v/>
      </c>
      <c r="EF137" s="42">
        <f>Tasks[[#This Row],[_Res3WorkPerWD]]*MAX(0,Tasks[[#This Row],[_StartWorkday]]-1)</f>
        <v/>
      </c>
      <c r="EG137" s="42">
        <f>Tasks[[#This Row],[_Res3Work]]*Tasks[[#This Row],[_LeafProgress]]</f>
        <v/>
      </c>
      <c r="EH137" s="42">
        <f>IF(Tasks[[#This Row],[_Res4Text]]="","",IF(Tasks[[#This Row],[_Res4Row]]&gt;0,INDEX(res_Name,Tasks[[#This Row],[_Res4Row]]),TRIM(LEFT(Tasks[[#This Row],[_Res4Text]],FIND("[",Tasks[[#This Row],[_Res4Text]]&amp;"[")-1))))</f>
        <v/>
      </c>
      <c r="EI13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7" s="42">
        <f>IF(OR(NOT(Tasks[[#This Row],[_IsLeaf]]=1),Tasks[[#This Row],[_Res4Row]]=0),0,N(Tasks[[#This Row],[_Days]])*HoursPerDay*IF(Tasks[[#This Row],[_Res4Units]]="",DefaultUnits,Tasks[[#This Row],[_Res4Units]]))</f>
        <v/>
      </c>
      <c r="EK137" s="42">
        <f>IF(AND(AND(Tasks[[#This Row],[_IsLeaf]]=1,Tasks[[#This Row],[_LeafTotalWork]]&gt;0),Tasks[[#This Row],[_Res4Work]]&gt;0),Tasks[[#This Row],[_Res4Work]]/(Tasks[[#This Row],[_FinishWorkday]]-Tasks[[#This Row],[_StartWorkday]]+1),0)</f>
        <v/>
      </c>
      <c r="EL137" s="42">
        <f>Tasks[[#This Row],[_Res4WorkPerWD]]*MAX(0,Tasks[[#This Row],[_StartWorkday]]-1)</f>
        <v/>
      </c>
      <c r="EM137" s="42">
        <f>Tasks[[#This Row],[_Res4Work]]*Tasks[[#This Row],[_LeafProgress]]</f>
        <v/>
      </c>
      <c r="EN137" s="42">
        <f>IF(ISNUMBER(Tasks[[#This Row],[% Complete]]),Tasks[[#This Row],[% Complete]],IF(Tasks[[#This Row],[Stage]]="",0,IFERROR(INDEX(stg_Pct,MATCH(Tasks[[#This Row],[Stage]],stg_Name,0)),0)))</f>
        <v/>
      </c>
      <c r="EO137" s="42">
        <f>IF(NOT(Tasks[[#This Row],[_IsLeaf]]=1),0,IF(N(Tasks[[#This Row],[Actual Finish]])&gt;0,1,MIN(1,Tasks[[#This Row],[_Pct]])))</f>
        <v/>
      </c>
      <c r="EP137" s="42">
        <f>IF(OR(NOT(Tasks[[#This Row],[_IsLeaf]]=1),Tasks[[#This Row],[_Res1Row]]=0),0,N(Tasks[[#This Row],[_Days]])*HoursPerDay*IF(Tasks[[#This Row],[_Units1]]="",DefaultUnits,Tasks[[#This Row],[_Units1]]))</f>
        <v/>
      </c>
      <c r="EQ137" s="42">
        <f>Tasks[[#This Row],[_LeafWork]]+Tasks[[#This Row],[_Res2Work]]+Tasks[[#This Row],[_Res3Work]]+Tasks[[#This Row],[_Res4Work]]</f>
        <v/>
      </c>
      <c r="ER13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7" s="42">
        <f>IF(NOT(Tasks[[#This Row],[_IsLeaf]]=1),0,MAX(_xlfn.MAXIFS(Tasks[_Row],Tasks[_Pred1UID],Tasks[[#This Row],[UID]]),_xlfn.MAXIFS(Tasks[_Row],Tasks[_Pred2UID],Tasks[[#This Row],[UID]]),_xlfn.MAXIFS(Tasks[_Row],Tasks[_Pred3UID],Tasks[[#This Row],[UID]]),_xlfn.MAXIFS(Tasks[_Row],Tasks[_Pred4UID],Tasks[[#This Row],[UID]])))</f>
        <v/>
      </c>
      <c r="FA13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7" s="88">
        <f>IF(NOT(Tasks[[#This Row],[_IsLeaf]]=1),"",IF(N(Tasks[[#This Row],[_Days]])&lt;=0,Tasks[[#This Row],[_LeafLateFinish]],WORKDAY.INTL(Tasks[[#This Row],[_LeafLateFinish]],-(Tasks[[#This Row],[_Days]]-1),WorkWeek,Holidays)))</f>
        <v/>
      </c>
      <c r="FD13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7" s="42">
        <f>AND(Tasks[[#This Row],[_IsLeaf]]=1,Tasks[[#This Row],[_LeafProgress]]&lt;1,N(Tasks[[#This Row],[_LeafTotalSlack]])&lt;=CriticalSlackDays)</f>
        <v/>
      </c>
      <c r="FF137" s="42">
        <f>IF(AND(Tasks[[#This Row],[_IsLeaf]]=1,Tasks[[#This Row],[_ConstraintCode]]=1,Tasks[[#This Row],[Mode]]&lt;&gt;"Manual",N(Tasks[[#This Row],[Actual Start]])=0),MAX(0,N(Tasks[[#This Row],[Free Slack]])),0)</f>
        <v/>
      </c>
      <c r="FG137" s="88">
        <f>IF(NOT(Tasks[[#This Row],[_IsLeaf]]=1),"",IF(Tasks[[#This Row],[_AlapShift]]=0,Tasks[[#This Row],[_LeafCalcStart]],WORKDAY.INTL(Tasks[[#This Row],[_LeafCalcStart]],Tasks[[#This Row],[_AlapShift]],WorkWeek,Holidays)))</f>
        <v/>
      </c>
      <c r="FH137" s="88">
        <f>IF(NOT(Tasks[[#This Row],[_IsLeaf]]=1),"",IF(Tasks[[#This Row],[_AlapShift]]=0,Tasks[[#This Row],[_LeafCalcFinish]],WORKDAY.INTL(Tasks[[#This Row],[_LeafCalcFinish]],Tasks[[#This Row],[_AlapShift]],WorkWeek,Holidays)))</f>
        <v/>
      </c>
      <c r="FI137" s="88">
        <f>IF(NOT(Tasks[[#This Row],[_IsLeaf]]=1),"",IF(Tasks[[#This Row],[_AlapShift]]=0,Tasks[[#This Row],[_LeafFcstStart]],WORKDAY.INTL(Tasks[[#This Row],[_LeafFcstStart]],Tasks[[#This Row],[_AlapShift]],WorkWeek,Holidays)))</f>
        <v/>
      </c>
      <c r="FJ137" s="88">
        <f>IF(NOT(Tasks[[#This Row],[_IsLeaf]]=1),"",IF(Tasks[[#This Row],[_AlapShift]]=0,Tasks[[#This Row],[_LeafFcstFinish]],WORKDAY.INTL(Tasks[[#This Row],[_LeafFcstFinish]],Tasks[[#This Row],[_AlapShift]],WorkWeek,Holidays)))</f>
        <v/>
      </c>
      <c r="FK137" s="88">
        <f>IF(Tasks[[#This Row],[Task Name]]="","",IF(Tasks[[#This Row],[_IsSummary]],MIN(INDEX(Tasks[_ShownCalcStart],Tasks[[#This Row],[_Row]]+1):INDEX(Tasks[_ShownCalcStart],Tasks[[#This Row],[_Row]]+Tasks[[#This Row],[_Descendants]])),Tasks[[#This Row],[_ShownCalcStart]]))</f>
        <v/>
      </c>
      <c r="FL137" s="88">
        <f>IF(Tasks[[#This Row],[Task Name]]="","",IF(Tasks[[#This Row],[_IsSummary]],MAX(INDEX(Tasks[_ShownCalcFinish],Tasks[[#This Row],[_Row]]+1):INDEX(Tasks[_ShownCalcFinish],Tasks[[#This Row],[_Row]]+Tasks[[#This Row],[_Descendants]])),Tasks[[#This Row],[_ShownCalcFinish]]))</f>
        <v/>
      </c>
      <c r="FM13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7" s="42">
        <f>IF(AND(Tasks[[#This Row],[_IsLeaf]]=1,Tasks[[#This Row],[_LeafTotalWork]]&gt;0),NETWORKDAYS.INTL(ProjectStart,Tasks[[#This Row],[_ShownFcstStart]],WorkWeek,Holidays),0)</f>
        <v/>
      </c>
      <c r="FZ137" s="42">
        <f>IF(AND(Tasks[[#This Row],[_IsLeaf]]=1,Tasks[[#This Row],[_LeafTotalWork]]&gt;0),MAX(Tasks[[#This Row],[_StartWorkday]],NETWORKDAYS.INTL(ProjectStart,Tasks[[#This Row],[_ShownFcstFinish]],WorkWeek,Holidays)),0)</f>
        <v/>
      </c>
      <c r="GA137" s="42">
        <f>IF(AND(Tasks[[#This Row],[_IsLeaf]]=1,Tasks[[#This Row],[_LeafTotalWork]]&gt;0),Tasks[[#This Row],[_LeafWork]]/(Tasks[[#This Row],[_FinishWorkday]]-Tasks[[#This Row],[_StartWorkday]]+1),0)</f>
        <v/>
      </c>
      <c r="GB137" s="42">
        <f>Tasks[[#This Row],[_WorkPerWorkday]]*(Tasks[[#This Row],[_StartWorkday]]-1)</f>
        <v/>
      </c>
      <c r="GC137" s="42">
        <f>IF(Tasks[[#This Row],[_IsLeaf]]=1,MAX(N(Tasks[[#This Row],[_Days]]),0.1),0)</f>
        <v/>
      </c>
      <c r="GD137" s="42">
        <f>Tasks[[#This Row],[_WeightDur]]*Tasks[[#This Row],[_LeafProgress]]</f>
        <v/>
      </c>
      <c r="GE137" s="42">
        <f>Tasks[[#This Row],[_WeightDur]]*Tasks[[#This Row],[_PlannedPct]]</f>
        <v/>
      </c>
      <c r="GF13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7" s="42">
        <f>IF(AND(Tasks[[#This Row],[_IsLeaf]]=1,N(Tasks[[#This Row],[_Days]])=0,Tasks[[#This Row],[_LeafProgress]]&lt;1),Tasks[[#This Row],[_ShownFcstFinish]]+Tasks[[#This Row],[_Row]]/100000,"")</f>
        <v/>
      </c>
      <c r="GH13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7" s="42">
        <f>IF(Tasks[[#This Row],[Task Name]]="","",LEFT(Tasks[[#This Row],[WBS]],FIND(".",Tasks[[#This Row],[WBS]]&amp;".")-1))</f>
        <v/>
      </c>
      <c r="GJ137" s="42">
        <f>IF(AND(Tasks[[#This Row],[Task Name]]&lt;&gt;"",Tasks[[#This Row],[_Level]]=1),Tasks[[#This Row],[_Row]],"")</f>
        <v/>
      </c>
      <c r="GK137" s="42">
        <f>IF(AND(Tasks[[#This Row],[_IsLeaf]]=1,N(Tasks[[#This Row],[_Days]])=0),Tasks[[#This Row],[Planned Finish]]+Tasks[[#This Row],[_Row]]/100000,"")</f>
        <v/>
      </c>
      <c r="GL137" s="42">
        <f>IF(AND(Tasks[[#This Row],[_IsLeaf]]=1,Tasks[[#This Row],[_LeafProgress]]&lt;1,OR(N(Tasks[[#This Row],[Finish Var]])&gt;0,Tasks[[#This Row],[Status]]="Late Start")),MAX(0,Tasks[[#This Row],[Finish Var]])+1-Tasks[[#This Row],[_Row]]/1000000,"")</f>
        <v/>
      </c>
      <c r="GM137" s="42">
        <f>IF(AND(Tasks[[#This Row],[_IsLeaf]]=1,N(Tasks[[#This Row],[Actual Start]])=0,Tasks[[#This Row],[_ShownFcstStart]]&gt;=StatusDate,Tasks[[#This Row],[_ShownFcstStart]]&lt;=LookaheadEnd),Tasks[[#This Row],[_ShownFcstStart]]+Tasks[[#This Row],[_Row]]/100000,"")</f>
        <v/>
      </c>
      <c r="GN137" s="42">
        <f>IF(AND(Tasks[[#This Row],[_IsLeaf]]=1,Tasks[[#This Row],[_LeafProgress]]&lt;1,Tasks[[#This Row],[_ShownFcstFinish]]&gt;=StatusDate,Tasks[[#This Row],[_ShownFcstFinish]]&lt;=LookaheadEnd),Tasks[[#This Row],[_ShownFcstFinish]]+Tasks[[#This Row],[_Row]]/100000,"")</f>
        <v/>
      </c>
      <c r="GO137" s="42">
        <f>IF(Tasks[[#This Row],[_LeafCritical]],Tasks[[#This Row],[_ShownFcstStart]]+Tasks[[#This Row],[_Row]]/100000,"")</f>
        <v/>
      </c>
      <c r="GP137" s="42">
        <f>Tasks[[#This Row],[_LeafWork]]*Tasks[[#This Row],[_LeafProgress]]</f>
        <v/>
      </c>
      <c r="GQ137" s="88">
        <f>IF(AND(Tasks[[#This Row],[_IsLeaf]]=1,Tasks[[#This Row],[_LeafProgress]]&gt;=1),IF(N(Tasks[[#This Row],[Actual Finish]])&gt;0,Tasks[[#This Row],[Actual Finish]],Tasks[[#This Row],[_ShownFcstFinish]]),"")</f>
        <v/>
      </c>
      <c r="GR137" s="42">
        <f>IF(Tasks[[#This Row],[_IsLeaf]]=1,N(Tasks[[#This Row],[Story Points]]),0)</f>
        <v/>
      </c>
      <c r="GS137" s="42">
        <f>""</f>
        <v/>
      </c>
      <c r="GT137" s="42">
        <f>IF(Tasks[[#This Row],[Task Name]]="",FALSE(),AND(Tasks[[#This Row],[_IsLeaf]]=1,N(Tasks[[#This Row],[_Days]])=0))</f>
        <v/>
      </c>
      <c r="GU137" s="88">
        <f>IF(Tasks[[#This Row],[Task Name]]="",0,IF(AND(Tasks[[#This Row],[_IsLeaf]]=1,NOT(Tasks[[#This Row],[_IsMilestone]]),N(Tasks[[#This Row],[Progress]])&gt;0),Tasks[[#This Row],[Start]],0))</f>
        <v/>
      </c>
      <c r="GV137" s="88">
        <f>IF(Tasks[[#This Row],[_DoneFrom]]=0,0,IF(Tasks[[#This Row],[Progress]]&gt;=1,Tasks[[#This Row],[Finish]],MAX(Tasks[[#This Row],[_DoneFrom]],Tasks[[#This Row],[Start]]+ROUND((Tasks[[#This Row],[Finish]]-Tasks[[#This Row],[Start]]+1)*Tasks[[#This Row],[Progress]],0)-1)))</f>
        <v/>
      </c>
      <c r="GW137" s="88">
        <f>IF(Tasks[[#This Row],[Task Name]]="",0,IF(OR(NOT(Tasks[[#This Row],[_IsLeaf]]=1),Tasks[[#This Row],[_IsMilestone]],N(Tasks[[#This Row],[Progress]])&gt;=1),0,IF(Tasks[[#This Row],[_DoneTo]]&gt;0,Tasks[[#This Row],[_DoneTo]]+1,Tasks[[#This Row],[Start]])))</f>
        <v/>
      </c>
      <c r="GX137" s="88">
        <f>IF(Tasks[[#This Row],[_RemFrom]]=0,0,Tasks[[#This Row],[Finish]])</f>
        <v/>
      </c>
      <c r="GY137" s="42">
        <f>IF(Tasks[[#This Row],[Task Name]]="",FALSE(),OR(NOT(BaselineSet),N(Tasks[[#This Row],[Baseline Start]])&gt;0))</f>
        <v/>
      </c>
      <c r="GZ137" s="42">
        <f>IF(AND(Sandbox="Yes",L_PARSE_DURATION(Tasks[[#This Row],[Sandbox Duration]])&lt;&gt;""),L_PARSE_DURATION(Tasks[[#This Row],[Sandbox Duration]]),L_PARSE_DURATION(Tasks[[#This Row],[Duration]]))</f>
        <v/>
      </c>
      <c r="HA13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7" s="42">
        <f>IF(Tasks[[#This Row],[_IsLeaf]]=1,Tasks[[#This Row],[_Row]],"")</f>
        <v/>
      </c>
      <c r="HD137" s="42">
        <f>IFERROR(INDEX(Tasks[UID],SMALL(Tasks[_PickKey],Tasks[[#This Row],[_Row]]))&amp;" "&amp;INDEX(Tasks[Task Name],SMALL(Tasks[_PickKey],Tasks[[#This Row],[_Row]])),"")</f>
        <v/>
      </c>
      <c r="HE137" s="42">
        <f>IF(Tasks[[#This Row],[Task Name]]="","",IF(Tasks[[#This Row],[_IsSummary]],NETWORKDAYS.INTL(Tasks[[#This Row],[Start]],Tasks[[#This Row],[Finish]],WorkWeek,Holidays),N(Tasks[[#This Row],[_Days]])))</f>
        <v/>
      </c>
      <c r="HF137" s="42">
        <f>IF(Tasks[[#This Row],[Expected]]="",0,((Tasks[[#This Row],[Pessimistic]]-Tasks[[#This Row],[Optimistic]])/6)^2)</f>
        <v/>
      </c>
      <c r="HG137" s="42">
        <f>IF(Tasks[[#This Row],[Expected]]="",0,Tasks[[#This Row],[Expected]]-N(Tasks[[#This Row],[_Days]]))</f>
        <v/>
      </c>
    </row>
    <row r="138">
      <c r="A138" s="21">
        <f>IF(Tasks[[#This Row],[Task Name]]="","",COUNTA(Tasks[[#Headers],[Task Name]]:Tasks[[#This Row],[Task Name]])-1)</f>
        <v/>
      </c>
      <c r="B138" s="22" t="n">
        <v>146</v>
      </c>
      <c r="C138" s="22" t="n"/>
      <c r="D138" s="23" t="n"/>
      <c r="E138" s="22" t="n"/>
      <c r="F138" s="23" t="n"/>
      <c r="G138" s="22" t="n"/>
      <c r="H138" s="22" t="n"/>
      <c r="I138" s="23" t="n"/>
      <c r="J138" s="22" t="n"/>
      <c r="K138" s="22" t="n"/>
      <c r="L138" s="23" t="n"/>
      <c r="M138" s="22" t="n"/>
      <c r="N138" s="22" t="n"/>
      <c r="O138" s="23" t="n"/>
      <c r="P138" s="22" t="n"/>
      <c r="Q138" s="22" t="n"/>
      <c r="R138" s="23" t="n"/>
      <c r="S138" s="23" t="n"/>
      <c r="T138" s="82" t="n"/>
      <c r="U138" s="23" t="n"/>
      <c r="V138" s="82" t="n"/>
      <c r="W138" s="23" t="n"/>
      <c r="X138" s="82" t="n"/>
      <c r="Y138" s="23" t="n"/>
      <c r="Z138" s="82" t="n"/>
      <c r="AA138" s="23" t="n"/>
      <c r="AB138" s="23" t="n"/>
      <c r="AC138" s="7" t="n"/>
      <c r="AD138" s="7" t="n"/>
      <c r="AE138" s="61">
        <f>IF(Tasks[[#This Row],[Task Name]]="","",IF(Tasks[[#This Row],[_IsSummary]],MIN(INDEX(Tasks[_ShownFcstStart],Tasks[[#This Row],[_Row]]+1):INDEX(Tasks[_ShownFcstStart],Tasks[[#This Row],[_Row]]+Tasks[[#This Row],[_Descendants]])),Tasks[[#This Row],[_ShownFcstStart]]))</f>
        <v/>
      </c>
      <c r="AF138" s="61">
        <f>IF(Tasks[[#This Row],[Task Name]]="","",IF(Tasks[[#This Row],[_IsSummary]],MAX(INDEX(Tasks[_ShownFcstFinish],Tasks[[#This Row],[_Row]]+1):INDEX(Tasks[_ShownFcstFinish],Tasks[[#This Row],[_Row]]+Tasks[[#This Row],[_Descendants]])),Tasks[[#This Row],[_ShownFcstFinish]]))</f>
        <v/>
      </c>
      <c r="AG138" s="21">
        <f>""</f>
        <v/>
      </c>
      <c r="AH138" s="23" t="n"/>
      <c r="AI13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8" s="7" t="n"/>
      <c r="AK138" s="22" t="n"/>
      <c r="AL138" s="23" t="n"/>
      <c r="AM138" s="7" t="n"/>
      <c r="AN138" s="21">
        <f>IF(Tasks[[#This Row],[Task Name]]="","",IF(Tasks[[#This Row],[Finish]]&gt;=Tasks[[#This Row],[Planned Finish]],NETWORKDAYS.INTL(Tasks[[#This Row],[Planned Finish]],Tasks[[#This Row],[Finish]],WorkWeek,Holidays)-1,1-NETWORKDAYS.INTL(Tasks[[#This Row],[Finish]],Tasks[[#This Row],[Planned Finish]],WorkWeek,Holidays)))</f>
        <v/>
      </c>
      <c r="AO138" s="21">
        <f>IF(Tasks[[#This Row],[Task Name]]="","",IF(Tasks[[#This Row],[Progress]]&gt;=1,"Complete",IF(OR(N(Tasks[[#This Row],[Actual Start]])&gt;0,Tasks[[#This Row],[Progress]]&gt;0),IF(Tasks[[#This Row],[Finish Var]]&gt;0,"Behind","In Progress"),IF(Tasks[[#This Row],[Planned Start]]&lt;StatusDate,"Late Start","Not Started"))))</f>
        <v/>
      </c>
      <c r="AP138" s="21">
        <f>IF(Tasks[[#This Row],[Task Name]]="","",IF(IF(Tasks[[#This Row],[_IsSummary]],COUNTIF(INDEX(Tasks[_LeafCritical],Tasks[[#This Row],[_Row]]+1):INDEX(Tasks[_LeafCritical],Tasks[[#This Row],[_Row]]+Tasks[[#This Row],[_Descendants]]),TRUE())&gt;0,Tasks[[#This Row],[_LeafCritical]]),"Yes",""))</f>
        <v/>
      </c>
      <c r="AQ138" s="61">
        <f>IF(Tasks[[#This Row],[Task Name]]="","",IF(N(Tasks[[#This Row],[Baseline Start]])&gt;0,Tasks[[#This Row],[Baseline Start]],Tasks[[#This Row],[_CalcStart]]))</f>
        <v/>
      </c>
      <c r="AR138" s="61">
        <f>IF(Tasks[[#This Row],[Task Name]]="","",IF(N(Tasks[[#This Row],[Baseline Finish]])&gt;0,Tasks[[#This Row],[Baseline Finish]],Tasks[[#This Row],[_CalcFinish]]))</f>
        <v/>
      </c>
      <c r="AS138" s="21">
        <f>IF(Tasks[[#This Row],[Task Name]]="","",IF(Tasks[[#This Row],[Start]]&gt;=Tasks[[#This Row],[Planned Start]],NETWORKDAYS.INTL(Tasks[[#This Row],[Planned Start]],Tasks[[#This Row],[Start]],WorkWeek,Holidays)-1,1-NETWORKDAYS.INTL(Tasks[[#This Row],[Start]],Tasks[[#This Row],[Planned Start]],WorkWeek,Holidays)))</f>
        <v/>
      </c>
      <c r="AT138" s="61">
        <f>IF(Tasks[[#This Row],[Task Name]]="","",IF(Tasks[[#This Row],[_IsSummary]],MIN(INDEX(Tasks[_LeafLateStart],Tasks[[#This Row],[_Row]]+1):INDEX(Tasks[_LeafLateStart],Tasks[[#This Row],[_Row]]+Tasks[[#This Row],[_Descendants]])),Tasks[[#This Row],[_LeafLateStart]]))</f>
        <v/>
      </c>
      <c r="AU138" s="61">
        <f>IF(Tasks[[#This Row],[Task Name]]="","",IF(Tasks[[#This Row],[_IsSummary]],MAX(INDEX(Tasks[_LeafLateFinish],Tasks[[#This Row],[_Row]]+1):INDEX(Tasks[_LeafLateFinish],Tasks[[#This Row],[_Row]]+Tasks[[#This Row],[_Descendants]])),Tasks[[#This Row],[_LeafLateFinish]]))</f>
        <v/>
      </c>
      <c r="AV138" s="21">
        <f>IF(Tasks[[#This Row],[Task Name]]="","",IF(Tasks[[#This Row],[_IsSummary]],MIN(INDEX(Tasks[_LeafTotalSlack],Tasks[[#This Row],[_Row]]+1):INDEX(Tasks[_LeafTotalSlack],Tasks[[#This Row],[_Row]]+Tasks[[#This Row],[_Descendants]])),Tasks[[#This Row],[_LeafTotalSlack]]))</f>
        <v/>
      </c>
      <c r="AW13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3" t="n"/>
      <c r="BA13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f>IF(Tasks[[#This Row],[Task Name]]="","",IF(Tasks[[#This Row],[_Level]]&lt;=OutlineShowLevel,"Yes","No"))</f>
        <v/>
      </c>
      <c r="BE138" s="84">
        <f>IF(Tasks[[#This Row],[Task Name]]="","",IF(Tasks[[#This Row],[_IsSummary]],SUM(INDEX(Tasks[_LeafTotalWork],Tasks[[#This Row],[_Row]]+1):INDEX(Tasks[_LeafTotalWork],Tasks[[#This Row],[_Row]]+Tasks[[#This Row],[_Descendants]])),Tasks[[#This Row],[_LeafTotalWork]]))</f>
        <v/>
      </c>
      <c r="BF138" s="23" t="n"/>
      <c r="BG13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f>""</f>
        <v/>
      </c>
      <c r="BI138" s="85" t="n"/>
      <c r="BJ138" s="22" t="n"/>
      <c r="BK138" s="21">
        <f>IF(OR(Tasks[[#This Row],[Task Name]]="",Tasks[[#This Row],[Baseline Duration]]=""),"",Tasks[[#This Row],[_SpanDays]]-N(Tasks[[#This Row],[Baseline Duration]]))</f>
        <v/>
      </c>
      <c r="BL138" s="84">
        <f>IF(OR(Tasks[[#This Row],[Task Name]]="",Tasks[[#This Row],[Baseline Work]]=""),"",Tasks[[#This Row],[Work]]-N(Tasks[[#This Row],[Baseline Work]]))</f>
        <v/>
      </c>
      <c r="BM138" s="61">
        <f>IF(Tasks[[#This Row],[Task Name]]="","",IF(OR(TakeBaseline="Yes",N(Tasks[[#This Row],[Baseline Start]])=0),Tasks[[#This Row],[Start]],Tasks[[#This Row],[Baseline Start]]))</f>
        <v/>
      </c>
      <c r="BN138" s="61">
        <f>IF(Tasks[[#This Row],[Task Name]]="","",IF(OR(TakeBaseline="Yes",N(Tasks[[#This Row],[Baseline Finish]])=0),Tasks[[#This Row],[Finish]],Tasks[[#This Row],[Baseline Finish]]))</f>
        <v/>
      </c>
      <c r="BO138" s="21">
        <f>IF(Tasks[[#This Row],[Task Name]]="","",IF(OR(TakeBaseline="Yes",N(Tasks[[#This Row],[Baseline Duration]])=0),Tasks[[#This Row],[_SpanDays]],Tasks[[#This Row],[Baseline Duration]]))</f>
        <v/>
      </c>
      <c r="BP138" s="84">
        <f>IF(Tasks[[#This Row],[Task Name]]="","",IF(OR(TakeBaseline="Yes",N(Tasks[[#This Row],[Baseline Work]])=0),Tasks[[#This Row],[Work]],Tasks[[#This Row],[Baseline Work]]))</f>
        <v/>
      </c>
      <c r="BQ138" s="7" t="n"/>
      <c r="BR138" s="7" t="n"/>
      <c r="BS138" s="22" t="n"/>
      <c r="BT138" s="86" t="n"/>
      <c r="BU138" s="23" t="n"/>
      <c r="BV138" s="23" t="n"/>
      <c r="BW138" s="23" t="n"/>
      <c r="BX138" s="87">
        <f>IF(AND(Tasks[[#This Row],[_IsLeaf]]=1,ISNUMBER(Tasks[[#This Row],[Optimistic]]),ISNUMBER(Tasks[[#This Row],[Pessimistic]])),ROUND((Tasks[[#This Row],[Optimistic]]+4*N(Tasks[[#This Row],[_Days]])+Tasks[[#This Row],[Pessimistic]])/6,1),"")</f>
        <v/>
      </c>
      <c r="BY138" s="85" t="n"/>
      <c r="BZ138" s="85" t="n"/>
      <c r="CA138" s="22" t="n"/>
      <c r="CB138" s="42">
        <f>IF(Tasks[[#This Row],[Task Name]]="","",MAX(1,N(Tasks[[#This Row],[Level]])))</f>
        <v/>
      </c>
      <c r="CC138" s="42">
        <f>ROW()-ROW(Tasks[[#Headers],[ID]])</f>
        <v/>
      </c>
      <c r="CD138" s="42">
        <f>IF(OR(Tasks[[#This Row],[Task Name]]="",Tasks[[#This Row],[_Level]]&lt;=1),0,IFERROR(LOOKUP(2,1/(Tasks[[#Headers],[_Level]]:Tasks[[#This Row],[_Level]]=Tasks[[#This Row],[_Level]]-1),ROW(Tasks[[#Headers],[_Level]]:Tasks[[#This Row],[_Level]])),0))</f>
        <v/>
      </c>
      <c r="CE138" s="42">
        <f>IFERROR(N(INDEX(Tasks[_Level],Tasks[[#This Row],[_Row]]+1)),0)</f>
        <v/>
      </c>
      <c r="CF138" s="42">
        <f>AND(Tasks[[#This Row],[Task Name]]&lt;&gt;"",Tasks[[#This Row],[_NextLevel]]&gt;Tasks[[#This Row],[_Level]])</f>
        <v/>
      </c>
      <c r="CG138" s="42">
        <f>IF(Tasks[[#This Row],[_IsSummary]],COUNTIF(Tasks[WBS],Tasks[[#This Row],[WBS]]&amp;".*"),0)</f>
        <v/>
      </c>
      <c r="CH138" s="42">
        <f>IF(AND(Tasks[[#This Row],[Task Name]]&lt;&gt;"",NOT(Tasks[[#This Row],[_IsSummary]])),1,0)</f>
        <v/>
      </c>
      <c r="CI138" s="42">
        <f>IF(N(Tasks[[#This Row],[_Pred1UID]])=0,0,IFERROR(MATCH(Tasks[[#This Row],[_Pred1UID]],Tasks[UID],0),-1))</f>
        <v/>
      </c>
      <c r="CJ138" s="42">
        <f>IF(N(Tasks[[#This Row],[_Pred2UID]])=0,0,IFERROR(MATCH(Tasks[[#This Row],[_Pred2UID]],Tasks[UID],0),-1))</f>
        <v/>
      </c>
      <c r="CK138" s="42">
        <f>IF(N(Tasks[[#This Row],[_Pred3UID]])=0,0,IFERROR(MATCH(Tasks[[#This Row],[_Pred3UID]],Tasks[UID],0),-1))</f>
        <v/>
      </c>
      <c r="CL138" s="42">
        <f>IF(N(Tasks[[#This Row],[_Pred4UID]])=0,0,IFERROR(MATCH(Tasks[[#This Row],[_Pred4UID]],Tasks[UID],0),-1))</f>
        <v/>
      </c>
      <c r="CM13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8" s="88">
        <f>IF(N(Tasks[[#This Row],[Constraint Date]])=0,0,IF(AND(OR(Tasks[[#This Row],[_ConstraintCode]]=3,Tasks[[#This Row],[_ConstraintCode]]=6,Tasks[[#This Row],[_ConstraintCode]]=7),N(Tasks[[#This Row],[_Days]])&gt;1),WORKDAY.INTL(N(Tasks[[#This Row],[Constraint Date]]),-(N(Tasks[[#This Row],[_Days]])-1),WorkWeek,Holidays),N(Tasks[[#This Row],[Constraint Date]])))</f>
        <v/>
      </c>
      <c r="CO138" s="88">
        <f>IF(OR(Tasks[[#This Row],[_ConstraintCode]]=2,Tasks[[#This Row],[_ConstraintCode]]=3,Tasks[[#This Row],[_ConstraintCode]]=4,Tasks[[#This Row],[_ConstraintCode]]=6),Tasks[[#This Row],[_ConstraintStart]],0)</f>
        <v/>
      </c>
      <c r="CP138" s="88">
        <f>IF(OR(Tasks[[#This Row],[_ConstraintCode]]=2,Tasks[[#This Row],[_ConstraintCode]]=3,Tasks[[#This Row],[_ConstraintCode]]=5,Tasks[[#This Row],[_ConstraintCode]]=7),Tasks[[#This Row],[_ConstraintStart]],2958465)</f>
        <v/>
      </c>
      <c r="CQ13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8" s="88">
        <f>IF(NOT(Tasks[[#This Row],[_IsLeaf]]=1),"",IF(N(Tasks[[#This Row],[_Days]])&lt;=0,Tasks[[#This Row],[_LeafCalcStart]],WORKDAY.INTL(Tasks[[#This Row],[_LeafCalcStart]],Tasks[[#This Row],[_Days]]-1,WorkWeek,Holidays)))</f>
        <v/>
      </c>
      <c r="CS13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8" s="42">
        <f>IF(Tasks[[#This Row],[_Predecessors]]="","",TRIM(MID(SUBSTITUTE(SUBSTITUTE(SUBSTITUTE(UPPER(Tasks[[#This Row],[_Predecessors]]),";",",")," ",""),",",REPT(" ",99)),1,99)))</f>
        <v/>
      </c>
      <c r="CV138" s="42">
        <f>IF(Tasks[[#This Row],[_Pred1Text]]="","",IFERROR(VALUE(LEFT(Tasks[[#This Row],[_Pred1Text]],MIN(FIND("F",Tasks[[#This Row],[_Pred1Text]]&amp;"F"),FIND("S",Tasks[[#This Row],[_Pred1Text]]&amp;"S"),FIND("+",Tasks[[#This Row],[_Pred1Text]]&amp;"+"),FIND("-",Tasks[[#This Row],[_Pred1Text]]&amp;"-"))-1)),""))</f>
        <v/>
      </c>
      <c r="CW13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8" s="42">
        <f>IF(Tasks[[#This Row],[_Pred1Text]]="","",TRIM(MID(SUBSTITUTE(SUBSTITUTE(SUBSTITUTE(UPPER(Tasks[[#This Row],[_Predecessors]]),";",",")," ",""),",",REPT(" ",99)),100,99)))</f>
        <v/>
      </c>
      <c r="CZ138" s="42">
        <f>IF(Tasks[[#This Row],[_Pred2Text]]="","",IFERROR(VALUE(LEFT(Tasks[[#This Row],[_Pred2Text]],MIN(FIND("F",Tasks[[#This Row],[_Pred2Text]]&amp;"F"),FIND("S",Tasks[[#This Row],[_Pred2Text]]&amp;"S"),FIND("+",Tasks[[#This Row],[_Pred2Text]]&amp;"+"),FIND("-",Tasks[[#This Row],[_Pred2Text]]&amp;"-"))-1)),""))</f>
        <v/>
      </c>
      <c r="DA13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8" s="42">
        <f>IF(Tasks[[#This Row],[_Pred2Text]]="","",TRIM(MID(SUBSTITUTE(SUBSTITUTE(SUBSTITUTE(UPPER(Tasks[[#This Row],[_Predecessors]]),";",",")," ",""),",",REPT(" ",99)),199,99)))</f>
        <v/>
      </c>
      <c r="DD138" s="42">
        <f>IF(Tasks[[#This Row],[_Pred3Text]]="","",IFERROR(VALUE(LEFT(Tasks[[#This Row],[_Pred3Text]],MIN(FIND("F",Tasks[[#This Row],[_Pred3Text]]&amp;"F"),FIND("S",Tasks[[#This Row],[_Pred3Text]]&amp;"S"),FIND("+",Tasks[[#This Row],[_Pred3Text]]&amp;"+"),FIND("-",Tasks[[#This Row],[_Pred3Text]]&amp;"-"))-1)),""))</f>
        <v/>
      </c>
      <c r="DE13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8" s="42">
        <f>IF(Tasks[[#This Row],[_Pred3Text]]="","",TRIM(MID(SUBSTITUTE(SUBSTITUTE(SUBSTITUTE(UPPER(Tasks[[#This Row],[_Predecessors]]),";",",")," ",""),",",REPT(" ",99)),298,99)))</f>
        <v/>
      </c>
      <c r="DH138" s="42">
        <f>IF(Tasks[[#This Row],[_Pred4Text]]="","",IFERROR(VALUE(LEFT(Tasks[[#This Row],[_Pred4Text]],MIN(FIND("F",Tasks[[#This Row],[_Pred4Text]]&amp;"F"),FIND("S",Tasks[[#This Row],[_Pred4Text]]&amp;"S"),FIND("+",Tasks[[#This Row],[_Pred4Text]]&amp;"+"),FIND("-",Tasks[[#This Row],[_Pred4Text]]&amp;"-"))-1)),""))</f>
        <v/>
      </c>
      <c r="DI13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8" s="42">
        <f>IF(OR(Tasks[[#This Row],[Task Name]]="",Tasks[[#This Row],[_Resources]]=""),"",TRIM(MID(SUBSTITUTE(Tasks[[#This Row],[_Resources]],",",REPT(" ",99)),1,99)))</f>
        <v/>
      </c>
      <c r="DL138" s="42">
        <f>IF(Tasks[[#This Row],[_Res1Text]]="","",TRIM(MID(SUBSTITUTE(Tasks[[#This Row],[_Resources]],",",REPT(" ",99)),100,99)))</f>
        <v/>
      </c>
      <c r="DM138" s="42">
        <f>IF(Tasks[[#This Row],[_Res2Text]]="","",TRIM(MID(SUBSTITUTE(Tasks[[#This Row],[_Resources]],",",REPT(" ",99)),199,99)))</f>
        <v/>
      </c>
      <c r="DN138" s="42">
        <f>IF(Tasks[[#This Row],[_Res3Text]]="","",TRIM(MID(SUBSTITUTE(Tasks[[#This Row],[_Resources]],",",REPT(" ",99)),298,99)))</f>
        <v/>
      </c>
      <c r="DO138" s="42">
        <f>IF(Tasks[[#This Row],[_Res1Text]]="",0,IFERROR(MATCH(TRIM(LEFT(Tasks[[#This Row],[_Res1Text]],FIND("[",Tasks[[#This Row],[_Res1Text]]&amp;"[")-1)),res_Name,0),IFERROR(MATCH(TRIM(LEFT(Tasks[[#This Row],[_Res1Text]],FIND("[",Tasks[[#This Row],[_Res1Text]]&amp;"[")-1)),res_Initials,0),0)))</f>
        <v/>
      </c>
      <c r="DP138" s="42">
        <f>IF(Tasks[[#This Row],[_Res2Text]]="",0,IFERROR(MATCH(TRIM(LEFT(Tasks[[#This Row],[_Res2Text]],FIND("[",Tasks[[#This Row],[_Res2Text]]&amp;"[")-1)),res_Name,0),IFERROR(MATCH(TRIM(LEFT(Tasks[[#This Row],[_Res2Text]],FIND("[",Tasks[[#This Row],[_Res2Text]]&amp;"[")-1)),res_Initials,0),0)))</f>
        <v/>
      </c>
      <c r="DQ138" s="42">
        <f>IF(Tasks[[#This Row],[_Res3Text]]="",0,IFERROR(MATCH(TRIM(LEFT(Tasks[[#This Row],[_Res3Text]],FIND("[",Tasks[[#This Row],[_Res3Text]]&amp;"[")-1)),res_Name,0),IFERROR(MATCH(TRIM(LEFT(Tasks[[#This Row],[_Res3Text]],FIND("[",Tasks[[#This Row],[_Res3Text]]&amp;"[")-1)),res_Initials,0),0)))</f>
        <v/>
      </c>
      <c r="DR138" s="42">
        <f>IF(Tasks[[#This Row],[_Res4Text]]="",0,IFERROR(MATCH(TRIM(LEFT(Tasks[[#This Row],[_Res4Text]],FIND("[",Tasks[[#This Row],[_Res4Text]]&amp;"[")-1)),res_Name,0),IFERROR(MATCH(TRIM(LEFT(Tasks[[#This Row],[_Res4Text]],FIND("[",Tasks[[#This Row],[_Res4Text]]&amp;"[")-1)),res_Initials,0),0)))</f>
        <v/>
      </c>
      <c r="DS138" s="42">
        <f>IF(Tasks[[#This Row],[_Res1Text]]="","",IF(Tasks[[#This Row],[_Res1Row]]&gt;0,INDEX(res_Name,Tasks[[#This Row],[_Res1Row]]),TRIM(LEFT(Tasks[[#This Row],[_Res1Text]],FIND("[",Tasks[[#This Row],[_Res1Text]]&amp;"[")-1))))</f>
        <v/>
      </c>
      <c r="DT13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8" s="42">
        <f>IF(NOT(Tasks[[#This Row],[_IsLeaf]]=1),0,(Tasks[[#This Row],[_Resource1]]&lt;&gt;"")+(Tasks[[#This Row],[_Res2]]&lt;&gt;"")+(Tasks[[#This Row],[_Res3]]&lt;&gt;"")+(Tasks[[#This Row],[_Res4]]&lt;&gt;""))</f>
        <v/>
      </c>
      <c r="DV138" s="42">
        <f>IF(Tasks[[#This Row],[_Res2Text]]="","",IF(Tasks[[#This Row],[_Res2Row]]&gt;0,INDEX(res_Name,Tasks[[#This Row],[_Res2Row]]),TRIM(LEFT(Tasks[[#This Row],[_Res2Text]],FIND("[",Tasks[[#This Row],[_Res2Text]]&amp;"[")-1))))</f>
        <v/>
      </c>
      <c r="DW13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8" s="42">
        <f>IF(OR(NOT(Tasks[[#This Row],[_IsLeaf]]=1),Tasks[[#This Row],[_Res2Row]]=0),0,N(Tasks[[#This Row],[_Days]])*HoursPerDay*IF(Tasks[[#This Row],[_Res2Units]]="",DefaultUnits,Tasks[[#This Row],[_Res2Units]]))</f>
        <v/>
      </c>
      <c r="DY138" s="42">
        <f>IF(AND(AND(Tasks[[#This Row],[_IsLeaf]]=1,Tasks[[#This Row],[_LeafTotalWork]]&gt;0),Tasks[[#This Row],[_Res2Work]]&gt;0),Tasks[[#This Row],[_Res2Work]]/(Tasks[[#This Row],[_FinishWorkday]]-Tasks[[#This Row],[_StartWorkday]]+1),0)</f>
        <v/>
      </c>
      <c r="DZ138" s="42">
        <f>Tasks[[#This Row],[_Res2WorkPerWD]]*MAX(0,Tasks[[#This Row],[_StartWorkday]]-1)</f>
        <v/>
      </c>
      <c r="EA138" s="42">
        <f>Tasks[[#This Row],[_Res2Work]]*Tasks[[#This Row],[_LeafProgress]]</f>
        <v/>
      </c>
      <c r="EB138" s="42">
        <f>IF(Tasks[[#This Row],[_Res3Text]]="","",IF(Tasks[[#This Row],[_Res3Row]]&gt;0,INDEX(res_Name,Tasks[[#This Row],[_Res3Row]]),TRIM(LEFT(Tasks[[#This Row],[_Res3Text]],FIND("[",Tasks[[#This Row],[_Res3Text]]&amp;"[")-1))))</f>
        <v/>
      </c>
      <c r="EC13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8" s="42">
        <f>IF(OR(NOT(Tasks[[#This Row],[_IsLeaf]]=1),Tasks[[#This Row],[_Res3Row]]=0),0,N(Tasks[[#This Row],[_Days]])*HoursPerDay*IF(Tasks[[#This Row],[_Res3Units]]="",DefaultUnits,Tasks[[#This Row],[_Res3Units]]))</f>
        <v/>
      </c>
      <c r="EE138" s="42">
        <f>IF(AND(AND(Tasks[[#This Row],[_IsLeaf]]=1,Tasks[[#This Row],[_LeafTotalWork]]&gt;0),Tasks[[#This Row],[_Res3Work]]&gt;0),Tasks[[#This Row],[_Res3Work]]/(Tasks[[#This Row],[_FinishWorkday]]-Tasks[[#This Row],[_StartWorkday]]+1),0)</f>
        <v/>
      </c>
      <c r="EF138" s="42">
        <f>Tasks[[#This Row],[_Res3WorkPerWD]]*MAX(0,Tasks[[#This Row],[_StartWorkday]]-1)</f>
        <v/>
      </c>
      <c r="EG138" s="42">
        <f>Tasks[[#This Row],[_Res3Work]]*Tasks[[#This Row],[_LeafProgress]]</f>
        <v/>
      </c>
      <c r="EH138" s="42">
        <f>IF(Tasks[[#This Row],[_Res4Text]]="","",IF(Tasks[[#This Row],[_Res4Row]]&gt;0,INDEX(res_Name,Tasks[[#This Row],[_Res4Row]]),TRIM(LEFT(Tasks[[#This Row],[_Res4Text]],FIND("[",Tasks[[#This Row],[_Res4Text]]&amp;"[")-1))))</f>
        <v/>
      </c>
      <c r="EI13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8" s="42">
        <f>IF(OR(NOT(Tasks[[#This Row],[_IsLeaf]]=1),Tasks[[#This Row],[_Res4Row]]=0),0,N(Tasks[[#This Row],[_Days]])*HoursPerDay*IF(Tasks[[#This Row],[_Res4Units]]="",DefaultUnits,Tasks[[#This Row],[_Res4Units]]))</f>
        <v/>
      </c>
      <c r="EK138" s="42">
        <f>IF(AND(AND(Tasks[[#This Row],[_IsLeaf]]=1,Tasks[[#This Row],[_LeafTotalWork]]&gt;0),Tasks[[#This Row],[_Res4Work]]&gt;0),Tasks[[#This Row],[_Res4Work]]/(Tasks[[#This Row],[_FinishWorkday]]-Tasks[[#This Row],[_StartWorkday]]+1),0)</f>
        <v/>
      </c>
      <c r="EL138" s="42">
        <f>Tasks[[#This Row],[_Res4WorkPerWD]]*MAX(0,Tasks[[#This Row],[_StartWorkday]]-1)</f>
        <v/>
      </c>
      <c r="EM138" s="42">
        <f>Tasks[[#This Row],[_Res4Work]]*Tasks[[#This Row],[_LeafProgress]]</f>
        <v/>
      </c>
      <c r="EN138" s="42">
        <f>IF(ISNUMBER(Tasks[[#This Row],[% Complete]]),Tasks[[#This Row],[% Complete]],IF(Tasks[[#This Row],[Stage]]="",0,IFERROR(INDEX(stg_Pct,MATCH(Tasks[[#This Row],[Stage]],stg_Name,0)),0)))</f>
        <v/>
      </c>
      <c r="EO138" s="42">
        <f>IF(NOT(Tasks[[#This Row],[_IsLeaf]]=1),0,IF(N(Tasks[[#This Row],[Actual Finish]])&gt;0,1,MIN(1,Tasks[[#This Row],[_Pct]])))</f>
        <v/>
      </c>
      <c r="EP138" s="42">
        <f>IF(OR(NOT(Tasks[[#This Row],[_IsLeaf]]=1),Tasks[[#This Row],[_Res1Row]]=0),0,N(Tasks[[#This Row],[_Days]])*HoursPerDay*IF(Tasks[[#This Row],[_Units1]]="",DefaultUnits,Tasks[[#This Row],[_Units1]]))</f>
        <v/>
      </c>
      <c r="EQ138" s="42">
        <f>Tasks[[#This Row],[_LeafWork]]+Tasks[[#This Row],[_Res2Work]]+Tasks[[#This Row],[_Res3Work]]+Tasks[[#This Row],[_Res4Work]]</f>
        <v/>
      </c>
      <c r="ER13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8" s="42">
        <f>IF(NOT(Tasks[[#This Row],[_IsLeaf]]=1),0,MAX(_xlfn.MAXIFS(Tasks[_Row],Tasks[_Pred1UID],Tasks[[#This Row],[UID]]),_xlfn.MAXIFS(Tasks[_Row],Tasks[_Pred2UID],Tasks[[#This Row],[UID]]),_xlfn.MAXIFS(Tasks[_Row],Tasks[_Pred3UID],Tasks[[#This Row],[UID]]),_xlfn.MAXIFS(Tasks[_Row],Tasks[_Pred4UID],Tasks[[#This Row],[UID]])))</f>
        <v/>
      </c>
      <c r="FA13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8" s="88">
        <f>IF(NOT(Tasks[[#This Row],[_IsLeaf]]=1),"",IF(N(Tasks[[#This Row],[_Days]])&lt;=0,Tasks[[#This Row],[_LeafLateFinish]],WORKDAY.INTL(Tasks[[#This Row],[_LeafLateFinish]],-(Tasks[[#This Row],[_Days]]-1),WorkWeek,Holidays)))</f>
        <v/>
      </c>
      <c r="FD13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8" s="42">
        <f>AND(Tasks[[#This Row],[_IsLeaf]]=1,Tasks[[#This Row],[_LeafProgress]]&lt;1,N(Tasks[[#This Row],[_LeafTotalSlack]])&lt;=CriticalSlackDays)</f>
        <v/>
      </c>
      <c r="FF138" s="42">
        <f>IF(AND(Tasks[[#This Row],[_IsLeaf]]=1,Tasks[[#This Row],[_ConstraintCode]]=1,Tasks[[#This Row],[Mode]]&lt;&gt;"Manual",N(Tasks[[#This Row],[Actual Start]])=0),MAX(0,N(Tasks[[#This Row],[Free Slack]])),0)</f>
        <v/>
      </c>
      <c r="FG138" s="88">
        <f>IF(NOT(Tasks[[#This Row],[_IsLeaf]]=1),"",IF(Tasks[[#This Row],[_AlapShift]]=0,Tasks[[#This Row],[_LeafCalcStart]],WORKDAY.INTL(Tasks[[#This Row],[_LeafCalcStart]],Tasks[[#This Row],[_AlapShift]],WorkWeek,Holidays)))</f>
        <v/>
      </c>
      <c r="FH138" s="88">
        <f>IF(NOT(Tasks[[#This Row],[_IsLeaf]]=1),"",IF(Tasks[[#This Row],[_AlapShift]]=0,Tasks[[#This Row],[_LeafCalcFinish]],WORKDAY.INTL(Tasks[[#This Row],[_LeafCalcFinish]],Tasks[[#This Row],[_AlapShift]],WorkWeek,Holidays)))</f>
        <v/>
      </c>
      <c r="FI138" s="88">
        <f>IF(NOT(Tasks[[#This Row],[_IsLeaf]]=1),"",IF(Tasks[[#This Row],[_AlapShift]]=0,Tasks[[#This Row],[_LeafFcstStart]],WORKDAY.INTL(Tasks[[#This Row],[_LeafFcstStart]],Tasks[[#This Row],[_AlapShift]],WorkWeek,Holidays)))</f>
        <v/>
      </c>
      <c r="FJ138" s="88">
        <f>IF(NOT(Tasks[[#This Row],[_IsLeaf]]=1),"",IF(Tasks[[#This Row],[_AlapShift]]=0,Tasks[[#This Row],[_LeafFcstFinish]],WORKDAY.INTL(Tasks[[#This Row],[_LeafFcstFinish]],Tasks[[#This Row],[_AlapShift]],WorkWeek,Holidays)))</f>
        <v/>
      </c>
      <c r="FK138" s="88">
        <f>IF(Tasks[[#This Row],[Task Name]]="","",IF(Tasks[[#This Row],[_IsSummary]],MIN(INDEX(Tasks[_ShownCalcStart],Tasks[[#This Row],[_Row]]+1):INDEX(Tasks[_ShownCalcStart],Tasks[[#This Row],[_Row]]+Tasks[[#This Row],[_Descendants]])),Tasks[[#This Row],[_ShownCalcStart]]))</f>
        <v/>
      </c>
      <c r="FL138" s="88">
        <f>IF(Tasks[[#This Row],[Task Name]]="","",IF(Tasks[[#This Row],[_IsSummary]],MAX(INDEX(Tasks[_ShownCalcFinish],Tasks[[#This Row],[_Row]]+1):INDEX(Tasks[_ShownCalcFinish],Tasks[[#This Row],[_Row]]+Tasks[[#This Row],[_Descendants]])),Tasks[[#This Row],[_ShownCalcFinish]]))</f>
        <v/>
      </c>
      <c r="FM13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8" s="42">
        <f>IF(AND(Tasks[[#This Row],[_IsLeaf]]=1,Tasks[[#This Row],[_LeafTotalWork]]&gt;0),NETWORKDAYS.INTL(ProjectStart,Tasks[[#This Row],[_ShownFcstStart]],WorkWeek,Holidays),0)</f>
        <v/>
      </c>
      <c r="FZ138" s="42">
        <f>IF(AND(Tasks[[#This Row],[_IsLeaf]]=1,Tasks[[#This Row],[_LeafTotalWork]]&gt;0),MAX(Tasks[[#This Row],[_StartWorkday]],NETWORKDAYS.INTL(ProjectStart,Tasks[[#This Row],[_ShownFcstFinish]],WorkWeek,Holidays)),0)</f>
        <v/>
      </c>
      <c r="GA138" s="42">
        <f>IF(AND(Tasks[[#This Row],[_IsLeaf]]=1,Tasks[[#This Row],[_LeafTotalWork]]&gt;0),Tasks[[#This Row],[_LeafWork]]/(Tasks[[#This Row],[_FinishWorkday]]-Tasks[[#This Row],[_StartWorkday]]+1),0)</f>
        <v/>
      </c>
      <c r="GB138" s="42">
        <f>Tasks[[#This Row],[_WorkPerWorkday]]*(Tasks[[#This Row],[_StartWorkday]]-1)</f>
        <v/>
      </c>
      <c r="GC138" s="42">
        <f>IF(Tasks[[#This Row],[_IsLeaf]]=1,MAX(N(Tasks[[#This Row],[_Days]]),0.1),0)</f>
        <v/>
      </c>
      <c r="GD138" s="42">
        <f>Tasks[[#This Row],[_WeightDur]]*Tasks[[#This Row],[_LeafProgress]]</f>
        <v/>
      </c>
      <c r="GE138" s="42">
        <f>Tasks[[#This Row],[_WeightDur]]*Tasks[[#This Row],[_PlannedPct]]</f>
        <v/>
      </c>
      <c r="GF13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8" s="42">
        <f>IF(AND(Tasks[[#This Row],[_IsLeaf]]=1,N(Tasks[[#This Row],[_Days]])=0,Tasks[[#This Row],[_LeafProgress]]&lt;1),Tasks[[#This Row],[_ShownFcstFinish]]+Tasks[[#This Row],[_Row]]/100000,"")</f>
        <v/>
      </c>
      <c r="GH13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8" s="42">
        <f>IF(Tasks[[#This Row],[Task Name]]="","",LEFT(Tasks[[#This Row],[WBS]],FIND(".",Tasks[[#This Row],[WBS]]&amp;".")-1))</f>
        <v/>
      </c>
      <c r="GJ138" s="42">
        <f>IF(AND(Tasks[[#This Row],[Task Name]]&lt;&gt;"",Tasks[[#This Row],[_Level]]=1),Tasks[[#This Row],[_Row]],"")</f>
        <v/>
      </c>
      <c r="GK138" s="42">
        <f>IF(AND(Tasks[[#This Row],[_IsLeaf]]=1,N(Tasks[[#This Row],[_Days]])=0),Tasks[[#This Row],[Planned Finish]]+Tasks[[#This Row],[_Row]]/100000,"")</f>
        <v/>
      </c>
      <c r="GL138" s="42">
        <f>IF(AND(Tasks[[#This Row],[_IsLeaf]]=1,Tasks[[#This Row],[_LeafProgress]]&lt;1,OR(N(Tasks[[#This Row],[Finish Var]])&gt;0,Tasks[[#This Row],[Status]]="Late Start")),MAX(0,Tasks[[#This Row],[Finish Var]])+1-Tasks[[#This Row],[_Row]]/1000000,"")</f>
        <v/>
      </c>
      <c r="GM138" s="42">
        <f>IF(AND(Tasks[[#This Row],[_IsLeaf]]=1,N(Tasks[[#This Row],[Actual Start]])=0,Tasks[[#This Row],[_ShownFcstStart]]&gt;=StatusDate,Tasks[[#This Row],[_ShownFcstStart]]&lt;=LookaheadEnd),Tasks[[#This Row],[_ShownFcstStart]]+Tasks[[#This Row],[_Row]]/100000,"")</f>
        <v/>
      </c>
      <c r="GN138" s="42">
        <f>IF(AND(Tasks[[#This Row],[_IsLeaf]]=1,Tasks[[#This Row],[_LeafProgress]]&lt;1,Tasks[[#This Row],[_ShownFcstFinish]]&gt;=StatusDate,Tasks[[#This Row],[_ShownFcstFinish]]&lt;=LookaheadEnd),Tasks[[#This Row],[_ShownFcstFinish]]+Tasks[[#This Row],[_Row]]/100000,"")</f>
        <v/>
      </c>
      <c r="GO138" s="42">
        <f>IF(Tasks[[#This Row],[_LeafCritical]],Tasks[[#This Row],[_ShownFcstStart]]+Tasks[[#This Row],[_Row]]/100000,"")</f>
        <v/>
      </c>
      <c r="GP138" s="42">
        <f>Tasks[[#This Row],[_LeafWork]]*Tasks[[#This Row],[_LeafProgress]]</f>
        <v/>
      </c>
      <c r="GQ138" s="88">
        <f>IF(AND(Tasks[[#This Row],[_IsLeaf]]=1,Tasks[[#This Row],[_LeafProgress]]&gt;=1),IF(N(Tasks[[#This Row],[Actual Finish]])&gt;0,Tasks[[#This Row],[Actual Finish]],Tasks[[#This Row],[_ShownFcstFinish]]),"")</f>
        <v/>
      </c>
      <c r="GR138" s="42">
        <f>IF(Tasks[[#This Row],[_IsLeaf]]=1,N(Tasks[[#This Row],[Story Points]]),0)</f>
        <v/>
      </c>
      <c r="GS138" s="42">
        <f>""</f>
        <v/>
      </c>
      <c r="GT138" s="42">
        <f>IF(Tasks[[#This Row],[Task Name]]="",FALSE(),AND(Tasks[[#This Row],[_IsLeaf]]=1,N(Tasks[[#This Row],[_Days]])=0))</f>
        <v/>
      </c>
      <c r="GU138" s="88">
        <f>IF(Tasks[[#This Row],[Task Name]]="",0,IF(AND(Tasks[[#This Row],[_IsLeaf]]=1,NOT(Tasks[[#This Row],[_IsMilestone]]),N(Tasks[[#This Row],[Progress]])&gt;0),Tasks[[#This Row],[Start]],0))</f>
        <v/>
      </c>
      <c r="GV138" s="88">
        <f>IF(Tasks[[#This Row],[_DoneFrom]]=0,0,IF(Tasks[[#This Row],[Progress]]&gt;=1,Tasks[[#This Row],[Finish]],MAX(Tasks[[#This Row],[_DoneFrom]],Tasks[[#This Row],[Start]]+ROUND((Tasks[[#This Row],[Finish]]-Tasks[[#This Row],[Start]]+1)*Tasks[[#This Row],[Progress]],0)-1)))</f>
        <v/>
      </c>
      <c r="GW138" s="88">
        <f>IF(Tasks[[#This Row],[Task Name]]="",0,IF(OR(NOT(Tasks[[#This Row],[_IsLeaf]]=1),Tasks[[#This Row],[_IsMilestone]],N(Tasks[[#This Row],[Progress]])&gt;=1),0,IF(Tasks[[#This Row],[_DoneTo]]&gt;0,Tasks[[#This Row],[_DoneTo]]+1,Tasks[[#This Row],[Start]])))</f>
        <v/>
      </c>
      <c r="GX138" s="88">
        <f>IF(Tasks[[#This Row],[_RemFrom]]=0,0,Tasks[[#This Row],[Finish]])</f>
        <v/>
      </c>
      <c r="GY138" s="42">
        <f>IF(Tasks[[#This Row],[Task Name]]="",FALSE(),OR(NOT(BaselineSet),N(Tasks[[#This Row],[Baseline Start]])&gt;0))</f>
        <v/>
      </c>
      <c r="GZ138" s="42">
        <f>IF(AND(Sandbox="Yes",L_PARSE_DURATION(Tasks[[#This Row],[Sandbox Duration]])&lt;&gt;""),L_PARSE_DURATION(Tasks[[#This Row],[Sandbox Duration]]),L_PARSE_DURATION(Tasks[[#This Row],[Duration]]))</f>
        <v/>
      </c>
      <c r="HA13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8" s="42">
        <f>IF(Tasks[[#This Row],[_IsLeaf]]=1,Tasks[[#This Row],[_Row]],"")</f>
        <v/>
      </c>
      <c r="HD138" s="42">
        <f>IFERROR(INDEX(Tasks[UID],SMALL(Tasks[_PickKey],Tasks[[#This Row],[_Row]]))&amp;" "&amp;INDEX(Tasks[Task Name],SMALL(Tasks[_PickKey],Tasks[[#This Row],[_Row]])),"")</f>
        <v/>
      </c>
      <c r="HE138" s="42">
        <f>IF(Tasks[[#This Row],[Task Name]]="","",IF(Tasks[[#This Row],[_IsSummary]],NETWORKDAYS.INTL(Tasks[[#This Row],[Start]],Tasks[[#This Row],[Finish]],WorkWeek,Holidays),N(Tasks[[#This Row],[_Days]])))</f>
        <v/>
      </c>
      <c r="HF138" s="42">
        <f>IF(Tasks[[#This Row],[Expected]]="",0,((Tasks[[#This Row],[Pessimistic]]-Tasks[[#This Row],[Optimistic]])/6)^2)</f>
        <v/>
      </c>
      <c r="HG138" s="42">
        <f>IF(Tasks[[#This Row],[Expected]]="",0,Tasks[[#This Row],[Expected]]-N(Tasks[[#This Row],[_Days]]))</f>
        <v/>
      </c>
    </row>
    <row r="139">
      <c r="A139" s="21">
        <f>IF(Tasks[[#This Row],[Task Name]]="","",COUNTA(Tasks[[#Headers],[Task Name]]:Tasks[[#This Row],[Task Name]])-1)</f>
        <v/>
      </c>
      <c r="B139" s="22" t="n">
        <v>147</v>
      </c>
      <c r="C139" s="22" t="n"/>
      <c r="D139" s="23" t="n"/>
      <c r="E139" s="22" t="n"/>
      <c r="F139" s="23" t="n"/>
      <c r="G139" s="22" t="n"/>
      <c r="H139" s="22" t="n"/>
      <c r="I139" s="23" t="n"/>
      <c r="J139" s="22" t="n"/>
      <c r="K139" s="22" t="n"/>
      <c r="L139" s="23" t="n"/>
      <c r="M139" s="22" t="n"/>
      <c r="N139" s="22" t="n"/>
      <c r="O139" s="23" t="n"/>
      <c r="P139" s="22" t="n"/>
      <c r="Q139" s="22" t="n"/>
      <c r="R139" s="23" t="n"/>
      <c r="S139" s="23" t="n"/>
      <c r="T139" s="82" t="n"/>
      <c r="U139" s="23" t="n"/>
      <c r="V139" s="82" t="n"/>
      <c r="W139" s="23" t="n"/>
      <c r="X139" s="82" t="n"/>
      <c r="Y139" s="23" t="n"/>
      <c r="Z139" s="82" t="n"/>
      <c r="AA139" s="23" t="n"/>
      <c r="AB139" s="23" t="n"/>
      <c r="AC139" s="7" t="n"/>
      <c r="AD139" s="7" t="n"/>
      <c r="AE139" s="61">
        <f>IF(Tasks[[#This Row],[Task Name]]="","",IF(Tasks[[#This Row],[_IsSummary]],MIN(INDEX(Tasks[_ShownFcstStart],Tasks[[#This Row],[_Row]]+1):INDEX(Tasks[_ShownFcstStart],Tasks[[#This Row],[_Row]]+Tasks[[#This Row],[_Descendants]])),Tasks[[#This Row],[_ShownFcstStart]]))</f>
        <v/>
      </c>
      <c r="AF139" s="61">
        <f>IF(Tasks[[#This Row],[Task Name]]="","",IF(Tasks[[#This Row],[_IsSummary]],MAX(INDEX(Tasks[_ShownFcstFinish],Tasks[[#This Row],[_Row]]+1):INDEX(Tasks[_ShownFcstFinish],Tasks[[#This Row],[_Row]]+Tasks[[#This Row],[_Descendants]])),Tasks[[#This Row],[_ShownFcstFinish]]))</f>
        <v/>
      </c>
      <c r="AG139" s="21">
        <f>""</f>
        <v/>
      </c>
      <c r="AH139" s="23" t="n"/>
      <c r="AI13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39" s="7" t="n"/>
      <c r="AK139" s="22" t="n"/>
      <c r="AL139" s="23" t="n"/>
      <c r="AM139" s="7" t="n"/>
      <c r="AN139" s="21">
        <f>IF(Tasks[[#This Row],[Task Name]]="","",IF(Tasks[[#This Row],[Finish]]&gt;=Tasks[[#This Row],[Planned Finish]],NETWORKDAYS.INTL(Tasks[[#This Row],[Planned Finish]],Tasks[[#This Row],[Finish]],WorkWeek,Holidays)-1,1-NETWORKDAYS.INTL(Tasks[[#This Row],[Finish]],Tasks[[#This Row],[Planned Finish]],WorkWeek,Holidays)))</f>
        <v/>
      </c>
      <c r="AO139" s="21">
        <f>IF(Tasks[[#This Row],[Task Name]]="","",IF(Tasks[[#This Row],[Progress]]&gt;=1,"Complete",IF(OR(N(Tasks[[#This Row],[Actual Start]])&gt;0,Tasks[[#This Row],[Progress]]&gt;0),IF(Tasks[[#This Row],[Finish Var]]&gt;0,"Behind","In Progress"),IF(Tasks[[#This Row],[Planned Start]]&lt;StatusDate,"Late Start","Not Started"))))</f>
        <v/>
      </c>
      <c r="AP139" s="21">
        <f>IF(Tasks[[#This Row],[Task Name]]="","",IF(IF(Tasks[[#This Row],[_IsSummary]],COUNTIF(INDEX(Tasks[_LeafCritical],Tasks[[#This Row],[_Row]]+1):INDEX(Tasks[_LeafCritical],Tasks[[#This Row],[_Row]]+Tasks[[#This Row],[_Descendants]]),TRUE())&gt;0,Tasks[[#This Row],[_LeafCritical]]),"Yes",""))</f>
        <v/>
      </c>
      <c r="AQ139" s="61">
        <f>IF(Tasks[[#This Row],[Task Name]]="","",IF(N(Tasks[[#This Row],[Baseline Start]])&gt;0,Tasks[[#This Row],[Baseline Start]],Tasks[[#This Row],[_CalcStart]]))</f>
        <v/>
      </c>
      <c r="AR139" s="61">
        <f>IF(Tasks[[#This Row],[Task Name]]="","",IF(N(Tasks[[#This Row],[Baseline Finish]])&gt;0,Tasks[[#This Row],[Baseline Finish]],Tasks[[#This Row],[_CalcFinish]]))</f>
        <v/>
      </c>
      <c r="AS139" s="21">
        <f>IF(Tasks[[#This Row],[Task Name]]="","",IF(Tasks[[#This Row],[Start]]&gt;=Tasks[[#This Row],[Planned Start]],NETWORKDAYS.INTL(Tasks[[#This Row],[Planned Start]],Tasks[[#This Row],[Start]],WorkWeek,Holidays)-1,1-NETWORKDAYS.INTL(Tasks[[#This Row],[Start]],Tasks[[#This Row],[Planned Start]],WorkWeek,Holidays)))</f>
        <v/>
      </c>
      <c r="AT139" s="61">
        <f>IF(Tasks[[#This Row],[Task Name]]="","",IF(Tasks[[#This Row],[_IsSummary]],MIN(INDEX(Tasks[_LeafLateStart],Tasks[[#This Row],[_Row]]+1):INDEX(Tasks[_LeafLateStart],Tasks[[#This Row],[_Row]]+Tasks[[#This Row],[_Descendants]])),Tasks[[#This Row],[_LeafLateStart]]))</f>
        <v/>
      </c>
      <c r="AU139" s="61">
        <f>IF(Tasks[[#This Row],[Task Name]]="","",IF(Tasks[[#This Row],[_IsSummary]],MAX(INDEX(Tasks[_LeafLateFinish],Tasks[[#This Row],[_Row]]+1):INDEX(Tasks[_LeafLateFinish],Tasks[[#This Row],[_Row]]+Tasks[[#This Row],[_Descendants]])),Tasks[[#This Row],[_LeafLateFinish]]))</f>
        <v/>
      </c>
      <c r="AV139" s="21">
        <f>IF(Tasks[[#This Row],[Task Name]]="","",IF(Tasks[[#This Row],[_IsSummary]],MIN(INDEX(Tasks[_LeafTotalSlack],Tasks[[#This Row],[_Row]]+1):INDEX(Tasks[_LeafTotalSlack],Tasks[[#This Row],[_Row]]+Tasks[[#This Row],[_Descendants]])),Tasks[[#This Row],[_LeafTotalSlack]]))</f>
        <v/>
      </c>
      <c r="AW13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3" t="n"/>
      <c r="BA13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f>IF(Tasks[[#This Row],[Task Name]]="","",IF(Tasks[[#This Row],[_Level]]&lt;=OutlineShowLevel,"Yes","No"))</f>
        <v/>
      </c>
      <c r="BE139" s="84">
        <f>IF(Tasks[[#This Row],[Task Name]]="","",IF(Tasks[[#This Row],[_IsSummary]],SUM(INDEX(Tasks[_LeafTotalWork],Tasks[[#This Row],[_Row]]+1):INDEX(Tasks[_LeafTotalWork],Tasks[[#This Row],[_Row]]+Tasks[[#This Row],[_Descendants]])),Tasks[[#This Row],[_LeafTotalWork]]))</f>
        <v/>
      </c>
      <c r="BF139" s="23" t="n"/>
      <c r="BG13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f>""</f>
        <v/>
      </c>
      <c r="BI139" s="85" t="n"/>
      <c r="BJ139" s="22" t="n"/>
      <c r="BK139" s="21">
        <f>IF(OR(Tasks[[#This Row],[Task Name]]="",Tasks[[#This Row],[Baseline Duration]]=""),"",Tasks[[#This Row],[_SpanDays]]-N(Tasks[[#This Row],[Baseline Duration]]))</f>
        <v/>
      </c>
      <c r="BL139" s="84">
        <f>IF(OR(Tasks[[#This Row],[Task Name]]="",Tasks[[#This Row],[Baseline Work]]=""),"",Tasks[[#This Row],[Work]]-N(Tasks[[#This Row],[Baseline Work]]))</f>
        <v/>
      </c>
      <c r="BM139" s="61">
        <f>IF(Tasks[[#This Row],[Task Name]]="","",IF(OR(TakeBaseline="Yes",N(Tasks[[#This Row],[Baseline Start]])=0),Tasks[[#This Row],[Start]],Tasks[[#This Row],[Baseline Start]]))</f>
        <v/>
      </c>
      <c r="BN139" s="61">
        <f>IF(Tasks[[#This Row],[Task Name]]="","",IF(OR(TakeBaseline="Yes",N(Tasks[[#This Row],[Baseline Finish]])=0),Tasks[[#This Row],[Finish]],Tasks[[#This Row],[Baseline Finish]]))</f>
        <v/>
      </c>
      <c r="BO139" s="21">
        <f>IF(Tasks[[#This Row],[Task Name]]="","",IF(OR(TakeBaseline="Yes",N(Tasks[[#This Row],[Baseline Duration]])=0),Tasks[[#This Row],[_SpanDays]],Tasks[[#This Row],[Baseline Duration]]))</f>
        <v/>
      </c>
      <c r="BP139" s="84">
        <f>IF(Tasks[[#This Row],[Task Name]]="","",IF(OR(TakeBaseline="Yes",N(Tasks[[#This Row],[Baseline Work]])=0),Tasks[[#This Row],[Work]],Tasks[[#This Row],[Baseline Work]]))</f>
        <v/>
      </c>
      <c r="BQ139" s="7" t="n"/>
      <c r="BR139" s="7" t="n"/>
      <c r="BS139" s="22" t="n"/>
      <c r="BT139" s="86" t="n"/>
      <c r="BU139" s="23" t="n"/>
      <c r="BV139" s="23" t="n"/>
      <c r="BW139" s="23" t="n"/>
      <c r="BX139" s="87">
        <f>IF(AND(Tasks[[#This Row],[_IsLeaf]]=1,ISNUMBER(Tasks[[#This Row],[Optimistic]]),ISNUMBER(Tasks[[#This Row],[Pessimistic]])),ROUND((Tasks[[#This Row],[Optimistic]]+4*N(Tasks[[#This Row],[_Days]])+Tasks[[#This Row],[Pessimistic]])/6,1),"")</f>
        <v/>
      </c>
      <c r="BY139" s="85" t="n"/>
      <c r="BZ139" s="85" t="n"/>
      <c r="CA139" s="22" t="n"/>
      <c r="CB139" s="42">
        <f>IF(Tasks[[#This Row],[Task Name]]="","",MAX(1,N(Tasks[[#This Row],[Level]])))</f>
        <v/>
      </c>
      <c r="CC139" s="42">
        <f>ROW()-ROW(Tasks[[#Headers],[ID]])</f>
        <v/>
      </c>
      <c r="CD139" s="42">
        <f>IF(OR(Tasks[[#This Row],[Task Name]]="",Tasks[[#This Row],[_Level]]&lt;=1),0,IFERROR(LOOKUP(2,1/(Tasks[[#Headers],[_Level]]:Tasks[[#This Row],[_Level]]=Tasks[[#This Row],[_Level]]-1),ROW(Tasks[[#Headers],[_Level]]:Tasks[[#This Row],[_Level]])),0))</f>
        <v/>
      </c>
      <c r="CE139" s="42">
        <f>IFERROR(N(INDEX(Tasks[_Level],Tasks[[#This Row],[_Row]]+1)),0)</f>
        <v/>
      </c>
      <c r="CF139" s="42">
        <f>AND(Tasks[[#This Row],[Task Name]]&lt;&gt;"",Tasks[[#This Row],[_NextLevel]]&gt;Tasks[[#This Row],[_Level]])</f>
        <v/>
      </c>
      <c r="CG139" s="42">
        <f>IF(Tasks[[#This Row],[_IsSummary]],COUNTIF(Tasks[WBS],Tasks[[#This Row],[WBS]]&amp;".*"),0)</f>
        <v/>
      </c>
      <c r="CH139" s="42">
        <f>IF(AND(Tasks[[#This Row],[Task Name]]&lt;&gt;"",NOT(Tasks[[#This Row],[_IsSummary]])),1,0)</f>
        <v/>
      </c>
      <c r="CI139" s="42">
        <f>IF(N(Tasks[[#This Row],[_Pred1UID]])=0,0,IFERROR(MATCH(Tasks[[#This Row],[_Pred1UID]],Tasks[UID],0),-1))</f>
        <v/>
      </c>
      <c r="CJ139" s="42">
        <f>IF(N(Tasks[[#This Row],[_Pred2UID]])=0,0,IFERROR(MATCH(Tasks[[#This Row],[_Pred2UID]],Tasks[UID],0),-1))</f>
        <v/>
      </c>
      <c r="CK139" s="42">
        <f>IF(N(Tasks[[#This Row],[_Pred3UID]])=0,0,IFERROR(MATCH(Tasks[[#This Row],[_Pred3UID]],Tasks[UID],0),-1))</f>
        <v/>
      </c>
      <c r="CL139" s="42">
        <f>IF(N(Tasks[[#This Row],[_Pred4UID]])=0,0,IFERROR(MATCH(Tasks[[#This Row],[_Pred4UID]],Tasks[UID],0),-1))</f>
        <v/>
      </c>
      <c r="CM13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9" s="88">
        <f>IF(N(Tasks[[#This Row],[Constraint Date]])=0,0,IF(AND(OR(Tasks[[#This Row],[_ConstraintCode]]=3,Tasks[[#This Row],[_ConstraintCode]]=6,Tasks[[#This Row],[_ConstraintCode]]=7),N(Tasks[[#This Row],[_Days]])&gt;1),WORKDAY.INTL(N(Tasks[[#This Row],[Constraint Date]]),-(N(Tasks[[#This Row],[_Days]])-1),WorkWeek,Holidays),N(Tasks[[#This Row],[Constraint Date]])))</f>
        <v/>
      </c>
      <c r="CO139" s="88">
        <f>IF(OR(Tasks[[#This Row],[_ConstraintCode]]=2,Tasks[[#This Row],[_ConstraintCode]]=3,Tasks[[#This Row],[_ConstraintCode]]=4,Tasks[[#This Row],[_ConstraintCode]]=6),Tasks[[#This Row],[_ConstraintStart]],0)</f>
        <v/>
      </c>
      <c r="CP139" s="88">
        <f>IF(OR(Tasks[[#This Row],[_ConstraintCode]]=2,Tasks[[#This Row],[_ConstraintCode]]=3,Tasks[[#This Row],[_ConstraintCode]]=5,Tasks[[#This Row],[_ConstraintCode]]=7),Tasks[[#This Row],[_ConstraintStart]],2958465)</f>
        <v/>
      </c>
      <c r="CQ13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9" s="88">
        <f>IF(NOT(Tasks[[#This Row],[_IsLeaf]]=1),"",IF(N(Tasks[[#This Row],[_Days]])&lt;=0,Tasks[[#This Row],[_LeafCalcStart]],WORKDAY.INTL(Tasks[[#This Row],[_LeafCalcStart]],Tasks[[#This Row],[_Days]]-1,WorkWeek,Holidays)))</f>
        <v/>
      </c>
      <c r="CS13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9" s="42">
        <f>IF(Tasks[[#This Row],[_Predecessors]]="","",TRIM(MID(SUBSTITUTE(SUBSTITUTE(SUBSTITUTE(UPPER(Tasks[[#This Row],[_Predecessors]]),";",",")," ",""),",",REPT(" ",99)),1,99)))</f>
        <v/>
      </c>
      <c r="CV139" s="42">
        <f>IF(Tasks[[#This Row],[_Pred1Text]]="","",IFERROR(VALUE(LEFT(Tasks[[#This Row],[_Pred1Text]],MIN(FIND("F",Tasks[[#This Row],[_Pred1Text]]&amp;"F"),FIND("S",Tasks[[#This Row],[_Pred1Text]]&amp;"S"),FIND("+",Tasks[[#This Row],[_Pred1Text]]&amp;"+"),FIND("-",Tasks[[#This Row],[_Pred1Text]]&amp;"-"))-1)),""))</f>
        <v/>
      </c>
      <c r="CW13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9" s="42">
        <f>IF(Tasks[[#This Row],[_Pred1Text]]="","",TRIM(MID(SUBSTITUTE(SUBSTITUTE(SUBSTITUTE(UPPER(Tasks[[#This Row],[_Predecessors]]),";",",")," ",""),",",REPT(" ",99)),100,99)))</f>
        <v/>
      </c>
      <c r="CZ139" s="42">
        <f>IF(Tasks[[#This Row],[_Pred2Text]]="","",IFERROR(VALUE(LEFT(Tasks[[#This Row],[_Pred2Text]],MIN(FIND("F",Tasks[[#This Row],[_Pred2Text]]&amp;"F"),FIND("S",Tasks[[#This Row],[_Pred2Text]]&amp;"S"),FIND("+",Tasks[[#This Row],[_Pred2Text]]&amp;"+"),FIND("-",Tasks[[#This Row],[_Pred2Text]]&amp;"-"))-1)),""))</f>
        <v/>
      </c>
      <c r="DA13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9" s="42">
        <f>IF(Tasks[[#This Row],[_Pred2Text]]="","",TRIM(MID(SUBSTITUTE(SUBSTITUTE(SUBSTITUTE(UPPER(Tasks[[#This Row],[_Predecessors]]),";",",")," ",""),",",REPT(" ",99)),199,99)))</f>
        <v/>
      </c>
      <c r="DD139" s="42">
        <f>IF(Tasks[[#This Row],[_Pred3Text]]="","",IFERROR(VALUE(LEFT(Tasks[[#This Row],[_Pred3Text]],MIN(FIND("F",Tasks[[#This Row],[_Pred3Text]]&amp;"F"),FIND("S",Tasks[[#This Row],[_Pred3Text]]&amp;"S"),FIND("+",Tasks[[#This Row],[_Pred3Text]]&amp;"+"),FIND("-",Tasks[[#This Row],[_Pred3Text]]&amp;"-"))-1)),""))</f>
        <v/>
      </c>
      <c r="DE13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9" s="42">
        <f>IF(Tasks[[#This Row],[_Pred3Text]]="","",TRIM(MID(SUBSTITUTE(SUBSTITUTE(SUBSTITUTE(UPPER(Tasks[[#This Row],[_Predecessors]]),";",",")," ",""),",",REPT(" ",99)),298,99)))</f>
        <v/>
      </c>
      <c r="DH139" s="42">
        <f>IF(Tasks[[#This Row],[_Pred4Text]]="","",IFERROR(VALUE(LEFT(Tasks[[#This Row],[_Pred4Text]],MIN(FIND("F",Tasks[[#This Row],[_Pred4Text]]&amp;"F"),FIND("S",Tasks[[#This Row],[_Pred4Text]]&amp;"S"),FIND("+",Tasks[[#This Row],[_Pred4Text]]&amp;"+"),FIND("-",Tasks[[#This Row],[_Pred4Text]]&amp;"-"))-1)),""))</f>
        <v/>
      </c>
      <c r="DI13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9" s="42">
        <f>IF(OR(Tasks[[#This Row],[Task Name]]="",Tasks[[#This Row],[_Resources]]=""),"",TRIM(MID(SUBSTITUTE(Tasks[[#This Row],[_Resources]],",",REPT(" ",99)),1,99)))</f>
        <v/>
      </c>
      <c r="DL139" s="42">
        <f>IF(Tasks[[#This Row],[_Res1Text]]="","",TRIM(MID(SUBSTITUTE(Tasks[[#This Row],[_Resources]],",",REPT(" ",99)),100,99)))</f>
        <v/>
      </c>
      <c r="DM139" s="42">
        <f>IF(Tasks[[#This Row],[_Res2Text]]="","",TRIM(MID(SUBSTITUTE(Tasks[[#This Row],[_Resources]],",",REPT(" ",99)),199,99)))</f>
        <v/>
      </c>
      <c r="DN139" s="42">
        <f>IF(Tasks[[#This Row],[_Res3Text]]="","",TRIM(MID(SUBSTITUTE(Tasks[[#This Row],[_Resources]],",",REPT(" ",99)),298,99)))</f>
        <v/>
      </c>
      <c r="DO139" s="42">
        <f>IF(Tasks[[#This Row],[_Res1Text]]="",0,IFERROR(MATCH(TRIM(LEFT(Tasks[[#This Row],[_Res1Text]],FIND("[",Tasks[[#This Row],[_Res1Text]]&amp;"[")-1)),res_Name,0),IFERROR(MATCH(TRIM(LEFT(Tasks[[#This Row],[_Res1Text]],FIND("[",Tasks[[#This Row],[_Res1Text]]&amp;"[")-1)),res_Initials,0),0)))</f>
        <v/>
      </c>
      <c r="DP139" s="42">
        <f>IF(Tasks[[#This Row],[_Res2Text]]="",0,IFERROR(MATCH(TRIM(LEFT(Tasks[[#This Row],[_Res2Text]],FIND("[",Tasks[[#This Row],[_Res2Text]]&amp;"[")-1)),res_Name,0),IFERROR(MATCH(TRIM(LEFT(Tasks[[#This Row],[_Res2Text]],FIND("[",Tasks[[#This Row],[_Res2Text]]&amp;"[")-1)),res_Initials,0),0)))</f>
        <v/>
      </c>
      <c r="DQ139" s="42">
        <f>IF(Tasks[[#This Row],[_Res3Text]]="",0,IFERROR(MATCH(TRIM(LEFT(Tasks[[#This Row],[_Res3Text]],FIND("[",Tasks[[#This Row],[_Res3Text]]&amp;"[")-1)),res_Name,0),IFERROR(MATCH(TRIM(LEFT(Tasks[[#This Row],[_Res3Text]],FIND("[",Tasks[[#This Row],[_Res3Text]]&amp;"[")-1)),res_Initials,0),0)))</f>
        <v/>
      </c>
      <c r="DR139" s="42">
        <f>IF(Tasks[[#This Row],[_Res4Text]]="",0,IFERROR(MATCH(TRIM(LEFT(Tasks[[#This Row],[_Res4Text]],FIND("[",Tasks[[#This Row],[_Res4Text]]&amp;"[")-1)),res_Name,0),IFERROR(MATCH(TRIM(LEFT(Tasks[[#This Row],[_Res4Text]],FIND("[",Tasks[[#This Row],[_Res4Text]]&amp;"[")-1)),res_Initials,0),0)))</f>
        <v/>
      </c>
      <c r="DS139" s="42">
        <f>IF(Tasks[[#This Row],[_Res1Text]]="","",IF(Tasks[[#This Row],[_Res1Row]]&gt;0,INDEX(res_Name,Tasks[[#This Row],[_Res1Row]]),TRIM(LEFT(Tasks[[#This Row],[_Res1Text]],FIND("[",Tasks[[#This Row],[_Res1Text]]&amp;"[")-1))))</f>
        <v/>
      </c>
      <c r="DT13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9" s="42">
        <f>IF(NOT(Tasks[[#This Row],[_IsLeaf]]=1),0,(Tasks[[#This Row],[_Resource1]]&lt;&gt;"")+(Tasks[[#This Row],[_Res2]]&lt;&gt;"")+(Tasks[[#This Row],[_Res3]]&lt;&gt;"")+(Tasks[[#This Row],[_Res4]]&lt;&gt;""))</f>
        <v/>
      </c>
      <c r="DV139" s="42">
        <f>IF(Tasks[[#This Row],[_Res2Text]]="","",IF(Tasks[[#This Row],[_Res2Row]]&gt;0,INDEX(res_Name,Tasks[[#This Row],[_Res2Row]]),TRIM(LEFT(Tasks[[#This Row],[_Res2Text]],FIND("[",Tasks[[#This Row],[_Res2Text]]&amp;"[")-1))))</f>
        <v/>
      </c>
      <c r="DW13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9" s="42">
        <f>IF(OR(NOT(Tasks[[#This Row],[_IsLeaf]]=1),Tasks[[#This Row],[_Res2Row]]=0),0,N(Tasks[[#This Row],[_Days]])*HoursPerDay*IF(Tasks[[#This Row],[_Res2Units]]="",DefaultUnits,Tasks[[#This Row],[_Res2Units]]))</f>
        <v/>
      </c>
      <c r="DY139" s="42">
        <f>IF(AND(AND(Tasks[[#This Row],[_IsLeaf]]=1,Tasks[[#This Row],[_LeafTotalWork]]&gt;0),Tasks[[#This Row],[_Res2Work]]&gt;0),Tasks[[#This Row],[_Res2Work]]/(Tasks[[#This Row],[_FinishWorkday]]-Tasks[[#This Row],[_StartWorkday]]+1),0)</f>
        <v/>
      </c>
      <c r="DZ139" s="42">
        <f>Tasks[[#This Row],[_Res2WorkPerWD]]*MAX(0,Tasks[[#This Row],[_StartWorkday]]-1)</f>
        <v/>
      </c>
      <c r="EA139" s="42">
        <f>Tasks[[#This Row],[_Res2Work]]*Tasks[[#This Row],[_LeafProgress]]</f>
        <v/>
      </c>
      <c r="EB139" s="42">
        <f>IF(Tasks[[#This Row],[_Res3Text]]="","",IF(Tasks[[#This Row],[_Res3Row]]&gt;0,INDEX(res_Name,Tasks[[#This Row],[_Res3Row]]),TRIM(LEFT(Tasks[[#This Row],[_Res3Text]],FIND("[",Tasks[[#This Row],[_Res3Text]]&amp;"[")-1))))</f>
        <v/>
      </c>
      <c r="EC13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9" s="42">
        <f>IF(OR(NOT(Tasks[[#This Row],[_IsLeaf]]=1),Tasks[[#This Row],[_Res3Row]]=0),0,N(Tasks[[#This Row],[_Days]])*HoursPerDay*IF(Tasks[[#This Row],[_Res3Units]]="",DefaultUnits,Tasks[[#This Row],[_Res3Units]]))</f>
        <v/>
      </c>
      <c r="EE139" s="42">
        <f>IF(AND(AND(Tasks[[#This Row],[_IsLeaf]]=1,Tasks[[#This Row],[_LeafTotalWork]]&gt;0),Tasks[[#This Row],[_Res3Work]]&gt;0),Tasks[[#This Row],[_Res3Work]]/(Tasks[[#This Row],[_FinishWorkday]]-Tasks[[#This Row],[_StartWorkday]]+1),0)</f>
        <v/>
      </c>
      <c r="EF139" s="42">
        <f>Tasks[[#This Row],[_Res3WorkPerWD]]*MAX(0,Tasks[[#This Row],[_StartWorkday]]-1)</f>
        <v/>
      </c>
      <c r="EG139" s="42">
        <f>Tasks[[#This Row],[_Res3Work]]*Tasks[[#This Row],[_LeafProgress]]</f>
        <v/>
      </c>
      <c r="EH139" s="42">
        <f>IF(Tasks[[#This Row],[_Res4Text]]="","",IF(Tasks[[#This Row],[_Res4Row]]&gt;0,INDEX(res_Name,Tasks[[#This Row],[_Res4Row]]),TRIM(LEFT(Tasks[[#This Row],[_Res4Text]],FIND("[",Tasks[[#This Row],[_Res4Text]]&amp;"[")-1))))</f>
        <v/>
      </c>
      <c r="EI13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9" s="42">
        <f>IF(OR(NOT(Tasks[[#This Row],[_IsLeaf]]=1),Tasks[[#This Row],[_Res4Row]]=0),0,N(Tasks[[#This Row],[_Days]])*HoursPerDay*IF(Tasks[[#This Row],[_Res4Units]]="",DefaultUnits,Tasks[[#This Row],[_Res4Units]]))</f>
        <v/>
      </c>
      <c r="EK139" s="42">
        <f>IF(AND(AND(Tasks[[#This Row],[_IsLeaf]]=1,Tasks[[#This Row],[_LeafTotalWork]]&gt;0),Tasks[[#This Row],[_Res4Work]]&gt;0),Tasks[[#This Row],[_Res4Work]]/(Tasks[[#This Row],[_FinishWorkday]]-Tasks[[#This Row],[_StartWorkday]]+1),0)</f>
        <v/>
      </c>
      <c r="EL139" s="42">
        <f>Tasks[[#This Row],[_Res4WorkPerWD]]*MAX(0,Tasks[[#This Row],[_StartWorkday]]-1)</f>
        <v/>
      </c>
      <c r="EM139" s="42">
        <f>Tasks[[#This Row],[_Res4Work]]*Tasks[[#This Row],[_LeafProgress]]</f>
        <v/>
      </c>
      <c r="EN139" s="42">
        <f>IF(ISNUMBER(Tasks[[#This Row],[% Complete]]),Tasks[[#This Row],[% Complete]],IF(Tasks[[#This Row],[Stage]]="",0,IFERROR(INDEX(stg_Pct,MATCH(Tasks[[#This Row],[Stage]],stg_Name,0)),0)))</f>
        <v/>
      </c>
      <c r="EO139" s="42">
        <f>IF(NOT(Tasks[[#This Row],[_IsLeaf]]=1),0,IF(N(Tasks[[#This Row],[Actual Finish]])&gt;0,1,MIN(1,Tasks[[#This Row],[_Pct]])))</f>
        <v/>
      </c>
      <c r="EP139" s="42">
        <f>IF(OR(NOT(Tasks[[#This Row],[_IsLeaf]]=1),Tasks[[#This Row],[_Res1Row]]=0),0,N(Tasks[[#This Row],[_Days]])*HoursPerDay*IF(Tasks[[#This Row],[_Units1]]="",DefaultUnits,Tasks[[#This Row],[_Units1]]))</f>
        <v/>
      </c>
      <c r="EQ139" s="42">
        <f>Tasks[[#This Row],[_LeafWork]]+Tasks[[#This Row],[_Res2Work]]+Tasks[[#This Row],[_Res3Work]]+Tasks[[#This Row],[_Res4Work]]</f>
        <v/>
      </c>
      <c r="ER13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9" s="42">
        <f>IF(NOT(Tasks[[#This Row],[_IsLeaf]]=1),0,MAX(_xlfn.MAXIFS(Tasks[_Row],Tasks[_Pred1UID],Tasks[[#This Row],[UID]]),_xlfn.MAXIFS(Tasks[_Row],Tasks[_Pred2UID],Tasks[[#This Row],[UID]]),_xlfn.MAXIFS(Tasks[_Row],Tasks[_Pred3UID],Tasks[[#This Row],[UID]]),_xlfn.MAXIFS(Tasks[_Row],Tasks[_Pred4UID],Tasks[[#This Row],[UID]])))</f>
        <v/>
      </c>
      <c r="FA13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9" s="88">
        <f>IF(NOT(Tasks[[#This Row],[_IsLeaf]]=1),"",IF(N(Tasks[[#This Row],[_Days]])&lt;=0,Tasks[[#This Row],[_LeafLateFinish]],WORKDAY.INTL(Tasks[[#This Row],[_LeafLateFinish]],-(Tasks[[#This Row],[_Days]]-1),WorkWeek,Holidays)))</f>
        <v/>
      </c>
      <c r="FD13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9" s="42">
        <f>AND(Tasks[[#This Row],[_IsLeaf]]=1,Tasks[[#This Row],[_LeafProgress]]&lt;1,N(Tasks[[#This Row],[_LeafTotalSlack]])&lt;=CriticalSlackDays)</f>
        <v/>
      </c>
      <c r="FF139" s="42">
        <f>IF(AND(Tasks[[#This Row],[_IsLeaf]]=1,Tasks[[#This Row],[_ConstraintCode]]=1,Tasks[[#This Row],[Mode]]&lt;&gt;"Manual",N(Tasks[[#This Row],[Actual Start]])=0),MAX(0,N(Tasks[[#This Row],[Free Slack]])),0)</f>
        <v/>
      </c>
      <c r="FG139" s="88">
        <f>IF(NOT(Tasks[[#This Row],[_IsLeaf]]=1),"",IF(Tasks[[#This Row],[_AlapShift]]=0,Tasks[[#This Row],[_LeafCalcStart]],WORKDAY.INTL(Tasks[[#This Row],[_LeafCalcStart]],Tasks[[#This Row],[_AlapShift]],WorkWeek,Holidays)))</f>
        <v/>
      </c>
      <c r="FH139" s="88">
        <f>IF(NOT(Tasks[[#This Row],[_IsLeaf]]=1),"",IF(Tasks[[#This Row],[_AlapShift]]=0,Tasks[[#This Row],[_LeafCalcFinish]],WORKDAY.INTL(Tasks[[#This Row],[_LeafCalcFinish]],Tasks[[#This Row],[_AlapShift]],WorkWeek,Holidays)))</f>
        <v/>
      </c>
      <c r="FI139" s="88">
        <f>IF(NOT(Tasks[[#This Row],[_IsLeaf]]=1),"",IF(Tasks[[#This Row],[_AlapShift]]=0,Tasks[[#This Row],[_LeafFcstStart]],WORKDAY.INTL(Tasks[[#This Row],[_LeafFcstStart]],Tasks[[#This Row],[_AlapShift]],WorkWeek,Holidays)))</f>
        <v/>
      </c>
      <c r="FJ139" s="88">
        <f>IF(NOT(Tasks[[#This Row],[_IsLeaf]]=1),"",IF(Tasks[[#This Row],[_AlapShift]]=0,Tasks[[#This Row],[_LeafFcstFinish]],WORKDAY.INTL(Tasks[[#This Row],[_LeafFcstFinish]],Tasks[[#This Row],[_AlapShift]],WorkWeek,Holidays)))</f>
        <v/>
      </c>
      <c r="FK139" s="88">
        <f>IF(Tasks[[#This Row],[Task Name]]="","",IF(Tasks[[#This Row],[_IsSummary]],MIN(INDEX(Tasks[_ShownCalcStart],Tasks[[#This Row],[_Row]]+1):INDEX(Tasks[_ShownCalcStart],Tasks[[#This Row],[_Row]]+Tasks[[#This Row],[_Descendants]])),Tasks[[#This Row],[_ShownCalcStart]]))</f>
        <v/>
      </c>
      <c r="FL139" s="88">
        <f>IF(Tasks[[#This Row],[Task Name]]="","",IF(Tasks[[#This Row],[_IsSummary]],MAX(INDEX(Tasks[_ShownCalcFinish],Tasks[[#This Row],[_Row]]+1):INDEX(Tasks[_ShownCalcFinish],Tasks[[#This Row],[_Row]]+Tasks[[#This Row],[_Descendants]])),Tasks[[#This Row],[_ShownCalcFinish]]))</f>
        <v/>
      </c>
      <c r="FM13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9" s="42">
        <f>IF(AND(Tasks[[#This Row],[_IsLeaf]]=1,Tasks[[#This Row],[_LeafTotalWork]]&gt;0),NETWORKDAYS.INTL(ProjectStart,Tasks[[#This Row],[_ShownFcstStart]],WorkWeek,Holidays),0)</f>
        <v/>
      </c>
      <c r="FZ139" s="42">
        <f>IF(AND(Tasks[[#This Row],[_IsLeaf]]=1,Tasks[[#This Row],[_LeafTotalWork]]&gt;0),MAX(Tasks[[#This Row],[_StartWorkday]],NETWORKDAYS.INTL(ProjectStart,Tasks[[#This Row],[_ShownFcstFinish]],WorkWeek,Holidays)),0)</f>
        <v/>
      </c>
      <c r="GA139" s="42">
        <f>IF(AND(Tasks[[#This Row],[_IsLeaf]]=1,Tasks[[#This Row],[_LeafTotalWork]]&gt;0),Tasks[[#This Row],[_LeafWork]]/(Tasks[[#This Row],[_FinishWorkday]]-Tasks[[#This Row],[_StartWorkday]]+1),0)</f>
        <v/>
      </c>
      <c r="GB139" s="42">
        <f>Tasks[[#This Row],[_WorkPerWorkday]]*(Tasks[[#This Row],[_StartWorkday]]-1)</f>
        <v/>
      </c>
      <c r="GC139" s="42">
        <f>IF(Tasks[[#This Row],[_IsLeaf]]=1,MAX(N(Tasks[[#This Row],[_Days]]),0.1),0)</f>
        <v/>
      </c>
      <c r="GD139" s="42">
        <f>Tasks[[#This Row],[_WeightDur]]*Tasks[[#This Row],[_LeafProgress]]</f>
        <v/>
      </c>
      <c r="GE139" s="42">
        <f>Tasks[[#This Row],[_WeightDur]]*Tasks[[#This Row],[_PlannedPct]]</f>
        <v/>
      </c>
      <c r="GF13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9" s="42">
        <f>IF(AND(Tasks[[#This Row],[_IsLeaf]]=1,N(Tasks[[#This Row],[_Days]])=0,Tasks[[#This Row],[_LeafProgress]]&lt;1),Tasks[[#This Row],[_ShownFcstFinish]]+Tasks[[#This Row],[_Row]]/100000,"")</f>
        <v/>
      </c>
      <c r="GH13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9" s="42">
        <f>IF(Tasks[[#This Row],[Task Name]]="","",LEFT(Tasks[[#This Row],[WBS]],FIND(".",Tasks[[#This Row],[WBS]]&amp;".")-1))</f>
        <v/>
      </c>
      <c r="GJ139" s="42">
        <f>IF(AND(Tasks[[#This Row],[Task Name]]&lt;&gt;"",Tasks[[#This Row],[_Level]]=1),Tasks[[#This Row],[_Row]],"")</f>
        <v/>
      </c>
      <c r="GK139" s="42">
        <f>IF(AND(Tasks[[#This Row],[_IsLeaf]]=1,N(Tasks[[#This Row],[_Days]])=0),Tasks[[#This Row],[Planned Finish]]+Tasks[[#This Row],[_Row]]/100000,"")</f>
        <v/>
      </c>
      <c r="GL139" s="42">
        <f>IF(AND(Tasks[[#This Row],[_IsLeaf]]=1,Tasks[[#This Row],[_LeafProgress]]&lt;1,OR(N(Tasks[[#This Row],[Finish Var]])&gt;0,Tasks[[#This Row],[Status]]="Late Start")),MAX(0,Tasks[[#This Row],[Finish Var]])+1-Tasks[[#This Row],[_Row]]/1000000,"")</f>
        <v/>
      </c>
      <c r="GM139" s="42">
        <f>IF(AND(Tasks[[#This Row],[_IsLeaf]]=1,N(Tasks[[#This Row],[Actual Start]])=0,Tasks[[#This Row],[_ShownFcstStart]]&gt;=StatusDate,Tasks[[#This Row],[_ShownFcstStart]]&lt;=LookaheadEnd),Tasks[[#This Row],[_ShownFcstStart]]+Tasks[[#This Row],[_Row]]/100000,"")</f>
        <v/>
      </c>
      <c r="GN139" s="42">
        <f>IF(AND(Tasks[[#This Row],[_IsLeaf]]=1,Tasks[[#This Row],[_LeafProgress]]&lt;1,Tasks[[#This Row],[_ShownFcstFinish]]&gt;=StatusDate,Tasks[[#This Row],[_ShownFcstFinish]]&lt;=LookaheadEnd),Tasks[[#This Row],[_ShownFcstFinish]]+Tasks[[#This Row],[_Row]]/100000,"")</f>
        <v/>
      </c>
      <c r="GO139" s="42">
        <f>IF(Tasks[[#This Row],[_LeafCritical]],Tasks[[#This Row],[_ShownFcstStart]]+Tasks[[#This Row],[_Row]]/100000,"")</f>
        <v/>
      </c>
      <c r="GP139" s="42">
        <f>Tasks[[#This Row],[_LeafWork]]*Tasks[[#This Row],[_LeafProgress]]</f>
        <v/>
      </c>
      <c r="GQ139" s="88">
        <f>IF(AND(Tasks[[#This Row],[_IsLeaf]]=1,Tasks[[#This Row],[_LeafProgress]]&gt;=1),IF(N(Tasks[[#This Row],[Actual Finish]])&gt;0,Tasks[[#This Row],[Actual Finish]],Tasks[[#This Row],[_ShownFcstFinish]]),"")</f>
        <v/>
      </c>
      <c r="GR139" s="42">
        <f>IF(Tasks[[#This Row],[_IsLeaf]]=1,N(Tasks[[#This Row],[Story Points]]),0)</f>
        <v/>
      </c>
      <c r="GS139" s="42">
        <f>""</f>
        <v/>
      </c>
      <c r="GT139" s="42">
        <f>IF(Tasks[[#This Row],[Task Name]]="",FALSE(),AND(Tasks[[#This Row],[_IsLeaf]]=1,N(Tasks[[#This Row],[_Days]])=0))</f>
        <v/>
      </c>
      <c r="GU139" s="88">
        <f>IF(Tasks[[#This Row],[Task Name]]="",0,IF(AND(Tasks[[#This Row],[_IsLeaf]]=1,NOT(Tasks[[#This Row],[_IsMilestone]]),N(Tasks[[#This Row],[Progress]])&gt;0),Tasks[[#This Row],[Start]],0))</f>
        <v/>
      </c>
      <c r="GV139" s="88">
        <f>IF(Tasks[[#This Row],[_DoneFrom]]=0,0,IF(Tasks[[#This Row],[Progress]]&gt;=1,Tasks[[#This Row],[Finish]],MAX(Tasks[[#This Row],[_DoneFrom]],Tasks[[#This Row],[Start]]+ROUND((Tasks[[#This Row],[Finish]]-Tasks[[#This Row],[Start]]+1)*Tasks[[#This Row],[Progress]],0)-1)))</f>
        <v/>
      </c>
      <c r="GW139" s="88">
        <f>IF(Tasks[[#This Row],[Task Name]]="",0,IF(OR(NOT(Tasks[[#This Row],[_IsLeaf]]=1),Tasks[[#This Row],[_IsMilestone]],N(Tasks[[#This Row],[Progress]])&gt;=1),0,IF(Tasks[[#This Row],[_DoneTo]]&gt;0,Tasks[[#This Row],[_DoneTo]]+1,Tasks[[#This Row],[Start]])))</f>
        <v/>
      </c>
      <c r="GX139" s="88">
        <f>IF(Tasks[[#This Row],[_RemFrom]]=0,0,Tasks[[#This Row],[Finish]])</f>
        <v/>
      </c>
      <c r="GY139" s="42">
        <f>IF(Tasks[[#This Row],[Task Name]]="",FALSE(),OR(NOT(BaselineSet),N(Tasks[[#This Row],[Baseline Start]])&gt;0))</f>
        <v/>
      </c>
      <c r="GZ139" s="42">
        <f>IF(AND(Sandbox="Yes",L_PARSE_DURATION(Tasks[[#This Row],[Sandbox Duration]])&lt;&gt;""),L_PARSE_DURATION(Tasks[[#This Row],[Sandbox Duration]]),L_PARSE_DURATION(Tasks[[#This Row],[Duration]]))</f>
        <v/>
      </c>
      <c r="HA13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3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9" s="42">
        <f>IF(Tasks[[#This Row],[_IsLeaf]]=1,Tasks[[#This Row],[_Row]],"")</f>
        <v/>
      </c>
      <c r="HD139" s="42">
        <f>IFERROR(INDEX(Tasks[UID],SMALL(Tasks[_PickKey],Tasks[[#This Row],[_Row]]))&amp;" "&amp;INDEX(Tasks[Task Name],SMALL(Tasks[_PickKey],Tasks[[#This Row],[_Row]])),"")</f>
        <v/>
      </c>
      <c r="HE139" s="42">
        <f>IF(Tasks[[#This Row],[Task Name]]="","",IF(Tasks[[#This Row],[_IsSummary]],NETWORKDAYS.INTL(Tasks[[#This Row],[Start]],Tasks[[#This Row],[Finish]],WorkWeek,Holidays),N(Tasks[[#This Row],[_Days]])))</f>
        <v/>
      </c>
      <c r="HF139" s="42">
        <f>IF(Tasks[[#This Row],[Expected]]="",0,((Tasks[[#This Row],[Pessimistic]]-Tasks[[#This Row],[Optimistic]])/6)^2)</f>
        <v/>
      </c>
      <c r="HG139" s="42">
        <f>IF(Tasks[[#This Row],[Expected]]="",0,Tasks[[#This Row],[Expected]]-N(Tasks[[#This Row],[_Days]]))</f>
        <v/>
      </c>
    </row>
    <row r="140">
      <c r="A140" s="21">
        <f>IF(Tasks[[#This Row],[Task Name]]="","",COUNTA(Tasks[[#Headers],[Task Name]]:Tasks[[#This Row],[Task Name]])-1)</f>
        <v/>
      </c>
      <c r="B140" s="22" t="n">
        <v>148</v>
      </c>
      <c r="C140" s="22" t="n"/>
      <c r="D140" s="23" t="n"/>
      <c r="E140" s="22" t="n"/>
      <c r="F140" s="23" t="n"/>
      <c r="G140" s="22" t="n"/>
      <c r="H140" s="22" t="n"/>
      <c r="I140" s="23" t="n"/>
      <c r="J140" s="22" t="n"/>
      <c r="K140" s="22" t="n"/>
      <c r="L140" s="23" t="n"/>
      <c r="M140" s="22" t="n"/>
      <c r="N140" s="22" t="n"/>
      <c r="O140" s="23" t="n"/>
      <c r="P140" s="22" t="n"/>
      <c r="Q140" s="22" t="n"/>
      <c r="R140" s="23" t="n"/>
      <c r="S140" s="23" t="n"/>
      <c r="T140" s="82" t="n"/>
      <c r="U140" s="23" t="n"/>
      <c r="V140" s="82" t="n"/>
      <c r="W140" s="23" t="n"/>
      <c r="X140" s="82" t="n"/>
      <c r="Y140" s="23" t="n"/>
      <c r="Z140" s="82" t="n"/>
      <c r="AA140" s="23" t="n"/>
      <c r="AB140" s="23" t="n"/>
      <c r="AC140" s="7" t="n"/>
      <c r="AD140" s="7" t="n"/>
      <c r="AE140" s="61">
        <f>IF(Tasks[[#This Row],[Task Name]]="","",IF(Tasks[[#This Row],[_IsSummary]],MIN(INDEX(Tasks[_ShownFcstStart],Tasks[[#This Row],[_Row]]+1):INDEX(Tasks[_ShownFcstStart],Tasks[[#This Row],[_Row]]+Tasks[[#This Row],[_Descendants]])),Tasks[[#This Row],[_ShownFcstStart]]))</f>
        <v/>
      </c>
      <c r="AF140" s="61">
        <f>IF(Tasks[[#This Row],[Task Name]]="","",IF(Tasks[[#This Row],[_IsSummary]],MAX(INDEX(Tasks[_ShownFcstFinish],Tasks[[#This Row],[_Row]]+1):INDEX(Tasks[_ShownFcstFinish],Tasks[[#This Row],[_Row]]+Tasks[[#This Row],[_Descendants]])),Tasks[[#This Row],[_ShownFcstFinish]]))</f>
        <v/>
      </c>
      <c r="AG140" s="21">
        <f>""</f>
        <v/>
      </c>
      <c r="AH140" s="23" t="n"/>
      <c r="AI14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0" s="7" t="n"/>
      <c r="AK140" s="22" t="n"/>
      <c r="AL140" s="23" t="n"/>
      <c r="AM140" s="7" t="n"/>
      <c r="AN140" s="21">
        <f>IF(Tasks[[#This Row],[Task Name]]="","",IF(Tasks[[#This Row],[Finish]]&gt;=Tasks[[#This Row],[Planned Finish]],NETWORKDAYS.INTL(Tasks[[#This Row],[Planned Finish]],Tasks[[#This Row],[Finish]],WorkWeek,Holidays)-1,1-NETWORKDAYS.INTL(Tasks[[#This Row],[Finish]],Tasks[[#This Row],[Planned Finish]],WorkWeek,Holidays)))</f>
        <v/>
      </c>
      <c r="AO140" s="21">
        <f>IF(Tasks[[#This Row],[Task Name]]="","",IF(Tasks[[#This Row],[Progress]]&gt;=1,"Complete",IF(OR(N(Tasks[[#This Row],[Actual Start]])&gt;0,Tasks[[#This Row],[Progress]]&gt;0),IF(Tasks[[#This Row],[Finish Var]]&gt;0,"Behind","In Progress"),IF(Tasks[[#This Row],[Planned Start]]&lt;StatusDate,"Late Start","Not Started"))))</f>
        <v/>
      </c>
      <c r="AP140" s="21">
        <f>IF(Tasks[[#This Row],[Task Name]]="","",IF(IF(Tasks[[#This Row],[_IsSummary]],COUNTIF(INDEX(Tasks[_LeafCritical],Tasks[[#This Row],[_Row]]+1):INDEX(Tasks[_LeafCritical],Tasks[[#This Row],[_Row]]+Tasks[[#This Row],[_Descendants]]),TRUE())&gt;0,Tasks[[#This Row],[_LeafCritical]]),"Yes",""))</f>
        <v/>
      </c>
      <c r="AQ140" s="61">
        <f>IF(Tasks[[#This Row],[Task Name]]="","",IF(N(Tasks[[#This Row],[Baseline Start]])&gt;0,Tasks[[#This Row],[Baseline Start]],Tasks[[#This Row],[_CalcStart]]))</f>
        <v/>
      </c>
      <c r="AR140" s="61">
        <f>IF(Tasks[[#This Row],[Task Name]]="","",IF(N(Tasks[[#This Row],[Baseline Finish]])&gt;0,Tasks[[#This Row],[Baseline Finish]],Tasks[[#This Row],[_CalcFinish]]))</f>
        <v/>
      </c>
      <c r="AS140" s="21">
        <f>IF(Tasks[[#This Row],[Task Name]]="","",IF(Tasks[[#This Row],[Start]]&gt;=Tasks[[#This Row],[Planned Start]],NETWORKDAYS.INTL(Tasks[[#This Row],[Planned Start]],Tasks[[#This Row],[Start]],WorkWeek,Holidays)-1,1-NETWORKDAYS.INTL(Tasks[[#This Row],[Start]],Tasks[[#This Row],[Planned Start]],WorkWeek,Holidays)))</f>
        <v/>
      </c>
      <c r="AT140" s="61">
        <f>IF(Tasks[[#This Row],[Task Name]]="","",IF(Tasks[[#This Row],[_IsSummary]],MIN(INDEX(Tasks[_LeafLateStart],Tasks[[#This Row],[_Row]]+1):INDEX(Tasks[_LeafLateStart],Tasks[[#This Row],[_Row]]+Tasks[[#This Row],[_Descendants]])),Tasks[[#This Row],[_LeafLateStart]]))</f>
        <v/>
      </c>
      <c r="AU140" s="61">
        <f>IF(Tasks[[#This Row],[Task Name]]="","",IF(Tasks[[#This Row],[_IsSummary]],MAX(INDEX(Tasks[_LeafLateFinish],Tasks[[#This Row],[_Row]]+1):INDEX(Tasks[_LeafLateFinish],Tasks[[#This Row],[_Row]]+Tasks[[#This Row],[_Descendants]])),Tasks[[#This Row],[_LeafLateFinish]]))</f>
        <v/>
      </c>
      <c r="AV140" s="21">
        <f>IF(Tasks[[#This Row],[Task Name]]="","",IF(Tasks[[#This Row],[_IsSummary]],MIN(INDEX(Tasks[_LeafTotalSlack],Tasks[[#This Row],[_Row]]+1):INDEX(Tasks[_LeafTotalSlack],Tasks[[#This Row],[_Row]]+Tasks[[#This Row],[_Descendants]])),Tasks[[#This Row],[_LeafTotalSlack]]))</f>
        <v/>
      </c>
      <c r="AW14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3" t="n"/>
      <c r="BA14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f>IF(Tasks[[#This Row],[Task Name]]="","",IF(Tasks[[#This Row],[_Level]]&lt;=OutlineShowLevel,"Yes","No"))</f>
        <v/>
      </c>
      <c r="BE140" s="84">
        <f>IF(Tasks[[#This Row],[Task Name]]="","",IF(Tasks[[#This Row],[_IsSummary]],SUM(INDEX(Tasks[_LeafTotalWork],Tasks[[#This Row],[_Row]]+1):INDEX(Tasks[_LeafTotalWork],Tasks[[#This Row],[_Row]]+Tasks[[#This Row],[_Descendants]])),Tasks[[#This Row],[_LeafTotalWork]]))</f>
        <v/>
      </c>
      <c r="BF140" s="23" t="n"/>
      <c r="BG14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f>""</f>
        <v/>
      </c>
      <c r="BI140" s="85" t="n"/>
      <c r="BJ140" s="22" t="n"/>
      <c r="BK140" s="21">
        <f>IF(OR(Tasks[[#This Row],[Task Name]]="",Tasks[[#This Row],[Baseline Duration]]=""),"",Tasks[[#This Row],[_SpanDays]]-N(Tasks[[#This Row],[Baseline Duration]]))</f>
        <v/>
      </c>
      <c r="BL140" s="84">
        <f>IF(OR(Tasks[[#This Row],[Task Name]]="",Tasks[[#This Row],[Baseline Work]]=""),"",Tasks[[#This Row],[Work]]-N(Tasks[[#This Row],[Baseline Work]]))</f>
        <v/>
      </c>
      <c r="BM140" s="61">
        <f>IF(Tasks[[#This Row],[Task Name]]="","",IF(OR(TakeBaseline="Yes",N(Tasks[[#This Row],[Baseline Start]])=0),Tasks[[#This Row],[Start]],Tasks[[#This Row],[Baseline Start]]))</f>
        <v/>
      </c>
      <c r="BN140" s="61">
        <f>IF(Tasks[[#This Row],[Task Name]]="","",IF(OR(TakeBaseline="Yes",N(Tasks[[#This Row],[Baseline Finish]])=0),Tasks[[#This Row],[Finish]],Tasks[[#This Row],[Baseline Finish]]))</f>
        <v/>
      </c>
      <c r="BO140" s="21">
        <f>IF(Tasks[[#This Row],[Task Name]]="","",IF(OR(TakeBaseline="Yes",N(Tasks[[#This Row],[Baseline Duration]])=0),Tasks[[#This Row],[_SpanDays]],Tasks[[#This Row],[Baseline Duration]]))</f>
        <v/>
      </c>
      <c r="BP140" s="84">
        <f>IF(Tasks[[#This Row],[Task Name]]="","",IF(OR(TakeBaseline="Yes",N(Tasks[[#This Row],[Baseline Work]])=0),Tasks[[#This Row],[Work]],Tasks[[#This Row],[Baseline Work]]))</f>
        <v/>
      </c>
      <c r="BQ140" s="7" t="n"/>
      <c r="BR140" s="7" t="n"/>
      <c r="BS140" s="22" t="n"/>
      <c r="BT140" s="86" t="n"/>
      <c r="BU140" s="23" t="n"/>
      <c r="BV140" s="23" t="n"/>
      <c r="BW140" s="23" t="n"/>
      <c r="BX140" s="87">
        <f>IF(AND(Tasks[[#This Row],[_IsLeaf]]=1,ISNUMBER(Tasks[[#This Row],[Optimistic]]),ISNUMBER(Tasks[[#This Row],[Pessimistic]])),ROUND((Tasks[[#This Row],[Optimistic]]+4*N(Tasks[[#This Row],[_Days]])+Tasks[[#This Row],[Pessimistic]])/6,1),"")</f>
        <v/>
      </c>
      <c r="BY140" s="85" t="n"/>
      <c r="BZ140" s="85" t="n"/>
      <c r="CA140" s="22" t="n"/>
      <c r="CB140" s="42">
        <f>IF(Tasks[[#This Row],[Task Name]]="","",MAX(1,N(Tasks[[#This Row],[Level]])))</f>
        <v/>
      </c>
      <c r="CC140" s="42">
        <f>ROW()-ROW(Tasks[[#Headers],[ID]])</f>
        <v/>
      </c>
      <c r="CD140" s="42">
        <f>IF(OR(Tasks[[#This Row],[Task Name]]="",Tasks[[#This Row],[_Level]]&lt;=1),0,IFERROR(LOOKUP(2,1/(Tasks[[#Headers],[_Level]]:Tasks[[#This Row],[_Level]]=Tasks[[#This Row],[_Level]]-1),ROW(Tasks[[#Headers],[_Level]]:Tasks[[#This Row],[_Level]])),0))</f>
        <v/>
      </c>
      <c r="CE140" s="42">
        <f>IFERROR(N(INDEX(Tasks[_Level],Tasks[[#This Row],[_Row]]+1)),0)</f>
        <v/>
      </c>
      <c r="CF140" s="42">
        <f>AND(Tasks[[#This Row],[Task Name]]&lt;&gt;"",Tasks[[#This Row],[_NextLevel]]&gt;Tasks[[#This Row],[_Level]])</f>
        <v/>
      </c>
      <c r="CG140" s="42">
        <f>IF(Tasks[[#This Row],[_IsSummary]],COUNTIF(Tasks[WBS],Tasks[[#This Row],[WBS]]&amp;".*"),0)</f>
        <v/>
      </c>
      <c r="CH140" s="42">
        <f>IF(AND(Tasks[[#This Row],[Task Name]]&lt;&gt;"",NOT(Tasks[[#This Row],[_IsSummary]])),1,0)</f>
        <v/>
      </c>
      <c r="CI140" s="42">
        <f>IF(N(Tasks[[#This Row],[_Pred1UID]])=0,0,IFERROR(MATCH(Tasks[[#This Row],[_Pred1UID]],Tasks[UID],0),-1))</f>
        <v/>
      </c>
      <c r="CJ140" s="42">
        <f>IF(N(Tasks[[#This Row],[_Pred2UID]])=0,0,IFERROR(MATCH(Tasks[[#This Row],[_Pred2UID]],Tasks[UID],0),-1))</f>
        <v/>
      </c>
      <c r="CK140" s="42">
        <f>IF(N(Tasks[[#This Row],[_Pred3UID]])=0,0,IFERROR(MATCH(Tasks[[#This Row],[_Pred3UID]],Tasks[UID],0),-1))</f>
        <v/>
      </c>
      <c r="CL140" s="42">
        <f>IF(N(Tasks[[#This Row],[_Pred4UID]])=0,0,IFERROR(MATCH(Tasks[[#This Row],[_Pred4UID]],Tasks[UID],0),-1))</f>
        <v/>
      </c>
      <c r="CM14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0" s="88">
        <f>IF(N(Tasks[[#This Row],[Constraint Date]])=0,0,IF(AND(OR(Tasks[[#This Row],[_ConstraintCode]]=3,Tasks[[#This Row],[_ConstraintCode]]=6,Tasks[[#This Row],[_ConstraintCode]]=7),N(Tasks[[#This Row],[_Days]])&gt;1),WORKDAY.INTL(N(Tasks[[#This Row],[Constraint Date]]),-(N(Tasks[[#This Row],[_Days]])-1),WorkWeek,Holidays),N(Tasks[[#This Row],[Constraint Date]])))</f>
        <v/>
      </c>
      <c r="CO140" s="88">
        <f>IF(OR(Tasks[[#This Row],[_ConstraintCode]]=2,Tasks[[#This Row],[_ConstraintCode]]=3,Tasks[[#This Row],[_ConstraintCode]]=4,Tasks[[#This Row],[_ConstraintCode]]=6),Tasks[[#This Row],[_ConstraintStart]],0)</f>
        <v/>
      </c>
      <c r="CP140" s="88">
        <f>IF(OR(Tasks[[#This Row],[_ConstraintCode]]=2,Tasks[[#This Row],[_ConstraintCode]]=3,Tasks[[#This Row],[_ConstraintCode]]=5,Tasks[[#This Row],[_ConstraintCode]]=7),Tasks[[#This Row],[_ConstraintStart]],2958465)</f>
        <v/>
      </c>
      <c r="CQ14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0" s="88">
        <f>IF(NOT(Tasks[[#This Row],[_IsLeaf]]=1),"",IF(N(Tasks[[#This Row],[_Days]])&lt;=0,Tasks[[#This Row],[_LeafCalcStart]],WORKDAY.INTL(Tasks[[#This Row],[_LeafCalcStart]],Tasks[[#This Row],[_Days]]-1,WorkWeek,Holidays)))</f>
        <v/>
      </c>
      <c r="CS14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0" s="42">
        <f>IF(Tasks[[#This Row],[_Predecessors]]="","",TRIM(MID(SUBSTITUTE(SUBSTITUTE(SUBSTITUTE(UPPER(Tasks[[#This Row],[_Predecessors]]),";",",")," ",""),",",REPT(" ",99)),1,99)))</f>
        <v/>
      </c>
      <c r="CV140" s="42">
        <f>IF(Tasks[[#This Row],[_Pred1Text]]="","",IFERROR(VALUE(LEFT(Tasks[[#This Row],[_Pred1Text]],MIN(FIND("F",Tasks[[#This Row],[_Pred1Text]]&amp;"F"),FIND("S",Tasks[[#This Row],[_Pred1Text]]&amp;"S"),FIND("+",Tasks[[#This Row],[_Pred1Text]]&amp;"+"),FIND("-",Tasks[[#This Row],[_Pred1Text]]&amp;"-"))-1)),""))</f>
        <v/>
      </c>
      <c r="CW14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0" s="42">
        <f>IF(Tasks[[#This Row],[_Pred1Text]]="","",TRIM(MID(SUBSTITUTE(SUBSTITUTE(SUBSTITUTE(UPPER(Tasks[[#This Row],[_Predecessors]]),";",",")," ",""),",",REPT(" ",99)),100,99)))</f>
        <v/>
      </c>
      <c r="CZ140" s="42">
        <f>IF(Tasks[[#This Row],[_Pred2Text]]="","",IFERROR(VALUE(LEFT(Tasks[[#This Row],[_Pred2Text]],MIN(FIND("F",Tasks[[#This Row],[_Pred2Text]]&amp;"F"),FIND("S",Tasks[[#This Row],[_Pred2Text]]&amp;"S"),FIND("+",Tasks[[#This Row],[_Pred2Text]]&amp;"+"),FIND("-",Tasks[[#This Row],[_Pred2Text]]&amp;"-"))-1)),""))</f>
        <v/>
      </c>
      <c r="DA14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0" s="42">
        <f>IF(Tasks[[#This Row],[_Pred2Text]]="","",TRIM(MID(SUBSTITUTE(SUBSTITUTE(SUBSTITUTE(UPPER(Tasks[[#This Row],[_Predecessors]]),";",",")," ",""),",",REPT(" ",99)),199,99)))</f>
        <v/>
      </c>
      <c r="DD140" s="42">
        <f>IF(Tasks[[#This Row],[_Pred3Text]]="","",IFERROR(VALUE(LEFT(Tasks[[#This Row],[_Pred3Text]],MIN(FIND("F",Tasks[[#This Row],[_Pred3Text]]&amp;"F"),FIND("S",Tasks[[#This Row],[_Pred3Text]]&amp;"S"),FIND("+",Tasks[[#This Row],[_Pred3Text]]&amp;"+"),FIND("-",Tasks[[#This Row],[_Pred3Text]]&amp;"-"))-1)),""))</f>
        <v/>
      </c>
      <c r="DE14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0" s="42">
        <f>IF(Tasks[[#This Row],[_Pred3Text]]="","",TRIM(MID(SUBSTITUTE(SUBSTITUTE(SUBSTITUTE(UPPER(Tasks[[#This Row],[_Predecessors]]),";",",")," ",""),",",REPT(" ",99)),298,99)))</f>
        <v/>
      </c>
      <c r="DH140" s="42">
        <f>IF(Tasks[[#This Row],[_Pred4Text]]="","",IFERROR(VALUE(LEFT(Tasks[[#This Row],[_Pred4Text]],MIN(FIND("F",Tasks[[#This Row],[_Pred4Text]]&amp;"F"),FIND("S",Tasks[[#This Row],[_Pred4Text]]&amp;"S"),FIND("+",Tasks[[#This Row],[_Pred4Text]]&amp;"+"),FIND("-",Tasks[[#This Row],[_Pred4Text]]&amp;"-"))-1)),""))</f>
        <v/>
      </c>
      <c r="DI14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0" s="42">
        <f>IF(OR(Tasks[[#This Row],[Task Name]]="",Tasks[[#This Row],[_Resources]]=""),"",TRIM(MID(SUBSTITUTE(Tasks[[#This Row],[_Resources]],",",REPT(" ",99)),1,99)))</f>
        <v/>
      </c>
      <c r="DL140" s="42">
        <f>IF(Tasks[[#This Row],[_Res1Text]]="","",TRIM(MID(SUBSTITUTE(Tasks[[#This Row],[_Resources]],",",REPT(" ",99)),100,99)))</f>
        <v/>
      </c>
      <c r="DM140" s="42">
        <f>IF(Tasks[[#This Row],[_Res2Text]]="","",TRIM(MID(SUBSTITUTE(Tasks[[#This Row],[_Resources]],",",REPT(" ",99)),199,99)))</f>
        <v/>
      </c>
      <c r="DN140" s="42">
        <f>IF(Tasks[[#This Row],[_Res3Text]]="","",TRIM(MID(SUBSTITUTE(Tasks[[#This Row],[_Resources]],",",REPT(" ",99)),298,99)))</f>
        <v/>
      </c>
      <c r="DO140" s="42">
        <f>IF(Tasks[[#This Row],[_Res1Text]]="",0,IFERROR(MATCH(TRIM(LEFT(Tasks[[#This Row],[_Res1Text]],FIND("[",Tasks[[#This Row],[_Res1Text]]&amp;"[")-1)),res_Name,0),IFERROR(MATCH(TRIM(LEFT(Tasks[[#This Row],[_Res1Text]],FIND("[",Tasks[[#This Row],[_Res1Text]]&amp;"[")-1)),res_Initials,0),0)))</f>
        <v/>
      </c>
      <c r="DP140" s="42">
        <f>IF(Tasks[[#This Row],[_Res2Text]]="",0,IFERROR(MATCH(TRIM(LEFT(Tasks[[#This Row],[_Res2Text]],FIND("[",Tasks[[#This Row],[_Res2Text]]&amp;"[")-1)),res_Name,0),IFERROR(MATCH(TRIM(LEFT(Tasks[[#This Row],[_Res2Text]],FIND("[",Tasks[[#This Row],[_Res2Text]]&amp;"[")-1)),res_Initials,0),0)))</f>
        <v/>
      </c>
      <c r="DQ140" s="42">
        <f>IF(Tasks[[#This Row],[_Res3Text]]="",0,IFERROR(MATCH(TRIM(LEFT(Tasks[[#This Row],[_Res3Text]],FIND("[",Tasks[[#This Row],[_Res3Text]]&amp;"[")-1)),res_Name,0),IFERROR(MATCH(TRIM(LEFT(Tasks[[#This Row],[_Res3Text]],FIND("[",Tasks[[#This Row],[_Res3Text]]&amp;"[")-1)),res_Initials,0),0)))</f>
        <v/>
      </c>
      <c r="DR140" s="42">
        <f>IF(Tasks[[#This Row],[_Res4Text]]="",0,IFERROR(MATCH(TRIM(LEFT(Tasks[[#This Row],[_Res4Text]],FIND("[",Tasks[[#This Row],[_Res4Text]]&amp;"[")-1)),res_Name,0),IFERROR(MATCH(TRIM(LEFT(Tasks[[#This Row],[_Res4Text]],FIND("[",Tasks[[#This Row],[_Res4Text]]&amp;"[")-1)),res_Initials,0),0)))</f>
        <v/>
      </c>
      <c r="DS140" s="42">
        <f>IF(Tasks[[#This Row],[_Res1Text]]="","",IF(Tasks[[#This Row],[_Res1Row]]&gt;0,INDEX(res_Name,Tasks[[#This Row],[_Res1Row]]),TRIM(LEFT(Tasks[[#This Row],[_Res1Text]],FIND("[",Tasks[[#This Row],[_Res1Text]]&amp;"[")-1))))</f>
        <v/>
      </c>
      <c r="DT14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0" s="42">
        <f>IF(NOT(Tasks[[#This Row],[_IsLeaf]]=1),0,(Tasks[[#This Row],[_Resource1]]&lt;&gt;"")+(Tasks[[#This Row],[_Res2]]&lt;&gt;"")+(Tasks[[#This Row],[_Res3]]&lt;&gt;"")+(Tasks[[#This Row],[_Res4]]&lt;&gt;""))</f>
        <v/>
      </c>
      <c r="DV140" s="42">
        <f>IF(Tasks[[#This Row],[_Res2Text]]="","",IF(Tasks[[#This Row],[_Res2Row]]&gt;0,INDEX(res_Name,Tasks[[#This Row],[_Res2Row]]),TRIM(LEFT(Tasks[[#This Row],[_Res2Text]],FIND("[",Tasks[[#This Row],[_Res2Text]]&amp;"[")-1))))</f>
        <v/>
      </c>
      <c r="DW14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0" s="42">
        <f>IF(OR(NOT(Tasks[[#This Row],[_IsLeaf]]=1),Tasks[[#This Row],[_Res2Row]]=0),0,N(Tasks[[#This Row],[_Days]])*HoursPerDay*IF(Tasks[[#This Row],[_Res2Units]]="",DefaultUnits,Tasks[[#This Row],[_Res2Units]]))</f>
        <v/>
      </c>
      <c r="DY140" s="42">
        <f>IF(AND(AND(Tasks[[#This Row],[_IsLeaf]]=1,Tasks[[#This Row],[_LeafTotalWork]]&gt;0),Tasks[[#This Row],[_Res2Work]]&gt;0),Tasks[[#This Row],[_Res2Work]]/(Tasks[[#This Row],[_FinishWorkday]]-Tasks[[#This Row],[_StartWorkday]]+1),0)</f>
        <v/>
      </c>
      <c r="DZ140" s="42">
        <f>Tasks[[#This Row],[_Res2WorkPerWD]]*MAX(0,Tasks[[#This Row],[_StartWorkday]]-1)</f>
        <v/>
      </c>
      <c r="EA140" s="42">
        <f>Tasks[[#This Row],[_Res2Work]]*Tasks[[#This Row],[_LeafProgress]]</f>
        <v/>
      </c>
      <c r="EB140" s="42">
        <f>IF(Tasks[[#This Row],[_Res3Text]]="","",IF(Tasks[[#This Row],[_Res3Row]]&gt;0,INDEX(res_Name,Tasks[[#This Row],[_Res3Row]]),TRIM(LEFT(Tasks[[#This Row],[_Res3Text]],FIND("[",Tasks[[#This Row],[_Res3Text]]&amp;"[")-1))))</f>
        <v/>
      </c>
      <c r="EC14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0" s="42">
        <f>IF(OR(NOT(Tasks[[#This Row],[_IsLeaf]]=1),Tasks[[#This Row],[_Res3Row]]=0),0,N(Tasks[[#This Row],[_Days]])*HoursPerDay*IF(Tasks[[#This Row],[_Res3Units]]="",DefaultUnits,Tasks[[#This Row],[_Res3Units]]))</f>
        <v/>
      </c>
      <c r="EE140" s="42">
        <f>IF(AND(AND(Tasks[[#This Row],[_IsLeaf]]=1,Tasks[[#This Row],[_LeafTotalWork]]&gt;0),Tasks[[#This Row],[_Res3Work]]&gt;0),Tasks[[#This Row],[_Res3Work]]/(Tasks[[#This Row],[_FinishWorkday]]-Tasks[[#This Row],[_StartWorkday]]+1),0)</f>
        <v/>
      </c>
      <c r="EF140" s="42">
        <f>Tasks[[#This Row],[_Res3WorkPerWD]]*MAX(0,Tasks[[#This Row],[_StartWorkday]]-1)</f>
        <v/>
      </c>
      <c r="EG140" s="42">
        <f>Tasks[[#This Row],[_Res3Work]]*Tasks[[#This Row],[_LeafProgress]]</f>
        <v/>
      </c>
      <c r="EH140" s="42">
        <f>IF(Tasks[[#This Row],[_Res4Text]]="","",IF(Tasks[[#This Row],[_Res4Row]]&gt;0,INDEX(res_Name,Tasks[[#This Row],[_Res4Row]]),TRIM(LEFT(Tasks[[#This Row],[_Res4Text]],FIND("[",Tasks[[#This Row],[_Res4Text]]&amp;"[")-1))))</f>
        <v/>
      </c>
      <c r="EI14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0" s="42">
        <f>IF(OR(NOT(Tasks[[#This Row],[_IsLeaf]]=1),Tasks[[#This Row],[_Res4Row]]=0),0,N(Tasks[[#This Row],[_Days]])*HoursPerDay*IF(Tasks[[#This Row],[_Res4Units]]="",DefaultUnits,Tasks[[#This Row],[_Res4Units]]))</f>
        <v/>
      </c>
      <c r="EK140" s="42">
        <f>IF(AND(AND(Tasks[[#This Row],[_IsLeaf]]=1,Tasks[[#This Row],[_LeafTotalWork]]&gt;0),Tasks[[#This Row],[_Res4Work]]&gt;0),Tasks[[#This Row],[_Res4Work]]/(Tasks[[#This Row],[_FinishWorkday]]-Tasks[[#This Row],[_StartWorkday]]+1),0)</f>
        <v/>
      </c>
      <c r="EL140" s="42">
        <f>Tasks[[#This Row],[_Res4WorkPerWD]]*MAX(0,Tasks[[#This Row],[_StartWorkday]]-1)</f>
        <v/>
      </c>
      <c r="EM140" s="42">
        <f>Tasks[[#This Row],[_Res4Work]]*Tasks[[#This Row],[_LeafProgress]]</f>
        <v/>
      </c>
      <c r="EN140" s="42">
        <f>IF(ISNUMBER(Tasks[[#This Row],[% Complete]]),Tasks[[#This Row],[% Complete]],IF(Tasks[[#This Row],[Stage]]="",0,IFERROR(INDEX(stg_Pct,MATCH(Tasks[[#This Row],[Stage]],stg_Name,0)),0)))</f>
        <v/>
      </c>
      <c r="EO140" s="42">
        <f>IF(NOT(Tasks[[#This Row],[_IsLeaf]]=1),0,IF(N(Tasks[[#This Row],[Actual Finish]])&gt;0,1,MIN(1,Tasks[[#This Row],[_Pct]])))</f>
        <v/>
      </c>
      <c r="EP140" s="42">
        <f>IF(OR(NOT(Tasks[[#This Row],[_IsLeaf]]=1),Tasks[[#This Row],[_Res1Row]]=0),0,N(Tasks[[#This Row],[_Days]])*HoursPerDay*IF(Tasks[[#This Row],[_Units1]]="",DefaultUnits,Tasks[[#This Row],[_Units1]]))</f>
        <v/>
      </c>
      <c r="EQ140" s="42">
        <f>Tasks[[#This Row],[_LeafWork]]+Tasks[[#This Row],[_Res2Work]]+Tasks[[#This Row],[_Res3Work]]+Tasks[[#This Row],[_Res4Work]]</f>
        <v/>
      </c>
      <c r="ER14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0" s="42">
        <f>IF(NOT(Tasks[[#This Row],[_IsLeaf]]=1),0,MAX(_xlfn.MAXIFS(Tasks[_Row],Tasks[_Pred1UID],Tasks[[#This Row],[UID]]),_xlfn.MAXIFS(Tasks[_Row],Tasks[_Pred2UID],Tasks[[#This Row],[UID]]),_xlfn.MAXIFS(Tasks[_Row],Tasks[_Pred3UID],Tasks[[#This Row],[UID]]),_xlfn.MAXIFS(Tasks[_Row],Tasks[_Pred4UID],Tasks[[#This Row],[UID]])))</f>
        <v/>
      </c>
      <c r="FA14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0" s="88">
        <f>IF(NOT(Tasks[[#This Row],[_IsLeaf]]=1),"",IF(N(Tasks[[#This Row],[_Days]])&lt;=0,Tasks[[#This Row],[_LeafLateFinish]],WORKDAY.INTL(Tasks[[#This Row],[_LeafLateFinish]],-(Tasks[[#This Row],[_Days]]-1),WorkWeek,Holidays)))</f>
        <v/>
      </c>
      <c r="FD14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0" s="42">
        <f>AND(Tasks[[#This Row],[_IsLeaf]]=1,Tasks[[#This Row],[_LeafProgress]]&lt;1,N(Tasks[[#This Row],[_LeafTotalSlack]])&lt;=CriticalSlackDays)</f>
        <v/>
      </c>
      <c r="FF140" s="42">
        <f>IF(AND(Tasks[[#This Row],[_IsLeaf]]=1,Tasks[[#This Row],[_ConstraintCode]]=1,Tasks[[#This Row],[Mode]]&lt;&gt;"Manual",N(Tasks[[#This Row],[Actual Start]])=0),MAX(0,N(Tasks[[#This Row],[Free Slack]])),0)</f>
        <v/>
      </c>
      <c r="FG140" s="88">
        <f>IF(NOT(Tasks[[#This Row],[_IsLeaf]]=1),"",IF(Tasks[[#This Row],[_AlapShift]]=0,Tasks[[#This Row],[_LeafCalcStart]],WORKDAY.INTL(Tasks[[#This Row],[_LeafCalcStart]],Tasks[[#This Row],[_AlapShift]],WorkWeek,Holidays)))</f>
        <v/>
      </c>
      <c r="FH140" s="88">
        <f>IF(NOT(Tasks[[#This Row],[_IsLeaf]]=1),"",IF(Tasks[[#This Row],[_AlapShift]]=0,Tasks[[#This Row],[_LeafCalcFinish]],WORKDAY.INTL(Tasks[[#This Row],[_LeafCalcFinish]],Tasks[[#This Row],[_AlapShift]],WorkWeek,Holidays)))</f>
        <v/>
      </c>
      <c r="FI140" s="88">
        <f>IF(NOT(Tasks[[#This Row],[_IsLeaf]]=1),"",IF(Tasks[[#This Row],[_AlapShift]]=0,Tasks[[#This Row],[_LeafFcstStart]],WORKDAY.INTL(Tasks[[#This Row],[_LeafFcstStart]],Tasks[[#This Row],[_AlapShift]],WorkWeek,Holidays)))</f>
        <v/>
      </c>
      <c r="FJ140" s="88">
        <f>IF(NOT(Tasks[[#This Row],[_IsLeaf]]=1),"",IF(Tasks[[#This Row],[_AlapShift]]=0,Tasks[[#This Row],[_LeafFcstFinish]],WORKDAY.INTL(Tasks[[#This Row],[_LeafFcstFinish]],Tasks[[#This Row],[_AlapShift]],WorkWeek,Holidays)))</f>
        <v/>
      </c>
      <c r="FK140" s="88">
        <f>IF(Tasks[[#This Row],[Task Name]]="","",IF(Tasks[[#This Row],[_IsSummary]],MIN(INDEX(Tasks[_ShownCalcStart],Tasks[[#This Row],[_Row]]+1):INDEX(Tasks[_ShownCalcStart],Tasks[[#This Row],[_Row]]+Tasks[[#This Row],[_Descendants]])),Tasks[[#This Row],[_ShownCalcStart]]))</f>
        <v/>
      </c>
      <c r="FL140" s="88">
        <f>IF(Tasks[[#This Row],[Task Name]]="","",IF(Tasks[[#This Row],[_IsSummary]],MAX(INDEX(Tasks[_ShownCalcFinish],Tasks[[#This Row],[_Row]]+1):INDEX(Tasks[_ShownCalcFinish],Tasks[[#This Row],[_Row]]+Tasks[[#This Row],[_Descendants]])),Tasks[[#This Row],[_ShownCalcFinish]]))</f>
        <v/>
      </c>
      <c r="FM14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0" s="42">
        <f>IF(AND(Tasks[[#This Row],[_IsLeaf]]=1,Tasks[[#This Row],[_LeafTotalWork]]&gt;0),NETWORKDAYS.INTL(ProjectStart,Tasks[[#This Row],[_ShownFcstStart]],WorkWeek,Holidays),0)</f>
        <v/>
      </c>
      <c r="FZ140" s="42">
        <f>IF(AND(Tasks[[#This Row],[_IsLeaf]]=1,Tasks[[#This Row],[_LeafTotalWork]]&gt;0),MAX(Tasks[[#This Row],[_StartWorkday]],NETWORKDAYS.INTL(ProjectStart,Tasks[[#This Row],[_ShownFcstFinish]],WorkWeek,Holidays)),0)</f>
        <v/>
      </c>
      <c r="GA140" s="42">
        <f>IF(AND(Tasks[[#This Row],[_IsLeaf]]=1,Tasks[[#This Row],[_LeafTotalWork]]&gt;0),Tasks[[#This Row],[_LeafWork]]/(Tasks[[#This Row],[_FinishWorkday]]-Tasks[[#This Row],[_StartWorkday]]+1),0)</f>
        <v/>
      </c>
      <c r="GB140" s="42">
        <f>Tasks[[#This Row],[_WorkPerWorkday]]*(Tasks[[#This Row],[_StartWorkday]]-1)</f>
        <v/>
      </c>
      <c r="GC140" s="42">
        <f>IF(Tasks[[#This Row],[_IsLeaf]]=1,MAX(N(Tasks[[#This Row],[_Days]]),0.1),0)</f>
        <v/>
      </c>
      <c r="GD140" s="42">
        <f>Tasks[[#This Row],[_WeightDur]]*Tasks[[#This Row],[_LeafProgress]]</f>
        <v/>
      </c>
      <c r="GE140" s="42">
        <f>Tasks[[#This Row],[_WeightDur]]*Tasks[[#This Row],[_PlannedPct]]</f>
        <v/>
      </c>
      <c r="GF14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0" s="42">
        <f>IF(AND(Tasks[[#This Row],[_IsLeaf]]=1,N(Tasks[[#This Row],[_Days]])=0,Tasks[[#This Row],[_LeafProgress]]&lt;1),Tasks[[#This Row],[_ShownFcstFinish]]+Tasks[[#This Row],[_Row]]/100000,"")</f>
        <v/>
      </c>
      <c r="GH14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0" s="42">
        <f>IF(Tasks[[#This Row],[Task Name]]="","",LEFT(Tasks[[#This Row],[WBS]],FIND(".",Tasks[[#This Row],[WBS]]&amp;".")-1))</f>
        <v/>
      </c>
      <c r="GJ140" s="42">
        <f>IF(AND(Tasks[[#This Row],[Task Name]]&lt;&gt;"",Tasks[[#This Row],[_Level]]=1),Tasks[[#This Row],[_Row]],"")</f>
        <v/>
      </c>
      <c r="GK140" s="42">
        <f>IF(AND(Tasks[[#This Row],[_IsLeaf]]=1,N(Tasks[[#This Row],[_Days]])=0),Tasks[[#This Row],[Planned Finish]]+Tasks[[#This Row],[_Row]]/100000,"")</f>
        <v/>
      </c>
      <c r="GL140" s="42">
        <f>IF(AND(Tasks[[#This Row],[_IsLeaf]]=1,Tasks[[#This Row],[_LeafProgress]]&lt;1,OR(N(Tasks[[#This Row],[Finish Var]])&gt;0,Tasks[[#This Row],[Status]]="Late Start")),MAX(0,Tasks[[#This Row],[Finish Var]])+1-Tasks[[#This Row],[_Row]]/1000000,"")</f>
        <v/>
      </c>
      <c r="GM140" s="42">
        <f>IF(AND(Tasks[[#This Row],[_IsLeaf]]=1,N(Tasks[[#This Row],[Actual Start]])=0,Tasks[[#This Row],[_ShownFcstStart]]&gt;=StatusDate,Tasks[[#This Row],[_ShownFcstStart]]&lt;=LookaheadEnd),Tasks[[#This Row],[_ShownFcstStart]]+Tasks[[#This Row],[_Row]]/100000,"")</f>
        <v/>
      </c>
      <c r="GN140" s="42">
        <f>IF(AND(Tasks[[#This Row],[_IsLeaf]]=1,Tasks[[#This Row],[_LeafProgress]]&lt;1,Tasks[[#This Row],[_ShownFcstFinish]]&gt;=StatusDate,Tasks[[#This Row],[_ShownFcstFinish]]&lt;=LookaheadEnd),Tasks[[#This Row],[_ShownFcstFinish]]+Tasks[[#This Row],[_Row]]/100000,"")</f>
        <v/>
      </c>
      <c r="GO140" s="42">
        <f>IF(Tasks[[#This Row],[_LeafCritical]],Tasks[[#This Row],[_ShownFcstStart]]+Tasks[[#This Row],[_Row]]/100000,"")</f>
        <v/>
      </c>
      <c r="GP140" s="42">
        <f>Tasks[[#This Row],[_LeafWork]]*Tasks[[#This Row],[_LeafProgress]]</f>
        <v/>
      </c>
      <c r="GQ140" s="88">
        <f>IF(AND(Tasks[[#This Row],[_IsLeaf]]=1,Tasks[[#This Row],[_LeafProgress]]&gt;=1),IF(N(Tasks[[#This Row],[Actual Finish]])&gt;0,Tasks[[#This Row],[Actual Finish]],Tasks[[#This Row],[_ShownFcstFinish]]),"")</f>
        <v/>
      </c>
      <c r="GR140" s="42">
        <f>IF(Tasks[[#This Row],[_IsLeaf]]=1,N(Tasks[[#This Row],[Story Points]]),0)</f>
        <v/>
      </c>
      <c r="GS140" s="42">
        <f>""</f>
        <v/>
      </c>
      <c r="GT140" s="42">
        <f>IF(Tasks[[#This Row],[Task Name]]="",FALSE(),AND(Tasks[[#This Row],[_IsLeaf]]=1,N(Tasks[[#This Row],[_Days]])=0))</f>
        <v/>
      </c>
      <c r="GU140" s="88">
        <f>IF(Tasks[[#This Row],[Task Name]]="",0,IF(AND(Tasks[[#This Row],[_IsLeaf]]=1,NOT(Tasks[[#This Row],[_IsMilestone]]),N(Tasks[[#This Row],[Progress]])&gt;0),Tasks[[#This Row],[Start]],0))</f>
        <v/>
      </c>
      <c r="GV140" s="88">
        <f>IF(Tasks[[#This Row],[_DoneFrom]]=0,0,IF(Tasks[[#This Row],[Progress]]&gt;=1,Tasks[[#This Row],[Finish]],MAX(Tasks[[#This Row],[_DoneFrom]],Tasks[[#This Row],[Start]]+ROUND((Tasks[[#This Row],[Finish]]-Tasks[[#This Row],[Start]]+1)*Tasks[[#This Row],[Progress]],0)-1)))</f>
        <v/>
      </c>
      <c r="GW140" s="88">
        <f>IF(Tasks[[#This Row],[Task Name]]="",0,IF(OR(NOT(Tasks[[#This Row],[_IsLeaf]]=1),Tasks[[#This Row],[_IsMilestone]],N(Tasks[[#This Row],[Progress]])&gt;=1),0,IF(Tasks[[#This Row],[_DoneTo]]&gt;0,Tasks[[#This Row],[_DoneTo]]+1,Tasks[[#This Row],[Start]])))</f>
        <v/>
      </c>
      <c r="GX140" s="88">
        <f>IF(Tasks[[#This Row],[_RemFrom]]=0,0,Tasks[[#This Row],[Finish]])</f>
        <v/>
      </c>
      <c r="GY140" s="42">
        <f>IF(Tasks[[#This Row],[Task Name]]="",FALSE(),OR(NOT(BaselineSet),N(Tasks[[#This Row],[Baseline Start]])&gt;0))</f>
        <v/>
      </c>
      <c r="GZ140" s="42">
        <f>IF(AND(Sandbox="Yes",L_PARSE_DURATION(Tasks[[#This Row],[Sandbox Duration]])&lt;&gt;""),L_PARSE_DURATION(Tasks[[#This Row],[Sandbox Duration]]),L_PARSE_DURATION(Tasks[[#This Row],[Duration]]))</f>
        <v/>
      </c>
      <c r="HA14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0" s="42">
        <f>IF(Tasks[[#This Row],[_IsLeaf]]=1,Tasks[[#This Row],[_Row]],"")</f>
        <v/>
      </c>
      <c r="HD140" s="42">
        <f>IFERROR(INDEX(Tasks[UID],SMALL(Tasks[_PickKey],Tasks[[#This Row],[_Row]]))&amp;" "&amp;INDEX(Tasks[Task Name],SMALL(Tasks[_PickKey],Tasks[[#This Row],[_Row]])),"")</f>
        <v/>
      </c>
      <c r="HE140" s="42">
        <f>IF(Tasks[[#This Row],[Task Name]]="","",IF(Tasks[[#This Row],[_IsSummary]],NETWORKDAYS.INTL(Tasks[[#This Row],[Start]],Tasks[[#This Row],[Finish]],WorkWeek,Holidays),N(Tasks[[#This Row],[_Days]])))</f>
        <v/>
      </c>
      <c r="HF140" s="42">
        <f>IF(Tasks[[#This Row],[Expected]]="",0,((Tasks[[#This Row],[Pessimistic]]-Tasks[[#This Row],[Optimistic]])/6)^2)</f>
        <v/>
      </c>
      <c r="HG140" s="42">
        <f>IF(Tasks[[#This Row],[Expected]]="",0,Tasks[[#This Row],[Expected]]-N(Tasks[[#This Row],[_Days]]))</f>
        <v/>
      </c>
    </row>
    <row r="141">
      <c r="A141" s="21">
        <f>IF(Tasks[[#This Row],[Task Name]]="","",COUNTA(Tasks[[#Headers],[Task Name]]:Tasks[[#This Row],[Task Name]])-1)</f>
        <v/>
      </c>
      <c r="B141" s="22" t="n">
        <v>149</v>
      </c>
      <c r="C141" s="22" t="n"/>
      <c r="D141" s="23" t="n"/>
      <c r="E141" s="22" t="n"/>
      <c r="F141" s="23" t="n"/>
      <c r="G141" s="22" t="n"/>
      <c r="H141" s="22" t="n"/>
      <c r="I141" s="23" t="n"/>
      <c r="J141" s="22" t="n"/>
      <c r="K141" s="22" t="n"/>
      <c r="L141" s="23" t="n"/>
      <c r="M141" s="22" t="n"/>
      <c r="N141" s="22" t="n"/>
      <c r="O141" s="23" t="n"/>
      <c r="P141" s="22" t="n"/>
      <c r="Q141" s="22" t="n"/>
      <c r="R141" s="23" t="n"/>
      <c r="S141" s="23" t="n"/>
      <c r="T141" s="82" t="n"/>
      <c r="U141" s="23" t="n"/>
      <c r="V141" s="82" t="n"/>
      <c r="W141" s="23" t="n"/>
      <c r="X141" s="82" t="n"/>
      <c r="Y141" s="23" t="n"/>
      <c r="Z141" s="82" t="n"/>
      <c r="AA141" s="23" t="n"/>
      <c r="AB141" s="23" t="n"/>
      <c r="AC141" s="7" t="n"/>
      <c r="AD141" s="7" t="n"/>
      <c r="AE141" s="61">
        <f>IF(Tasks[[#This Row],[Task Name]]="","",IF(Tasks[[#This Row],[_IsSummary]],MIN(INDEX(Tasks[_ShownFcstStart],Tasks[[#This Row],[_Row]]+1):INDEX(Tasks[_ShownFcstStart],Tasks[[#This Row],[_Row]]+Tasks[[#This Row],[_Descendants]])),Tasks[[#This Row],[_ShownFcstStart]]))</f>
        <v/>
      </c>
      <c r="AF141" s="61">
        <f>IF(Tasks[[#This Row],[Task Name]]="","",IF(Tasks[[#This Row],[_IsSummary]],MAX(INDEX(Tasks[_ShownFcstFinish],Tasks[[#This Row],[_Row]]+1):INDEX(Tasks[_ShownFcstFinish],Tasks[[#This Row],[_Row]]+Tasks[[#This Row],[_Descendants]])),Tasks[[#This Row],[_ShownFcstFinish]]))</f>
        <v/>
      </c>
      <c r="AG141" s="21">
        <f>""</f>
        <v/>
      </c>
      <c r="AH141" s="23" t="n"/>
      <c r="AI14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1" s="7" t="n"/>
      <c r="AK141" s="22" t="n"/>
      <c r="AL141" s="23" t="n"/>
      <c r="AM141" s="7" t="n"/>
      <c r="AN141" s="21">
        <f>IF(Tasks[[#This Row],[Task Name]]="","",IF(Tasks[[#This Row],[Finish]]&gt;=Tasks[[#This Row],[Planned Finish]],NETWORKDAYS.INTL(Tasks[[#This Row],[Planned Finish]],Tasks[[#This Row],[Finish]],WorkWeek,Holidays)-1,1-NETWORKDAYS.INTL(Tasks[[#This Row],[Finish]],Tasks[[#This Row],[Planned Finish]],WorkWeek,Holidays)))</f>
        <v/>
      </c>
      <c r="AO141" s="21">
        <f>IF(Tasks[[#This Row],[Task Name]]="","",IF(Tasks[[#This Row],[Progress]]&gt;=1,"Complete",IF(OR(N(Tasks[[#This Row],[Actual Start]])&gt;0,Tasks[[#This Row],[Progress]]&gt;0),IF(Tasks[[#This Row],[Finish Var]]&gt;0,"Behind","In Progress"),IF(Tasks[[#This Row],[Planned Start]]&lt;StatusDate,"Late Start","Not Started"))))</f>
        <v/>
      </c>
      <c r="AP141" s="21">
        <f>IF(Tasks[[#This Row],[Task Name]]="","",IF(IF(Tasks[[#This Row],[_IsSummary]],COUNTIF(INDEX(Tasks[_LeafCritical],Tasks[[#This Row],[_Row]]+1):INDEX(Tasks[_LeafCritical],Tasks[[#This Row],[_Row]]+Tasks[[#This Row],[_Descendants]]),TRUE())&gt;0,Tasks[[#This Row],[_LeafCritical]]),"Yes",""))</f>
        <v/>
      </c>
      <c r="AQ141" s="61">
        <f>IF(Tasks[[#This Row],[Task Name]]="","",IF(N(Tasks[[#This Row],[Baseline Start]])&gt;0,Tasks[[#This Row],[Baseline Start]],Tasks[[#This Row],[_CalcStart]]))</f>
        <v/>
      </c>
      <c r="AR141" s="61">
        <f>IF(Tasks[[#This Row],[Task Name]]="","",IF(N(Tasks[[#This Row],[Baseline Finish]])&gt;0,Tasks[[#This Row],[Baseline Finish]],Tasks[[#This Row],[_CalcFinish]]))</f>
        <v/>
      </c>
      <c r="AS141" s="21">
        <f>IF(Tasks[[#This Row],[Task Name]]="","",IF(Tasks[[#This Row],[Start]]&gt;=Tasks[[#This Row],[Planned Start]],NETWORKDAYS.INTL(Tasks[[#This Row],[Planned Start]],Tasks[[#This Row],[Start]],WorkWeek,Holidays)-1,1-NETWORKDAYS.INTL(Tasks[[#This Row],[Start]],Tasks[[#This Row],[Planned Start]],WorkWeek,Holidays)))</f>
        <v/>
      </c>
      <c r="AT141" s="61">
        <f>IF(Tasks[[#This Row],[Task Name]]="","",IF(Tasks[[#This Row],[_IsSummary]],MIN(INDEX(Tasks[_LeafLateStart],Tasks[[#This Row],[_Row]]+1):INDEX(Tasks[_LeafLateStart],Tasks[[#This Row],[_Row]]+Tasks[[#This Row],[_Descendants]])),Tasks[[#This Row],[_LeafLateStart]]))</f>
        <v/>
      </c>
      <c r="AU141" s="61">
        <f>IF(Tasks[[#This Row],[Task Name]]="","",IF(Tasks[[#This Row],[_IsSummary]],MAX(INDEX(Tasks[_LeafLateFinish],Tasks[[#This Row],[_Row]]+1):INDEX(Tasks[_LeafLateFinish],Tasks[[#This Row],[_Row]]+Tasks[[#This Row],[_Descendants]])),Tasks[[#This Row],[_LeafLateFinish]]))</f>
        <v/>
      </c>
      <c r="AV141" s="21">
        <f>IF(Tasks[[#This Row],[Task Name]]="","",IF(Tasks[[#This Row],[_IsSummary]],MIN(INDEX(Tasks[_LeafTotalSlack],Tasks[[#This Row],[_Row]]+1):INDEX(Tasks[_LeafTotalSlack],Tasks[[#This Row],[_Row]]+Tasks[[#This Row],[_Descendants]])),Tasks[[#This Row],[_LeafTotalSlack]]))</f>
        <v/>
      </c>
      <c r="AW14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3" t="n"/>
      <c r="BA14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f>IF(Tasks[[#This Row],[Task Name]]="","",IF(Tasks[[#This Row],[_Level]]&lt;=OutlineShowLevel,"Yes","No"))</f>
        <v/>
      </c>
      <c r="BE141" s="84">
        <f>IF(Tasks[[#This Row],[Task Name]]="","",IF(Tasks[[#This Row],[_IsSummary]],SUM(INDEX(Tasks[_LeafTotalWork],Tasks[[#This Row],[_Row]]+1):INDEX(Tasks[_LeafTotalWork],Tasks[[#This Row],[_Row]]+Tasks[[#This Row],[_Descendants]])),Tasks[[#This Row],[_LeafTotalWork]]))</f>
        <v/>
      </c>
      <c r="BF141" s="23" t="n"/>
      <c r="BG14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f>""</f>
        <v/>
      </c>
      <c r="BI141" s="85" t="n"/>
      <c r="BJ141" s="22" t="n"/>
      <c r="BK141" s="21">
        <f>IF(OR(Tasks[[#This Row],[Task Name]]="",Tasks[[#This Row],[Baseline Duration]]=""),"",Tasks[[#This Row],[_SpanDays]]-N(Tasks[[#This Row],[Baseline Duration]]))</f>
        <v/>
      </c>
      <c r="BL141" s="84">
        <f>IF(OR(Tasks[[#This Row],[Task Name]]="",Tasks[[#This Row],[Baseline Work]]=""),"",Tasks[[#This Row],[Work]]-N(Tasks[[#This Row],[Baseline Work]]))</f>
        <v/>
      </c>
      <c r="BM141" s="61">
        <f>IF(Tasks[[#This Row],[Task Name]]="","",IF(OR(TakeBaseline="Yes",N(Tasks[[#This Row],[Baseline Start]])=0),Tasks[[#This Row],[Start]],Tasks[[#This Row],[Baseline Start]]))</f>
        <v/>
      </c>
      <c r="BN141" s="61">
        <f>IF(Tasks[[#This Row],[Task Name]]="","",IF(OR(TakeBaseline="Yes",N(Tasks[[#This Row],[Baseline Finish]])=0),Tasks[[#This Row],[Finish]],Tasks[[#This Row],[Baseline Finish]]))</f>
        <v/>
      </c>
      <c r="BO141" s="21">
        <f>IF(Tasks[[#This Row],[Task Name]]="","",IF(OR(TakeBaseline="Yes",N(Tasks[[#This Row],[Baseline Duration]])=0),Tasks[[#This Row],[_SpanDays]],Tasks[[#This Row],[Baseline Duration]]))</f>
        <v/>
      </c>
      <c r="BP141" s="84">
        <f>IF(Tasks[[#This Row],[Task Name]]="","",IF(OR(TakeBaseline="Yes",N(Tasks[[#This Row],[Baseline Work]])=0),Tasks[[#This Row],[Work]],Tasks[[#This Row],[Baseline Work]]))</f>
        <v/>
      </c>
      <c r="BQ141" s="7" t="n"/>
      <c r="BR141" s="7" t="n"/>
      <c r="BS141" s="22" t="n"/>
      <c r="BT141" s="86" t="n"/>
      <c r="BU141" s="23" t="n"/>
      <c r="BV141" s="23" t="n"/>
      <c r="BW141" s="23" t="n"/>
      <c r="BX141" s="87">
        <f>IF(AND(Tasks[[#This Row],[_IsLeaf]]=1,ISNUMBER(Tasks[[#This Row],[Optimistic]]),ISNUMBER(Tasks[[#This Row],[Pessimistic]])),ROUND((Tasks[[#This Row],[Optimistic]]+4*N(Tasks[[#This Row],[_Days]])+Tasks[[#This Row],[Pessimistic]])/6,1),"")</f>
        <v/>
      </c>
      <c r="BY141" s="85" t="n"/>
      <c r="BZ141" s="85" t="n"/>
      <c r="CA141" s="22" t="n"/>
      <c r="CB141" s="42">
        <f>IF(Tasks[[#This Row],[Task Name]]="","",MAX(1,N(Tasks[[#This Row],[Level]])))</f>
        <v/>
      </c>
      <c r="CC141" s="42">
        <f>ROW()-ROW(Tasks[[#Headers],[ID]])</f>
        <v/>
      </c>
      <c r="CD141" s="42">
        <f>IF(OR(Tasks[[#This Row],[Task Name]]="",Tasks[[#This Row],[_Level]]&lt;=1),0,IFERROR(LOOKUP(2,1/(Tasks[[#Headers],[_Level]]:Tasks[[#This Row],[_Level]]=Tasks[[#This Row],[_Level]]-1),ROW(Tasks[[#Headers],[_Level]]:Tasks[[#This Row],[_Level]])),0))</f>
        <v/>
      </c>
      <c r="CE141" s="42">
        <f>IFERROR(N(INDEX(Tasks[_Level],Tasks[[#This Row],[_Row]]+1)),0)</f>
        <v/>
      </c>
      <c r="CF141" s="42">
        <f>AND(Tasks[[#This Row],[Task Name]]&lt;&gt;"",Tasks[[#This Row],[_NextLevel]]&gt;Tasks[[#This Row],[_Level]])</f>
        <v/>
      </c>
      <c r="CG141" s="42">
        <f>IF(Tasks[[#This Row],[_IsSummary]],COUNTIF(Tasks[WBS],Tasks[[#This Row],[WBS]]&amp;".*"),0)</f>
        <v/>
      </c>
      <c r="CH141" s="42">
        <f>IF(AND(Tasks[[#This Row],[Task Name]]&lt;&gt;"",NOT(Tasks[[#This Row],[_IsSummary]])),1,0)</f>
        <v/>
      </c>
      <c r="CI141" s="42">
        <f>IF(N(Tasks[[#This Row],[_Pred1UID]])=0,0,IFERROR(MATCH(Tasks[[#This Row],[_Pred1UID]],Tasks[UID],0),-1))</f>
        <v/>
      </c>
      <c r="CJ141" s="42">
        <f>IF(N(Tasks[[#This Row],[_Pred2UID]])=0,0,IFERROR(MATCH(Tasks[[#This Row],[_Pred2UID]],Tasks[UID],0),-1))</f>
        <v/>
      </c>
      <c r="CK141" s="42">
        <f>IF(N(Tasks[[#This Row],[_Pred3UID]])=0,0,IFERROR(MATCH(Tasks[[#This Row],[_Pred3UID]],Tasks[UID],0),-1))</f>
        <v/>
      </c>
      <c r="CL141" s="42">
        <f>IF(N(Tasks[[#This Row],[_Pred4UID]])=0,0,IFERROR(MATCH(Tasks[[#This Row],[_Pred4UID]],Tasks[UID],0),-1))</f>
        <v/>
      </c>
      <c r="CM14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1" s="88">
        <f>IF(N(Tasks[[#This Row],[Constraint Date]])=0,0,IF(AND(OR(Tasks[[#This Row],[_ConstraintCode]]=3,Tasks[[#This Row],[_ConstraintCode]]=6,Tasks[[#This Row],[_ConstraintCode]]=7),N(Tasks[[#This Row],[_Days]])&gt;1),WORKDAY.INTL(N(Tasks[[#This Row],[Constraint Date]]),-(N(Tasks[[#This Row],[_Days]])-1),WorkWeek,Holidays),N(Tasks[[#This Row],[Constraint Date]])))</f>
        <v/>
      </c>
      <c r="CO141" s="88">
        <f>IF(OR(Tasks[[#This Row],[_ConstraintCode]]=2,Tasks[[#This Row],[_ConstraintCode]]=3,Tasks[[#This Row],[_ConstraintCode]]=4,Tasks[[#This Row],[_ConstraintCode]]=6),Tasks[[#This Row],[_ConstraintStart]],0)</f>
        <v/>
      </c>
      <c r="CP141" s="88">
        <f>IF(OR(Tasks[[#This Row],[_ConstraintCode]]=2,Tasks[[#This Row],[_ConstraintCode]]=3,Tasks[[#This Row],[_ConstraintCode]]=5,Tasks[[#This Row],[_ConstraintCode]]=7),Tasks[[#This Row],[_ConstraintStart]],2958465)</f>
        <v/>
      </c>
      <c r="CQ14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1" s="88">
        <f>IF(NOT(Tasks[[#This Row],[_IsLeaf]]=1),"",IF(N(Tasks[[#This Row],[_Days]])&lt;=0,Tasks[[#This Row],[_LeafCalcStart]],WORKDAY.INTL(Tasks[[#This Row],[_LeafCalcStart]],Tasks[[#This Row],[_Days]]-1,WorkWeek,Holidays)))</f>
        <v/>
      </c>
      <c r="CS14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1" s="42">
        <f>IF(Tasks[[#This Row],[_Predecessors]]="","",TRIM(MID(SUBSTITUTE(SUBSTITUTE(SUBSTITUTE(UPPER(Tasks[[#This Row],[_Predecessors]]),";",",")," ",""),",",REPT(" ",99)),1,99)))</f>
        <v/>
      </c>
      <c r="CV141" s="42">
        <f>IF(Tasks[[#This Row],[_Pred1Text]]="","",IFERROR(VALUE(LEFT(Tasks[[#This Row],[_Pred1Text]],MIN(FIND("F",Tasks[[#This Row],[_Pred1Text]]&amp;"F"),FIND("S",Tasks[[#This Row],[_Pred1Text]]&amp;"S"),FIND("+",Tasks[[#This Row],[_Pred1Text]]&amp;"+"),FIND("-",Tasks[[#This Row],[_Pred1Text]]&amp;"-"))-1)),""))</f>
        <v/>
      </c>
      <c r="CW14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1" s="42">
        <f>IF(Tasks[[#This Row],[_Pred1Text]]="","",TRIM(MID(SUBSTITUTE(SUBSTITUTE(SUBSTITUTE(UPPER(Tasks[[#This Row],[_Predecessors]]),";",",")," ",""),",",REPT(" ",99)),100,99)))</f>
        <v/>
      </c>
      <c r="CZ141" s="42">
        <f>IF(Tasks[[#This Row],[_Pred2Text]]="","",IFERROR(VALUE(LEFT(Tasks[[#This Row],[_Pred2Text]],MIN(FIND("F",Tasks[[#This Row],[_Pred2Text]]&amp;"F"),FIND("S",Tasks[[#This Row],[_Pred2Text]]&amp;"S"),FIND("+",Tasks[[#This Row],[_Pred2Text]]&amp;"+"),FIND("-",Tasks[[#This Row],[_Pred2Text]]&amp;"-"))-1)),""))</f>
        <v/>
      </c>
      <c r="DA14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1" s="42">
        <f>IF(Tasks[[#This Row],[_Pred2Text]]="","",TRIM(MID(SUBSTITUTE(SUBSTITUTE(SUBSTITUTE(UPPER(Tasks[[#This Row],[_Predecessors]]),";",",")," ",""),",",REPT(" ",99)),199,99)))</f>
        <v/>
      </c>
      <c r="DD141" s="42">
        <f>IF(Tasks[[#This Row],[_Pred3Text]]="","",IFERROR(VALUE(LEFT(Tasks[[#This Row],[_Pred3Text]],MIN(FIND("F",Tasks[[#This Row],[_Pred3Text]]&amp;"F"),FIND("S",Tasks[[#This Row],[_Pred3Text]]&amp;"S"),FIND("+",Tasks[[#This Row],[_Pred3Text]]&amp;"+"),FIND("-",Tasks[[#This Row],[_Pred3Text]]&amp;"-"))-1)),""))</f>
        <v/>
      </c>
      <c r="DE14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1" s="42">
        <f>IF(Tasks[[#This Row],[_Pred3Text]]="","",TRIM(MID(SUBSTITUTE(SUBSTITUTE(SUBSTITUTE(UPPER(Tasks[[#This Row],[_Predecessors]]),";",",")," ",""),",",REPT(" ",99)),298,99)))</f>
        <v/>
      </c>
      <c r="DH141" s="42">
        <f>IF(Tasks[[#This Row],[_Pred4Text]]="","",IFERROR(VALUE(LEFT(Tasks[[#This Row],[_Pred4Text]],MIN(FIND("F",Tasks[[#This Row],[_Pred4Text]]&amp;"F"),FIND("S",Tasks[[#This Row],[_Pred4Text]]&amp;"S"),FIND("+",Tasks[[#This Row],[_Pred4Text]]&amp;"+"),FIND("-",Tasks[[#This Row],[_Pred4Text]]&amp;"-"))-1)),""))</f>
        <v/>
      </c>
      <c r="DI14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1" s="42">
        <f>IF(OR(Tasks[[#This Row],[Task Name]]="",Tasks[[#This Row],[_Resources]]=""),"",TRIM(MID(SUBSTITUTE(Tasks[[#This Row],[_Resources]],",",REPT(" ",99)),1,99)))</f>
        <v/>
      </c>
      <c r="DL141" s="42">
        <f>IF(Tasks[[#This Row],[_Res1Text]]="","",TRIM(MID(SUBSTITUTE(Tasks[[#This Row],[_Resources]],",",REPT(" ",99)),100,99)))</f>
        <v/>
      </c>
      <c r="DM141" s="42">
        <f>IF(Tasks[[#This Row],[_Res2Text]]="","",TRIM(MID(SUBSTITUTE(Tasks[[#This Row],[_Resources]],",",REPT(" ",99)),199,99)))</f>
        <v/>
      </c>
      <c r="DN141" s="42">
        <f>IF(Tasks[[#This Row],[_Res3Text]]="","",TRIM(MID(SUBSTITUTE(Tasks[[#This Row],[_Resources]],",",REPT(" ",99)),298,99)))</f>
        <v/>
      </c>
      <c r="DO141" s="42">
        <f>IF(Tasks[[#This Row],[_Res1Text]]="",0,IFERROR(MATCH(TRIM(LEFT(Tasks[[#This Row],[_Res1Text]],FIND("[",Tasks[[#This Row],[_Res1Text]]&amp;"[")-1)),res_Name,0),IFERROR(MATCH(TRIM(LEFT(Tasks[[#This Row],[_Res1Text]],FIND("[",Tasks[[#This Row],[_Res1Text]]&amp;"[")-1)),res_Initials,0),0)))</f>
        <v/>
      </c>
      <c r="DP141" s="42">
        <f>IF(Tasks[[#This Row],[_Res2Text]]="",0,IFERROR(MATCH(TRIM(LEFT(Tasks[[#This Row],[_Res2Text]],FIND("[",Tasks[[#This Row],[_Res2Text]]&amp;"[")-1)),res_Name,0),IFERROR(MATCH(TRIM(LEFT(Tasks[[#This Row],[_Res2Text]],FIND("[",Tasks[[#This Row],[_Res2Text]]&amp;"[")-1)),res_Initials,0),0)))</f>
        <v/>
      </c>
      <c r="DQ141" s="42">
        <f>IF(Tasks[[#This Row],[_Res3Text]]="",0,IFERROR(MATCH(TRIM(LEFT(Tasks[[#This Row],[_Res3Text]],FIND("[",Tasks[[#This Row],[_Res3Text]]&amp;"[")-1)),res_Name,0),IFERROR(MATCH(TRIM(LEFT(Tasks[[#This Row],[_Res3Text]],FIND("[",Tasks[[#This Row],[_Res3Text]]&amp;"[")-1)),res_Initials,0),0)))</f>
        <v/>
      </c>
      <c r="DR141" s="42">
        <f>IF(Tasks[[#This Row],[_Res4Text]]="",0,IFERROR(MATCH(TRIM(LEFT(Tasks[[#This Row],[_Res4Text]],FIND("[",Tasks[[#This Row],[_Res4Text]]&amp;"[")-1)),res_Name,0),IFERROR(MATCH(TRIM(LEFT(Tasks[[#This Row],[_Res4Text]],FIND("[",Tasks[[#This Row],[_Res4Text]]&amp;"[")-1)),res_Initials,0),0)))</f>
        <v/>
      </c>
      <c r="DS141" s="42">
        <f>IF(Tasks[[#This Row],[_Res1Text]]="","",IF(Tasks[[#This Row],[_Res1Row]]&gt;0,INDEX(res_Name,Tasks[[#This Row],[_Res1Row]]),TRIM(LEFT(Tasks[[#This Row],[_Res1Text]],FIND("[",Tasks[[#This Row],[_Res1Text]]&amp;"[")-1))))</f>
        <v/>
      </c>
      <c r="DT14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1" s="42">
        <f>IF(NOT(Tasks[[#This Row],[_IsLeaf]]=1),0,(Tasks[[#This Row],[_Resource1]]&lt;&gt;"")+(Tasks[[#This Row],[_Res2]]&lt;&gt;"")+(Tasks[[#This Row],[_Res3]]&lt;&gt;"")+(Tasks[[#This Row],[_Res4]]&lt;&gt;""))</f>
        <v/>
      </c>
      <c r="DV141" s="42">
        <f>IF(Tasks[[#This Row],[_Res2Text]]="","",IF(Tasks[[#This Row],[_Res2Row]]&gt;0,INDEX(res_Name,Tasks[[#This Row],[_Res2Row]]),TRIM(LEFT(Tasks[[#This Row],[_Res2Text]],FIND("[",Tasks[[#This Row],[_Res2Text]]&amp;"[")-1))))</f>
        <v/>
      </c>
      <c r="DW14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1" s="42">
        <f>IF(OR(NOT(Tasks[[#This Row],[_IsLeaf]]=1),Tasks[[#This Row],[_Res2Row]]=0),0,N(Tasks[[#This Row],[_Days]])*HoursPerDay*IF(Tasks[[#This Row],[_Res2Units]]="",DefaultUnits,Tasks[[#This Row],[_Res2Units]]))</f>
        <v/>
      </c>
      <c r="DY141" s="42">
        <f>IF(AND(AND(Tasks[[#This Row],[_IsLeaf]]=1,Tasks[[#This Row],[_LeafTotalWork]]&gt;0),Tasks[[#This Row],[_Res2Work]]&gt;0),Tasks[[#This Row],[_Res2Work]]/(Tasks[[#This Row],[_FinishWorkday]]-Tasks[[#This Row],[_StartWorkday]]+1),0)</f>
        <v/>
      </c>
      <c r="DZ141" s="42">
        <f>Tasks[[#This Row],[_Res2WorkPerWD]]*MAX(0,Tasks[[#This Row],[_StartWorkday]]-1)</f>
        <v/>
      </c>
      <c r="EA141" s="42">
        <f>Tasks[[#This Row],[_Res2Work]]*Tasks[[#This Row],[_LeafProgress]]</f>
        <v/>
      </c>
      <c r="EB141" s="42">
        <f>IF(Tasks[[#This Row],[_Res3Text]]="","",IF(Tasks[[#This Row],[_Res3Row]]&gt;0,INDEX(res_Name,Tasks[[#This Row],[_Res3Row]]),TRIM(LEFT(Tasks[[#This Row],[_Res3Text]],FIND("[",Tasks[[#This Row],[_Res3Text]]&amp;"[")-1))))</f>
        <v/>
      </c>
      <c r="EC14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1" s="42">
        <f>IF(OR(NOT(Tasks[[#This Row],[_IsLeaf]]=1),Tasks[[#This Row],[_Res3Row]]=0),0,N(Tasks[[#This Row],[_Days]])*HoursPerDay*IF(Tasks[[#This Row],[_Res3Units]]="",DefaultUnits,Tasks[[#This Row],[_Res3Units]]))</f>
        <v/>
      </c>
      <c r="EE141" s="42">
        <f>IF(AND(AND(Tasks[[#This Row],[_IsLeaf]]=1,Tasks[[#This Row],[_LeafTotalWork]]&gt;0),Tasks[[#This Row],[_Res3Work]]&gt;0),Tasks[[#This Row],[_Res3Work]]/(Tasks[[#This Row],[_FinishWorkday]]-Tasks[[#This Row],[_StartWorkday]]+1),0)</f>
        <v/>
      </c>
      <c r="EF141" s="42">
        <f>Tasks[[#This Row],[_Res3WorkPerWD]]*MAX(0,Tasks[[#This Row],[_StartWorkday]]-1)</f>
        <v/>
      </c>
      <c r="EG141" s="42">
        <f>Tasks[[#This Row],[_Res3Work]]*Tasks[[#This Row],[_LeafProgress]]</f>
        <v/>
      </c>
      <c r="EH141" s="42">
        <f>IF(Tasks[[#This Row],[_Res4Text]]="","",IF(Tasks[[#This Row],[_Res4Row]]&gt;0,INDEX(res_Name,Tasks[[#This Row],[_Res4Row]]),TRIM(LEFT(Tasks[[#This Row],[_Res4Text]],FIND("[",Tasks[[#This Row],[_Res4Text]]&amp;"[")-1))))</f>
        <v/>
      </c>
      <c r="EI14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1" s="42">
        <f>IF(OR(NOT(Tasks[[#This Row],[_IsLeaf]]=1),Tasks[[#This Row],[_Res4Row]]=0),0,N(Tasks[[#This Row],[_Days]])*HoursPerDay*IF(Tasks[[#This Row],[_Res4Units]]="",DefaultUnits,Tasks[[#This Row],[_Res4Units]]))</f>
        <v/>
      </c>
      <c r="EK141" s="42">
        <f>IF(AND(AND(Tasks[[#This Row],[_IsLeaf]]=1,Tasks[[#This Row],[_LeafTotalWork]]&gt;0),Tasks[[#This Row],[_Res4Work]]&gt;0),Tasks[[#This Row],[_Res4Work]]/(Tasks[[#This Row],[_FinishWorkday]]-Tasks[[#This Row],[_StartWorkday]]+1),0)</f>
        <v/>
      </c>
      <c r="EL141" s="42">
        <f>Tasks[[#This Row],[_Res4WorkPerWD]]*MAX(0,Tasks[[#This Row],[_StartWorkday]]-1)</f>
        <v/>
      </c>
      <c r="EM141" s="42">
        <f>Tasks[[#This Row],[_Res4Work]]*Tasks[[#This Row],[_LeafProgress]]</f>
        <v/>
      </c>
      <c r="EN141" s="42">
        <f>IF(ISNUMBER(Tasks[[#This Row],[% Complete]]),Tasks[[#This Row],[% Complete]],IF(Tasks[[#This Row],[Stage]]="",0,IFERROR(INDEX(stg_Pct,MATCH(Tasks[[#This Row],[Stage]],stg_Name,0)),0)))</f>
        <v/>
      </c>
      <c r="EO141" s="42">
        <f>IF(NOT(Tasks[[#This Row],[_IsLeaf]]=1),0,IF(N(Tasks[[#This Row],[Actual Finish]])&gt;0,1,MIN(1,Tasks[[#This Row],[_Pct]])))</f>
        <v/>
      </c>
      <c r="EP141" s="42">
        <f>IF(OR(NOT(Tasks[[#This Row],[_IsLeaf]]=1),Tasks[[#This Row],[_Res1Row]]=0),0,N(Tasks[[#This Row],[_Days]])*HoursPerDay*IF(Tasks[[#This Row],[_Units1]]="",DefaultUnits,Tasks[[#This Row],[_Units1]]))</f>
        <v/>
      </c>
      <c r="EQ141" s="42">
        <f>Tasks[[#This Row],[_LeafWork]]+Tasks[[#This Row],[_Res2Work]]+Tasks[[#This Row],[_Res3Work]]+Tasks[[#This Row],[_Res4Work]]</f>
        <v/>
      </c>
      <c r="ER14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1" s="42">
        <f>IF(NOT(Tasks[[#This Row],[_IsLeaf]]=1),0,MAX(_xlfn.MAXIFS(Tasks[_Row],Tasks[_Pred1UID],Tasks[[#This Row],[UID]]),_xlfn.MAXIFS(Tasks[_Row],Tasks[_Pred2UID],Tasks[[#This Row],[UID]]),_xlfn.MAXIFS(Tasks[_Row],Tasks[_Pred3UID],Tasks[[#This Row],[UID]]),_xlfn.MAXIFS(Tasks[_Row],Tasks[_Pred4UID],Tasks[[#This Row],[UID]])))</f>
        <v/>
      </c>
      <c r="FA14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1" s="88">
        <f>IF(NOT(Tasks[[#This Row],[_IsLeaf]]=1),"",IF(N(Tasks[[#This Row],[_Days]])&lt;=0,Tasks[[#This Row],[_LeafLateFinish]],WORKDAY.INTL(Tasks[[#This Row],[_LeafLateFinish]],-(Tasks[[#This Row],[_Days]]-1),WorkWeek,Holidays)))</f>
        <v/>
      </c>
      <c r="FD14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1" s="42">
        <f>AND(Tasks[[#This Row],[_IsLeaf]]=1,Tasks[[#This Row],[_LeafProgress]]&lt;1,N(Tasks[[#This Row],[_LeafTotalSlack]])&lt;=CriticalSlackDays)</f>
        <v/>
      </c>
      <c r="FF141" s="42">
        <f>IF(AND(Tasks[[#This Row],[_IsLeaf]]=1,Tasks[[#This Row],[_ConstraintCode]]=1,Tasks[[#This Row],[Mode]]&lt;&gt;"Manual",N(Tasks[[#This Row],[Actual Start]])=0),MAX(0,N(Tasks[[#This Row],[Free Slack]])),0)</f>
        <v/>
      </c>
      <c r="FG141" s="88">
        <f>IF(NOT(Tasks[[#This Row],[_IsLeaf]]=1),"",IF(Tasks[[#This Row],[_AlapShift]]=0,Tasks[[#This Row],[_LeafCalcStart]],WORKDAY.INTL(Tasks[[#This Row],[_LeafCalcStart]],Tasks[[#This Row],[_AlapShift]],WorkWeek,Holidays)))</f>
        <v/>
      </c>
      <c r="FH141" s="88">
        <f>IF(NOT(Tasks[[#This Row],[_IsLeaf]]=1),"",IF(Tasks[[#This Row],[_AlapShift]]=0,Tasks[[#This Row],[_LeafCalcFinish]],WORKDAY.INTL(Tasks[[#This Row],[_LeafCalcFinish]],Tasks[[#This Row],[_AlapShift]],WorkWeek,Holidays)))</f>
        <v/>
      </c>
      <c r="FI141" s="88">
        <f>IF(NOT(Tasks[[#This Row],[_IsLeaf]]=1),"",IF(Tasks[[#This Row],[_AlapShift]]=0,Tasks[[#This Row],[_LeafFcstStart]],WORKDAY.INTL(Tasks[[#This Row],[_LeafFcstStart]],Tasks[[#This Row],[_AlapShift]],WorkWeek,Holidays)))</f>
        <v/>
      </c>
      <c r="FJ141" s="88">
        <f>IF(NOT(Tasks[[#This Row],[_IsLeaf]]=1),"",IF(Tasks[[#This Row],[_AlapShift]]=0,Tasks[[#This Row],[_LeafFcstFinish]],WORKDAY.INTL(Tasks[[#This Row],[_LeafFcstFinish]],Tasks[[#This Row],[_AlapShift]],WorkWeek,Holidays)))</f>
        <v/>
      </c>
      <c r="FK141" s="88">
        <f>IF(Tasks[[#This Row],[Task Name]]="","",IF(Tasks[[#This Row],[_IsSummary]],MIN(INDEX(Tasks[_ShownCalcStart],Tasks[[#This Row],[_Row]]+1):INDEX(Tasks[_ShownCalcStart],Tasks[[#This Row],[_Row]]+Tasks[[#This Row],[_Descendants]])),Tasks[[#This Row],[_ShownCalcStart]]))</f>
        <v/>
      </c>
      <c r="FL141" s="88">
        <f>IF(Tasks[[#This Row],[Task Name]]="","",IF(Tasks[[#This Row],[_IsSummary]],MAX(INDEX(Tasks[_ShownCalcFinish],Tasks[[#This Row],[_Row]]+1):INDEX(Tasks[_ShownCalcFinish],Tasks[[#This Row],[_Row]]+Tasks[[#This Row],[_Descendants]])),Tasks[[#This Row],[_ShownCalcFinish]]))</f>
        <v/>
      </c>
      <c r="FM14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1" s="42">
        <f>IF(AND(Tasks[[#This Row],[_IsLeaf]]=1,Tasks[[#This Row],[_LeafTotalWork]]&gt;0),NETWORKDAYS.INTL(ProjectStart,Tasks[[#This Row],[_ShownFcstStart]],WorkWeek,Holidays),0)</f>
        <v/>
      </c>
      <c r="FZ141" s="42">
        <f>IF(AND(Tasks[[#This Row],[_IsLeaf]]=1,Tasks[[#This Row],[_LeafTotalWork]]&gt;0),MAX(Tasks[[#This Row],[_StartWorkday]],NETWORKDAYS.INTL(ProjectStart,Tasks[[#This Row],[_ShownFcstFinish]],WorkWeek,Holidays)),0)</f>
        <v/>
      </c>
      <c r="GA141" s="42">
        <f>IF(AND(Tasks[[#This Row],[_IsLeaf]]=1,Tasks[[#This Row],[_LeafTotalWork]]&gt;0),Tasks[[#This Row],[_LeafWork]]/(Tasks[[#This Row],[_FinishWorkday]]-Tasks[[#This Row],[_StartWorkday]]+1),0)</f>
        <v/>
      </c>
      <c r="GB141" s="42">
        <f>Tasks[[#This Row],[_WorkPerWorkday]]*(Tasks[[#This Row],[_StartWorkday]]-1)</f>
        <v/>
      </c>
      <c r="GC141" s="42">
        <f>IF(Tasks[[#This Row],[_IsLeaf]]=1,MAX(N(Tasks[[#This Row],[_Days]]),0.1),0)</f>
        <v/>
      </c>
      <c r="GD141" s="42">
        <f>Tasks[[#This Row],[_WeightDur]]*Tasks[[#This Row],[_LeafProgress]]</f>
        <v/>
      </c>
      <c r="GE141" s="42">
        <f>Tasks[[#This Row],[_WeightDur]]*Tasks[[#This Row],[_PlannedPct]]</f>
        <v/>
      </c>
      <c r="GF14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1" s="42">
        <f>IF(AND(Tasks[[#This Row],[_IsLeaf]]=1,N(Tasks[[#This Row],[_Days]])=0,Tasks[[#This Row],[_LeafProgress]]&lt;1),Tasks[[#This Row],[_ShownFcstFinish]]+Tasks[[#This Row],[_Row]]/100000,"")</f>
        <v/>
      </c>
      <c r="GH14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1" s="42">
        <f>IF(Tasks[[#This Row],[Task Name]]="","",LEFT(Tasks[[#This Row],[WBS]],FIND(".",Tasks[[#This Row],[WBS]]&amp;".")-1))</f>
        <v/>
      </c>
      <c r="GJ141" s="42">
        <f>IF(AND(Tasks[[#This Row],[Task Name]]&lt;&gt;"",Tasks[[#This Row],[_Level]]=1),Tasks[[#This Row],[_Row]],"")</f>
        <v/>
      </c>
      <c r="GK141" s="42">
        <f>IF(AND(Tasks[[#This Row],[_IsLeaf]]=1,N(Tasks[[#This Row],[_Days]])=0),Tasks[[#This Row],[Planned Finish]]+Tasks[[#This Row],[_Row]]/100000,"")</f>
        <v/>
      </c>
      <c r="GL141" s="42">
        <f>IF(AND(Tasks[[#This Row],[_IsLeaf]]=1,Tasks[[#This Row],[_LeafProgress]]&lt;1,OR(N(Tasks[[#This Row],[Finish Var]])&gt;0,Tasks[[#This Row],[Status]]="Late Start")),MAX(0,Tasks[[#This Row],[Finish Var]])+1-Tasks[[#This Row],[_Row]]/1000000,"")</f>
        <v/>
      </c>
      <c r="GM141" s="42">
        <f>IF(AND(Tasks[[#This Row],[_IsLeaf]]=1,N(Tasks[[#This Row],[Actual Start]])=0,Tasks[[#This Row],[_ShownFcstStart]]&gt;=StatusDate,Tasks[[#This Row],[_ShownFcstStart]]&lt;=LookaheadEnd),Tasks[[#This Row],[_ShownFcstStart]]+Tasks[[#This Row],[_Row]]/100000,"")</f>
        <v/>
      </c>
      <c r="GN141" s="42">
        <f>IF(AND(Tasks[[#This Row],[_IsLeaf]]=1,Tasks[[#This Row],[_LeafProgress]]&lt;1,Tasks[[#This Row],[_ShownFcstFinish]]&gt;=StatusDate,Tasks[[#This Row],[_ShownFcstFinish]]&lt;=LookaheadEnd),Tasks[[#This Row],[_ShownFcstFinish]]+Tasks[[#This Row],[_Row]]/100000,"")</f>
        <v/>
      </c>
      <c r="GO141" s="42">
        <f>IF(Tasks[[#This Row],[_LeafCritical]],Tasks[[#This Row],[_ShownFcstStart]]+Tasks[[#This Row],[_Row]]/100000,"")</f>
        <v/>
      </c>
      <c r="GP141" s="42">
        <f>Tasks[[#This Row],[_LeafWork]]*Tasks[[#This Row],[_LeafProgress]]</f>
        <v/>
      </c>
      <c r="GQ141" s="88">
        <f>IF(AND(Tasks[[#This Row],[_IsLeaf]]=1,Tasks[[#This Row],[_LeafProgress]]&gt;=1),IF(N(Tasks[[#This Row],[Actual Finish]])&gt;0,Tasks[[#This Row],[Actual Finish]],Tasks[[#This Row],[_ShownFcstFinish]]),"")</f>
        <v/>
      </c>
      <c r="GR141" s="42">
        <f>IF(Tasks[[#This Row],[_IsLeaf]]=1,N(Tasks[[#This Row],[Story Points]]),0)</f>
        <v/>
      </c>
      <c r="GS141" s="42">
        <f>""</f>
        <v/>
      </c>
      <c r="GT141" s="42">
        <f>IF(Tasks[[#This Row],[Task Name]]="",FALSE(),AND(Tasks[[#This Row],[_IsLeaf]]=1,N(Tasks[[#This Row],[_Days]])=0))</f>
        <v/>
      </c>
      <c r="GU141" s="88">
        <f>IF(Tasks[[#This Row],[Task Name]]="",0,IF(AND(Tasks[[#This Row],[_IsLeaf]]=1,NOT(Tasks[[#This Row],[_IsMilestone]]),N(Tasks[[#This Row],[Progress]])&gt;0),Tasks[[#This Row],[Start]],0))</f>
        <v/>
      </c>
      <c r="GV141" s="88">
        <f>IF(Tasks[[#This Row],[_DoneFrom]]=0,0,IF(Tasks[[#This Row],[Progress]]&gt;=1,Tasks[[#This Row],[Finish]],MAX(Tasks[[#This Row],[_DoneFrom]],Tasks[[#This Row],[Start]]+ROUND((Tasks[[#This Row],[Finish]]-Tasks[[#This Row],[Start]]+1)*Tasks[[#This Row],[Progress]],0)-1)))</f>
        <v/>
      </c>
      <c r="GW141" s="88">
        <f>IF(Tasks[[#This Row],[Task Name]]="",0,IF(OR(NOT(Tasks[[#This Row],[_IsLeaf]]=1),Tasks[[#This Row],[_IsMilestone]],N(Tasks[[#This Row],[Progress]])&gt;=1),0,IF(Tasks[[#This Row],[_DoneTo]]&gt;0,Tasks[[#This Row],[_DoneTo]]+1,Tasks[[#This Row],[Start]])))</f>
        <v/>
      </c>
      <c r="GX141" s="88">
        <f>IF(Tasks[[#This Row],[_RemFrom]]=0,0,Tasks[[#This Row],[Finish]])</f>
        <v/>
      </c>
      <c r="GY141" s="42">
        <f>IF(Tasks[[#This Row],[Task Name]]="",FALSE(),OR(NOT(BaselineSet),N(Tasks[[#This Row],[Baseline Start]])&gt;0))</f>
        <v/>
      </c>
      <c r="GZ141" s="42">
        <f>IF(AND(Sandbox="Yes",L_PARSE_DURATION(Tasks[[#This Row],[Sandbox Duration]])&lt;&gt;""),L_PARSE_DURATION(Tasks[[#This Row],[Sandbox Duration]]),L_PARSE_DURATION(Tasks[[#This Row],[Duration]]))</f>
        <v/>
      </c>
      <c r="HA14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1" s="42">
        <f>IF(Tasks[[#This Row],[_IsLeaf]]=1,Tasks[[#This Row],[_Row]],"")</f>
        <v/>
      </c>
      <c r="HD141" s="42">
        <f>IFERROR(INDEX(Tasks[UID],SMALL(Tasks[_PickKey],Tasks[[#This Row],[_Row]]))&amp;" "&amp;INDEX(Tasks[Task Name],SMALL(Tasks[_PickKey],Tasks[[#This Row],[_Row]])),"")</f>
        <v/>
      </c>
      <c r="HE141" s="42">
        <f>IF(Tasks[[#This Row],[Task Name]]="","",IF(Tasks[[#This Row],[_IsSummary]],NETWORKDAYS.INTL(Tasks[[#This Row],[Start]],Tasks[[#This Row],[Finish]],WorkWeek,Holidays),N(Tasks[[#This Row],[_Days]])))</f>
        <v/>
      </c>
      <c r="HF141" s="42">
        <f>IF(Tasks[[#This Row],[Expected]]="",0,((Tasks[[#This Row],[Pessimistic]]-Tasks[[#This Row],[Optimistic]])/6)^2)</f>
        <v/>
      </c>
      <c r="HG141" s="42">
        <f>IF(Tasks[[#This Row],[Expected]]="",0,Tasks[[#This Row],[Expected]]-N(Tasks[[#This Row],[_Days]]))</f>
        <v/>
      </c>
    </row>
    <row r="142">
      <c r="A142" s="21">
        <f>IF(Tasks[[#This Row],[Task Name]]="","",COUNTA(Tasks[[#Headers],[Task Name]]:Tasks[[#This Row],[Task Name]])-1)</f>
        <v/>
      </c>
      <c r="B142" s="22" t="n">
        <v>150</v>
      </c>
      <c r="C142" s="22" t="n"/>
      <c r="D142" s="23" t="n"/>
      <c r="E142" s="22" t="n"/>
      <c r="F142" s="23" t="n"/>
      <c r="G142" s="22" t="n"/>
      <c r="H142" s="22" t="n"/>
      <c r="I142" s="23" t="n"/>
      <c r="J142" s="22" t="n"/>
      <c r="K142" s="22" t="n"/>
      <c r="L142" s="23" t="n"/>
      <c r="M142" s="22" t="n"/>
      <c r="N142" s="22" t="n"/>
      <c r="O142" s="23" t="n"/>
      <c r="P142" s="22" t="n"/>
      <c r="Q142" s="22" t="n"/>
      <c r="R142" s="23" t="n"/>
      <c r="S142" s="23" t="n"/>
      <c r="T142" s="82" t="n"/>
      <c r="U142" s="23" t="n"/>
      <c r="V142" s="82" t="n"/>
      <c r="W142" s="23" t="n"/>
      <c r="X142" s="82" t="n"/>
      <c r="Y142" s="23" t="n"/>
      <c r="Z142" s="82" t="n"/>
      <c r="AA142" s="23" t="n"/>
      <c r="AB142" s="23" t="n"/>
      <c r="AC142" s="7" t="n"/>
      <c r="AD142" s="7" t="n"/>
      <c r="AE142" s="61">
        <f>IF(Tasks[[#This Row],[Task Name]]="","",IF(Tasks[[#This Row],[_IsSummary]],MIN(INDEX(Tasks[_ShownFcstStart],Tasks[[#This Row],[_Row]]+1):INDEX(Tasks[_ShownFcstStart],Tasks[[#This Row],[_Row]]+Tasks[[#This Row],[_Descendants]])),Tasks[[#This Row],[_ShownFcstStart]]))</f>
        <v/>
      </c>
      <c r="AF142" s="61">
        <f>IF(Tasks[[#This Row],[Task Name]]="","",IF(Tasks[[#This Row],[_IsSummary]],MAX(INDEX(Tasks[_ShownFcstFinish],Tasks[[#This Row],[_Row]]+1):INDEX(Tasks[_ShownFcstFinish],Tasks[[#This Row],[_Row]]+Tasks[[#This Row],[_Descendants]])),Tasks[[#This Row],[_ShownFcstFinish]]))</f>
        <v/>
      </c>
      <c r="AG142" s="21">
        <f>""</f>
        <v/>
      </c>
      <c r="AH142" s="23" t="n"/>
      <c r="AI14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2" s="7" t="n"/>
      <c r="AK142" s="22" t="n"/>
      <c r="AL142" s="23" t="n"/>
      <c r="AM142" s="7" t="n"/>
      <c r="AN142" s="21">
        <f>IF(Tasks[[#This Row],[Task Name]]="","",IF(Tasks[[#This Row],[Finish]]&gt;=Tasks[[#This Row],[Planned Finish]],NETWORKDAYS.INTL(Tasks[[#This Row],[Planned Finish]],Tasks[[#This Row],[Finish]],WorkWeek,Holidays)-1,1-NETWORKDAYS.INTL(Tasks[[#This Row],[Finish]],Tasks[[#This Row],[Planned Finish]],WorkWeek,Holidays)))</f>
        <v/>
      </c>
      <c r="AO142" s="21">
        <f>IF(Tasks[[#This Row],[Task Name]]="","",IF(Tasks[[#This Row],[Progress]]&gt;=1,"Complete",IF(OR(N(Tasks[[#This Row],[Actual Start]])&gt;0,Tasks[[#This Row],[Progress]]&gt;0),IF(Tasks[[#This Row],[Finish Var]]&gt;0,"Behind","In Progress"),IF(Tasks[[#This Row],[Planned Start]]&lt;StatusDate,"Late Start","Not Started"))))</f>
        <v/>
      </c>
      <c r="AP142" s="21">
        <f>IF(Tasks[[#This Row],[Task Name]]="","",IF(IF(Tasks[[#This Row],[_IsSummary]],COUNTIF(INDEX(Tasks[_LeafCritical],Tasks[[#This Row],[_Row]]+1):INDEX(Tasks[_LeafCritical],Tasks[[#This Row],[_Row]]+Tasks[[#This Row],[_Descendants]]),TRUE())&gt;0,Tasks[[#This Row],[_LeafCritical]]),"Yes",""))</f>
        <v/>
      </c>
      <c r="AQ142" s="61">
        <f>IF(Tasks[[#This Row],[Task Name]]="","",IF(N(Tasks[[#This Row],[Baseline Start]])&gt;0,Tasks[[#This Row],[Baseline Start]],Tasks[[#This Row],[_CalcStart]]))</f>
        <v/>
      </c>
      <c r="AR142" s="61">
        <f>IF(Tasks[[#This Row],[Task Name]]="","",IF(N(Tasks[[#This Row],[Baseline Finish]])&gt;0,Tasks[[#This Row],[Baseline Finish]],Tasks[[#This Row],[_CalcFinish]]))</f>
        <v/>
      </c>
      <c r="AS142" s="21">
        <f>IF(Tasks[[#This Row],[Task Name]]="","",IF(Tasks[[#This Row],[Start]]&gt;=Tasks[[#This Row],[Planned Start]],NETWORKDAYS.INTL(Tasks[[#This Row],[Planned Start]],Tasks[[#This Row],[Start]],WorkWeek,Holidays)-1,1-NETWORKDAYS.INTL(Tasks[[#This Row],[Start]],Tasks[[#This Row],[Planned Start]],WorkWeek,Holidays)))</f>
        <v/>
      </c>
      <c r="AT142" s="61">
        <f>IF(Tasks[[#This Row],[Task Name]]="","",IF(Tasks[[#This Row],[_IsSummary]],MIN(INDEX(Tasks[_LeafLateStart],Tasks[[#This Row],[_Row]]+1):INDEX(Tasks[_LeafLateStart],Tasks[[#This Row],[_Row]]+Tasks[[#This Row],[_Descendants]])),Tasks[[#This Row],[_LeafLateStart]]))</f>
        <v/>
      </c>
      <c r="AU142" s="61">
        <f>IF(Tasks[[#This Row],[Task Name]]="","",IF(Tasks[[#This Row],[_IsSummary]],MAX(INDEX(Tasks[_LeafLateFinish],Tasks[[#This Row],[_Row]]+1):INDEX(Tasks[_LeafLateFinish],Tasks[[#This Row],[_Row]]+Tasks[[#This Row],[_Descendants]])),Tasks[[#This Row],[_LeafLateFinish]]))</f>
        <v/>
      </c>
      <c r="AV142" s="21">
        <f>IF(Tasks[[#This Row],[Task Name]]="","",IF(Tasks[[#This Row],[_IsSummary]],MIN(INDEX(Tasks[_LeafTotalSlack],Tasks[[#This Row],[_Row]]+1):INDEX(Tasks[_LeafTotalSlack],Tasks[[#This Row],[_Row]]+Tasks[[#This Row],[_Descendants]])),Tasks[[#This Row],[_LeafTotalSlack]]))</f>
        <v/>
      </c>
      <c r="AW14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3" t="n"/>
      <c r="BA14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f>IF(Tasks[[#This Row],[Task Name]]="","",IF(Tasks[[#This Row],[_Level]]&lt;=OutlineShowLevel,"Yes","No"))</f>
        <v/>
      </c>
      <c r="BE142" s="84">
        <f>IF(Tasks[[#This Row],[Task Name]]="","",IF(Tasks[[#This Row],[_IsSummary]],SUM(INDEX(Tasks[_LeafTotalWork],Tasks[[#This Row],[_Row]]+1):INDEX(Tasks[_LeafTotalWork],Tasks[[#This Row],[_Row]]+Tasks[[#This Row],[_Descendants]])),Tasks[[#This Row],[_LeafTotalWork]]))</f>
        <v/>
      </c>
      <c r="BF142" s="23" t="n"/>
      <c r="BG14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f>""</f>
        <v/>
      </c>
      <c r="BI142" s="85" t="n"/>
      <c r="BJ142" s="22" t="n"/>
      <c r="BK142" s="21">
        <f>IF(OR(Tasks[[#This Row],[Task Name]]="",Tasks[[#This Row],[Baseline Duration]]=""),"",Tasks[[#This Row],[_SpanDays]]-N(Tasks[[#This Row],[Baseline Duration]]))</f>
        <v/>
      </c>
      <c r="BL142" s="84">
        <f>IF(OR(Tasks[[#This Row],[Task Name]]="",Tasks[[#This Row],[Baseline Work]]=""),"",Tasks[[#This Row],[Work]]-N(Tasks[[#This Row],[Baseline Work]]))</f>
        <v/>
      </c>
      <c r="BM142" s="61">
        <f>IF(Tasks[[#This Row],[Task Name]]="","",IF(OR(TakeBaseline="Yes",N(Tasks[[#This Row],[Baseline Start]])=0),Tasks[[#This Row],[Start]],Tasks[[#This Row],[Baseline Start]]))</f>
        <v/>
      </c>
      <c r="BN142" s="61">
        <f>IF(Tasks[[#This Row],[Task Name]]="","",IF(OR(TakeBaseline="Yes",N(Tasks[[#This Row],[Baseline Finish]])=0),Tasks[[#This Row],[Finish]],Tasks[[#This Row],[Baseline Finish]]))</f>
        <v/>
      </c>
      <c r="BO142" s="21">
        <f>IF(Tasks[[#This Row],[Task Name]]="","",IF(OR(TakeBaseline="Yes",N(Tasks[[#This Row],[Baseline Duration]])=0),Tasks[[#This Row],[_SpanDays]],Tasks[[#This Row],[Baseline Duration]]))</f>
        <v/>
      </c>
      <c r="BP142" s="84">
        <f>IF(Tasks[[#This Row],[Task Name]]="","",IF(OR(TakeBaseline="Yes",N(Tasks[[#This Row],[Baseline Work]])=0),Tasks[[#This Row],[Work]],Tasks[[#This Row],[Baseline Work]]))</f>
        <v/>
      </c>
      <c r="BQ142" s="7" t="n"/>
      <c r="BR142" s="7" t="n"/>
      <c r="BS142" s="22" t="n"/>
      <c r="BT142" s="86" t="n"/>
      <c r="BU142" s="23" t="n"/>
      <c r="BV142" s="23" t="n"/>
      <c r="BW142" s="23" t="n"/>
      <c r="BX142" s="87">
        <f>IF(AND(Tasks[[#This Row],[_IsLeaf]]=1,ISNUMBER(Tasks[[#This Row],[Optimistic]]),ISNUMBER(Tasks[[#This Row],[Pessimistic]])),ROUND((Tasks[[#This Row],[Optimistic]]+4*N(Tasks[[#This Row],[_Days]])+Tasks[[#This Row],[Pessimistic]])/6,1),"")</f>
        <v/>
      </c>
      <c r="BY142" s="85" t="n"/>
      <c r="BZ142" s="85" t="n"/>
      <c r="CA142" s="22" t="n"/>
      <c r="CB142" s="42">
        <f>IF(Tasks[[#This Row],[Task Name]]="","",MAX(1,N(Tasks[[#This Row],[Level]])))</f>
        <v/>
      </c>
      <c r="CC142" s="42">
        <f>ROW()-ROW(Tasks[[#Headers],[ID]])</f>
        <v/>
      </c>
      <c r="CD142" s="42">
        <f>IF(OR(Tasks[[#This Row],[Task Name]]="",Tasks[[#This Row],[_Level]]&lt;=1),0,IFERROR(LOOKUP(2,1/(Tasks[[#Headers],[_Level]]:Tasks[[#This Row],[_Level]]=Tasks[[#This Row],[_Level]]-1),ROW(Tasks[[#Headers],[_Level]]:Tasks[[#This Row],[_Level]])),0))</f>
        <v/>
      </c>
      <c r="CE142" s="42">
        <f>IFERROR(N(INDEX(Tasks[_Level],Tasks[[#This Row],[_Row]]+1)),0)</f>
        <v/>
      </c>
      <c r="CF142" s="42">
        <f>AND(Tasks[[#This Row],[Task Name]]&lt;&gt;"",Tasks[[#This Row],[_NextLevel]]&gt;Tasks[[#This Row],[_Level]])</f>
        <v/>
      </c>
      <c r="CG142" s="42">
        <f>IF(Tasks[[#This Row],[_IsSummary]],COUNTIF(Tasks[WBS],Tasks[[#This Row],[WBS]]&amp;".*"),0)</f>
        <v/>
      </c>
      <c r="CH142" s="42">
        <f>IF(AND(Tasks[[#This Row],[Task Name]]&lt;&gt;"",NOT(Tasks[[#This Row],[_IsSummary]])),1,0)</f>
        <v/>
      </c>
      <c r="CI142" s="42">
        <f>IF(N(Tasks[[#This Row],[_Pred1UID]])=0,0,IFERROR(MATCH(Tasks[[#This Row],[_Pred1UID]],Tasks[UID],0),-1))</f>
        <v/>
      </c>
      <c r="CJ142" s="42">
        <f>IF(N(Tasks[[#This Row],[_Pred2UID]])=0,0,IFERROR(MATCH(Tasks[[#This Row],[_Pred2UID]],Tasks[UID],0),-1))</f>
        <v/>
      </c>
      <c r="CK142" s="42">
        <f>IF(N(Tasks[[#This Row],[_Pred3UID]])=0,0,IFERROR(MATCH(Tasks[[#This Row],[_Pred3UID]],Tasks[UID],0),-1))</f>
        <v/>
      </c>
      <c r="CL142" s="42">
        <f>IF(N(Tasks[[#This Row],[_Pred4UID]])=0,0,IFERROR(MATCH(Tasks[[#This Row],[_Pred4UID]],Tasks[UID],0),-1))</f>
        <v/>
      </c>
      <c r="CM14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2" s="88">
        <f>IF(N(Tasks[[#This Row],[Constraint Date]])=0,0,IF(AND(OR(Tasks[[#This Row],[_ConstraintCode]]=3,Tasks[[#This Row],[_ConstraintCode]]=6,Tasks[[#This Row],[_ConstraintCode]]=7),N(Tasks[[#This Row],[_Days]])&gt;1),WORKDAY.INTL(N(Tasks[[#This Row],[Constraint Date]]),-(N(Tasks[[#This Row],[_Days]])-1),WorkWeek,Holidays),N(Tasks[[#This Row],[Constraint Date]])))</f>
        <v/>
      </c>
      <c r="CO142" s="88">
        <f>IF(OR(Tasks[[#This Row],[_ConstraintCode]]=2,Tasks[[#This Row],[_ConstraintCode]]=3,Tasks[[#This Row],[_ConstraintCode]]=4,Tasks[[#This Row],[_ConstraintCode]]=6),Tasks[[#This Row],[_ConstraintStart]],0)</f>
        <v/>
      </c>
      <c r="CP142" s="88">
        <f>IF(OR(Tasks[[#This Row],[_ConstraintCode]]=2,Tasks[[#This Row],[_ConstraintCode]]=3,Tasks[[#This Row],[_ConstraintCode]]=5,Tasks[[#This Row],[_ConstraintCode]]=7),Tasks[[#This Row],[_ConstraintStart]],2958465)</f>
        <v/>
      </c>
      <c r="CQ14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2" s="88">
        <f>IF(NOT(Tasks[[#This Row],[_IsLeaf]]=1),"",IF(N(Tasks[[#This Row],[_Days]])&lt;=0,Tasks[[#This Row],[_LeafCalcStart]],WORKDAY.INTL(Tasks[[#This Row],[_LeafCalcStart]],Tasks[[#This Row],[_Days]]-1,WorkWeek,Holidays)))</f>
        <v/>
      </c>
      <c r="CS14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2" s="42">
        <f>IF(Tasks[[#This Row],[_Predecessors]]="","",TRIM(MID(SUBSTITUTE(SUBSTITUTE(SUBSTITUTE(UPPER(Tasks[[#This Row],[_Predecessors]]),";",",")," ",""),",",REPT(" ",99)),1,99)))</f>
        <v/>
      </c>
      <c r="CV142" s="42">
        <f>IF(Tasks[[#This Row],[_Pred1Text]]="","",IFERROR(VALUE(LEFT(Tasks[[#This Row],[_Pred1Text]],MIN(FIND("F",Tasks[[#This Row],[_Pred1Text]]&amp;"F"),FIND("S",Tasks[[#This Row],[_Pred1Text]]&amp;"S"),FIND("+",Tasks[[#This Row],[_Pred1Text]]&amp;"+"),FIND("-",Tasks[[#This Row],[_Pred1Text]]&amp;"-"))-1)),""))</f>
        <v/>
      </c>
      <c r="CW14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2" s="42">
        <f>IF(Tasks[[#This Row],[_Pred1Text]]="","",TRIM(MID(SUBSTITUTE(SUBSTITUTE(SUBSTITUTE(UPPER(Tasks[[#This Row],[_Predecessors]]),";",",")," ",""),",",REPT(" ",99)),100,99)))</f>
        <v/>
      </c>
      <c r="CZ142" s="42">
        <f>IF(Tasks[[#This Row],[_Pred2Text]]="","",IFERROR(VALUE(LEFT(Tasks[[#This Row],[_Pred2Text]],MIN(FIND("F",Tasks[[#This Row],[_Pred2Text]]&amp;"F"),FIND("S",Tasks[[#This Row],[_Pred2Text]]&amp;"S"),FIND("+",Tasks[[#This Row],[_Pred2Text]]&amp;"+"),FIND("-",Tasks[[#This Row],[_Pred2Text]]&amp;"-"))-1)),""))</f>
        <v/>
      </c>
      <c r="DA14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2" s="42">
        <f>IF(Tasks[[#This Row],[_Pred2Text]]="","",TRIM(MID(SUBSTITUTE(SUBSTITUTE(SUBSTITUTE(UPPER(Tasks[[#This Row],[_Predecessors]]),";",",")," ",""),",",REPT(" ",99)),199,99)))</f>
        <v/>
      </c>
      <c r="DD142" s="42">
        <f>IF(Tasks[[#This Row],[_Pred3Text]]="","",IFERROR(VALUE(LEFT(Tasks[[#This Row],[_Pred3Text]],MIN(FIND("F",Tasks[[#This Row],[_Pred3Text]]&amp;"F"),FIND("S",Tasks[[#This Row],[_Pred3Text]]&amp;"S"),FIND("+",Tasks[[#This Row],[_Pred3Text]]&amp;"+"),FIND("-",Tasks[[#This Row],[_Pred3Text]]&amp;"-"))-1)),""))</f>
        <v/>
      </c>
      <c r="DE14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2" s="42">
        <f>IF(Tasks[[#This Row],[_Pred3Text]]="","",TRIM(MID(SUBSTITUTE(SUBSTITUTE(SUBSTITUTE(UPPER(Tasks[[#This Row],[_Predecessors]]),";",",")," ",""),",",REPT(" ",99)),298,99)))</f>
        <v/>
      </c>
      <c r="DH142" s="42">
        <f>IF(Tasks[[#This Row],[_Pred4Text]]="","",IFERROR(VALUE(LEFT(Tasks[[#This Row],[_Pred4Text]],MIN(FIND("F",Tasks[[#This Row],[_Pred4Text]]&amp;"F"),FIND("S",Tasks[[#This Row],[_Pred4Text]]&amp;"S"),FIND("+",Tasks[[#This Row],[_Pred4Text]]&amp;"+"),FIND("-",Tasks[[#This Row],[_Pred4Text]]&amp;"-"))-1)),""))</f>
        <v/>
      </c>
      <c r="DI14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2" s="42">
        <f>IF(OR(Tasks[[#This Row],[Task Name]]="",Tasks[[#This Row],[_Resources]]=""),"",TRIM(MID(SUBSTITUTE(Tasks[[#This Row],[_Resources]],",",REPT(" ",99)),1,99)))</f>
        <v/>
      </c>
      <c r="DL142" s="42">
        <f>IF(Tasks[[#This Row],[_Res1Text]]="","",TRIM(MID(SUBSTITUTE(Tasks[[#This Row],[_Resources]],",",REPT(" ",99)),100,99)))</f>
        <v/>
      </c>
      <c r="DM142" s="42">
        <f>IF(Tasks[[#This Row],[_Res2Text]]="","",TRIM(MID(SUBSTITUTE(Tasks[[#This Row],[_Resources]],",",REPT(" ",99)),199,99)))</f>
        <v/>
      </c>
      <c r="DN142" s="42">
        <f>IF(Tasks[[#This Row],[_Res3Text]]="","",TRIM(MID(SUBSTITUTE(Tasks[[#This Row],[_Resources]],",",REPT(" ",99)),298,99)))</f>
        <v/>
      </c>
      <c r="DO142" s="42">
        <f>IF(Tasks[[#This Row],[_Res1Text]]="",0,IFERROR(MATCH(TRIM(LEFT(Tasks[[#This Row],[_Res1Text]],FIND("[",Tasks[[#This Row],[_Res1Text]]&amp;"[")-1)),res_Name,0),IFERROR(MATCH(TRIM(LEFT(Tasks[[#This Row],[_Res1Text]],FIND("[",Tasks[[#This Row],[_Res1Text]]&amp;"[")-1)),res_Initials,0),0)))</f>
        <v/>
      </c>
      <c r="DP142" s="42">
        <f>IF(Tasks[[#This Row],[_Res2Text]]="",0,IFERROR(MATCH(TRIM(LEFT(Tasks[[#This Row],[_Res2Text]],FIND("[",Tasks[[#This Row],[_Res2Text]]&amp;"[")-1)),res_Name,0),IFERROR(MATCH(TRIM(LEFT(Tasks[[#This Row],[_Res2Text]],FIND("[",Tasks[[#This Row],[_Res2Text]]&amp;"[")-1)),res_Initials,0),0)))</f>
        <v/>
      </c>
      <c r="DQ142" s="42">
        <f>IF(Tasks[[#This Row],[_Res3Text]]="",0,IFERROR(MATCH(TRIM(LEFT(Tasks[[#This Row],[_Res3Text]],FIND("[",Tasks[[#This Row],[_Res3Text]]&amp;"[")-1)),res_Name,0),IFERROR(MATCH(TRIM(LEFT(Tasks[[#This Row],[_Res3Text]],FIND("[",Tasks[[#This Row],[_Res3Text]]&amp;"[")-1)),res_Initials,0),0)))</f>
        <v/>
      </c>
      <c r="DR142" s="42">
        <f>IF(Tasks[[#This Row],[_Res4Text]]="",0,IFERROR(MATCH(TRIM(LEFT(Tasks[[#This Row],[_Res4Text]],FIND("[",Tasks[[#This Row],[_Res4Text]]&amp;"[")-1)),res_Name,0),IFERROR(MATCH(TRIM(LEFT(Tasks[[#This Row],[_Res4Text]],FIND("[",Tasks[[#This Row],[_Res4Text]]&amp;"[")-1)),res_Initials,0),0)))</f>
        <v/>
      </c>
      <c r="DS142" s="42">
        <f>IF(Tasks[[#This Row],[_Res1Text]]="","",IF(Tasks[[#This Row],[_Res1Row]]&gt;0,INDEX(res_Name,Tasks[[#This Row],[_Res1Row]]),TRIM(LEFT(Tasks[[#This Row],[_Res1Text]],FIND("[",Tasks[[#This Row],[_Res1Text]]&amp;"[")-1))))</f>
        <v/>
      </c>
      <c r="DT14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2" s="42">
        <f>IF(NOT(Tasks[[#This Row],[_IsLeaf]]=1),0,(Tasks[[#This Row],[_Resource1]]&lt;&gt;"")+(Tasks[[#This Row],[_Res2]]&lt;&gt;"")+(Tasks[[#This Row],[_Res3]]&lt;&gt;"")+(Tasks[[#This Row],[_Res4]]&lt;&gt;""))</f>
        <v/>
      </c>
      <c r="DV142" s="42">
        <f>IF(Tasks[[#This Row],[_Res2Text]]="","",IF(Tasks[[#This Row],[_Res2Row]]&gt;0,INDEX(res_Name,Tasks[[#This Row],[_Res2Row]]),TRIM(LEFT(Tasks[[#This Row],[_Res2Text]],FIND("[",Tasks[[#This Row],[_Res2Text]]&amp;"[")-1))))</f>
        <v/>
      </c>
      <c r="DW14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2" s="42">
        <f>IF(OR(NOT(Tasks[[#This Row],[_IsLeaf]]=1),Tasks[[#This Row],[_Res2Row]]=0),0,N(Tasks[[#This Row],[_Days]])*HoursPerDay*IF(Tasks[[#This Row],[_Res2Units]]="",DefaultUnits,Tasks[[#This Row],[_Res2Units]]))</f>
        <v/>
      </c>
      <c r="DY142" s="42">
        <f>IF(AND(AND(Tasks[[#This Row],[_IsLeaf]]=1,Tasks[[#This Row],[_LeafTotalWork]]&gt;0),Tasks[[#This Row],[_Res2Work]]&gt;0),Tasks[[#This Row],[_Res2Work]]/(Tasks[[#This Row],[_FinishWorkday]]-Tasks[[#This Row],[_StartWorkday]]+1),0)</f>
        <v/>
      </c>
      <c r="DZ142" s="42">
        <f>Tasks[[#This Row],[_Res2WorkPerWD]]*MAX(0,Tasks[[#This Row],[_StartWorkday]]-1)</f>
        <v/>
      </c>
      <c r="EA142" s="42">
        <f>Tasks[[#This Row],[_Res2Work]]*Tasks[[#This Row],[_LeafProgress]]</f>
        <v/>
      </c>
      <c r="EB142" s="42">
        <f>IF(Tasks[[#This Row],[_Res3Text]]="","",IF(Tasks[[#This Row],[_Res3Row]]&gt;0,INDEX(res_Name,Tasks[[#This Row],[_Res3Row]]),TRIM(LEFT(Tasks[[#This Row],[_Res3Text]],FIND("[",Tasks[[#This Row],[_Res3Text]]&amp;"[")-1))))</f>
        <v/>
      </c>
      <c r="EC14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2" s="42">
        <f>IF(OR(NOT(Tasks[[#This Row],[_IsLeaf]]=1),Tasks[[#This Row],[_Res3Row]]=0),0,N(Tasks[[#This Row],[_Days]])*HoursPerDay*IF(Tasks[[#This Row],[_Res3Units]]="",DefaultUnits,Tasks[[#This Row],[_Res3Units]]))</f>
        <v/>
      </c>
      <c r="EE142" s="42">
        <f>IF(AND(AND(Tasks[[#This Row],[_IsLeaf]]=1,Tasks[[#This Row],[_LeafTotalWork]]&gt;0),Tasks[[#This Row],[_Res3Work]]&gt;0),Tasks[[#This Row],[_Res3Work]]/(Tasks[[#This Row],[_FinishWorkday]]-Tasks[[#This Row],[_StartWorkday]]+1),0)</f>
        <v/>
      </c>
      <c r="EF142" s="42">
        <f>Tasks[[#This Row],[_Res3WorkPerWD]]*MAX(0,Tasks[[#This Row],[_StartWorkday]]-1)</f>
        <v/>
      </c>
      <c r="EG142" s="42">
        <f>Tasks[[#This Row],[_Res3Work]]*Tasks[[#This Row],[_LeafProgress]]</f>
        <v/>
      </c>
      <c r="EH142" s="42">
        <f>IF(Tasks[[#This Row],[_Res4Text]]="","",IF(Tasks[[#This Row],[_Res4Row]]&gt;0,INDEX(res_Name,Tasks[[#This Row],[_Res4Row]]),TRIM(LEFT(Tasks[[#This Row],[_Res4Text]],FIND("[",Tasks[[#This Row],[_Res4Text]]&amp;"[")-1))))</f>
        <v/>
      </c>
      <c r="EI14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2" s="42">
        <f>IF(OR(NOT(Tasks[[#This Row],[_IsLeaf]]=1),Tasks[[#This Row],[_Res4Row]]=0),0,N(Tasks[[#This Row],[_Days]])*HoursPerDay*IF(Tasks[[#This Row],[_Res4Units]]="",DefaultUnits,Tasks[[#This Row],[_Res4Units]]))</f>
        <v/>
      </c>
      <c r="EK142" s="42">
        <f>IF(AND(AND(Tasks[[#This Row],[_IsLeaf]]=1,Tasks[[#This Row],[_LeafTotalWork]]&gt;0),Tasks[[#This Row],[_Res4Work]]&gt;0),Tasks[[#This Row],[_Res4Work]]/(Tasks[[#This Row],[_FinishWorkday]]-Tasks[[#This Row],[_StartWorkday]]+1),0)</f>
        <v/>
      </c>
      <c r="EL142" s="42">
        <f>Tasks[[#This Row],[_Res4WorkPerWD]]*MAX(0,Tasks[[#This Row],[_StartWorkday]]-1)</f>
        <v/>
      </c>
      <c r="EM142" s="42">
        <f>Tasks[[#This Row],[_Res4Work]]*Tasks[[#This Row],[_LeafProgress]]</f>
        <v/>
      </c>
      <c r="EN142" s="42">
        <f>IF(ISNUMBER(Tasks[[#This Row],[% Complete]]),Tasks[[#This Row],[% Complete]],IF(Tasks[[#This Row],[Stage]]="",0,IFERROR(INDEX(stg_Pct,MATCH(Tasks[[#This Row],[Stage]],stg_Name,0)),0)))</f>
        <v/>
      </c>
      <c r="EO142" s="42">
        <f>IF(NOT(Tasks[[#This Row],[_IsLeaf]]=1),0,IF(N(Tasks[[#This Row],[Actual Finish]])&gt;0,1,MIN(1,Tasks[[#This Row],[_Pct]])))</f>
        <v/>
      </c>
      <c r="EP142" s="42">
        <f>IF(OR(NOT(Tasks[[#This Row],[_IsLeaf]]=1),Tasks[[#This Row],[_Res1Row]]=0),0,N(Tasks[[#This Row],[_Days]])*HoursPerDay*IF(Tasks[[#This Row],[_Units1]]="",DefaultUnits,Tasks[[#This Row],[_Units1]]))</f>
        <v/>
      </c>
      <c r="EQ142" s="42">
        <f>Tasks[[#This Row],[_LeafWork]]+Tasks[[#This Row],[_Res2Work]]+Tasks[[#This Row],[_Res3Work]]+Tasks[[#This Row],[_Res4Work]]</f>
        <v/>
      </c>
      <c r="ER14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2" s="42">
        <f>IF(NOT(Tasks[[#This Row],[_IsLeaf]]=1),0,MAX(_xlfn.MAXIFS(Tasks[_Row],Tasks[_Pred1UID],Tasks[[#This Row],[UID]]),_xlfn.MAXIFS(Tasks[_Row],Tasks[_Pred2UID],Tasks[[#This Row],[UID]]),_xlfn.MAXIFS(Tasks[_Row],Tasks[_Pred3UID],Tasks[[#This Row],[UID]]),_xlfn.MAXIFS(Tasks[_Row],Tasks[_Pred4UID],Tasks[[#This Row],[UID]])))</f>
        <v/>
      </c>
      <c r="FA14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2" s="88">
        <f>IF(NOT(Tasks[[#This Row],[_IsLeaf]]=1),"",IF(N(Tasks[[#This Row],[_Days]])&lt;=0,Tasks[[#This Row],[_LeafLateFinish]],WORKDAY.INTL(Tasks[[#This Row],[_LeafLateFinish]],-(Tasks[[#This Row],[_Days]]-1),WorkWeek,Holidays)))</f>
        <v/>
      </c>
      <c r="FD14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2" s="42">
        <f>AND(Tasks[[#This Row],[_IsLeaf]]=1,Tasks[[#This Row],[_LeafProgress]]&lt;1,N(Tasks[[#This Row],[_LeafTotalSlack]])&lt;=CriticalSlackDays)</f>
        <v/>
      </c>
      <c r="FF142" s="42">
        <f>IF(AND(Tasks[[#This Row],[_IsLeaf]]=1,Tasks[[#This Row],[_ConstraintCode]]=1,Tasks[[#This Row],[Mode]]&lt;&gt;"Manual",N(Tasks[[#This Row],[Actual Start]])=0),MAX(0,N(Tasks[[#This Row],[Free Slack]])),0)</f>
        <v/>
      </c>
      <c r="FG142" s="88">
        <f>IF(NOT(Tasks[[#This Row],[_IsLeaf]]=1),"",IF(Tasks[[#This Row],[_AlapShift]]=0,Tasks[[#This Row],[_LeafCalcStart]],WORKDAY.INTL(Tasks[[#This Row],[_LeafCalcStart]],Tasks[[#This Row],[_AlapShift]],WorkWeek,Holidays)))</f>
        <v/>
      </c>
      <c r="FH142" s="88">
        <f>IF(NOT(Tasks[[#This Row],[_IsLeaf]]=1),"",IF(Tasks[[#This Row],[_AlapShift]]=0,Tasks[[#This Row],[_LeafCalcFinish]],WORKDAY.INTL(Tasks[[#This Row],[_LeafCalcFinish]],Tasks[[#This Row],[_AlapShift]],WorkWeek,Holidays)))</f>
        <v/>
      </c>
      <c r="FI142" s="88">
        <f>IF(NOT(Tasks[[#This Row],[_IsLeaf]]=1),"",IF(Tasks[[#This Row],[_AlapShift]]=0,Tasks[[#This Row],[_LeafFcstStart]],WORKDAY.INTL(Tasks[[#This Row],[_LeafFcstStart]],Tasks[[#This Row],[_AlapShift]],WorkWeek,Holidays)))</f>
        <v/>
      </c>
      <c r="FJ142" s="88">
        <f>IF(NOT(Tasks[[#This Row],[_IsLeaf]]=1),"",IF(Tasks[[#This Row],[_AlapShift]]=0,Tasks[[#This Row],[_LeafFcstFinish]],WORKDAY.INTL(Tasks[[#This Row],[_LeafFcstFinish]],Tasks[[#This Row],[_AlapShift]],WorkWeek,Holidays)))</f>
        <v/>
      </c>
      <c r="FK142" s="88">
        <f>IF(Tasks[[#This Row],[Task Name]]="","",IF(Tasks[[#This Row],[_IsSummary]],MIN(INDEX(Tasks[_ShownCalcStart],Tasks[[#This Row],[_Row]]+1):INDEX(Tasks[_ShownCalcStart],Tasks[[#This Row],[_Row]]+Tasks[[#This Row],[_Descendants]])),Tasks[[#This Row],[_ShownCalcStart]]))</f>
        <v/>
      </c>
      <c r="FL142" s="88">
        <f>IF(Tasks[[#This Row],[Task Name]]="","",IF(Tasks[[#This Row],[_IsSummary]],MAX(INDEX(Tasks[_ShownCalcFinish],Tasks[[#This Row],[_Row]]+1):INDEX(Tasks[_ShownCalcFinish],Tasks[[#This Row],[_Row]]+Tasks[[#This Row],[_Descendants]])),Tasks[[#This Row],[_ShownCalcFinish]]))</f>
        <v/>
      </c>
      <c r="FM14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2" s="42">
        <f>IF(AND(Tasks[[#This Row],[_IsLeaf]]=1,Tasks[[#This Row],[_LeafTotalWork]]&gt;0),NETWORKDAYS.INTL(ProjectStart,Tasks[[#This Row],[_ShownFcstStart]],WorkWeek,Holidays),0)</f>
        <v/>
      </c>
      <c r="FZ142" s="42">
        <f>IF(AND(Tasks[[#This Row],[_IsLeaf]]=1,Tasks[[#This Row],[_LeafTotalWork]]&gt;0),MAX(Tasks[[#This Row],[_StartWorkday]],NETWORKDAYS.INTL(ProjectStart,Tasks[[#This Row],[_ShownFcstFinish]],WorkWeek,Holidays)),0)</f>
        <v/>
      </c>
      <c r="GA142" s="42">
        <f>IF(AND(Tasks[[#This Row],[_IsLeaf]]=1,Tasks[[#This Row],[_LeafTotalWork]]&gt;0),Tasks[[#This Row],[_LeafWork]]/(Tasks[[#This Row],[_FinishWorkday]]-Tasks[[#This Row],[_StartWorkday]]+1),0)</f>
        <v/>
      </c>
      <c r="GB142" s="42">
        <f>Tasks[[#This Row],[_WorkPerWorkday]]*(Tasks[[#This Row],[_StartWorkday]]-1)</f>
        <v/>
      </c>
      <c r="GC142" s="42">
        <f>IF(Tasks[[#This Row],[_IsLeaf]]=1,MAX(N(Tasks[[#This Row],[_Days]]),0.1),0)</f>
        <v/>
      </c>
      <c r="GD142" s="42">
        <f>Tasks[[#This Row],[_WeightDur]]*Tasks[[#This Row],[_LeafProgress]]</f>
        <v/>
      </c>
      <c r="GE142" s="42">
        <f>Tasks[[#This Row],[_WeightDur]]*Tasks[[#This Row],[_PlannedPct]]</f>
        <v/>
      </c>
      <c r="GF14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2" s="42">
        <f>IF(AND(Tasks[[#This Row],[_IsLeaf]]=1,N(Tasks[[#This Row],[_Days]])=0,Tasks[[#This Row],[_LeafProgress]]&lt;1),Tasks[[#This Row],[_ShownFcstFinish]]+Tasks[[#This Row],[_Row]]/100000,"")</f>
        <v/>
      </c>
      <c r="GH14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2" s="42">
        <f>IF(Tasks[[#This Row],[Task Name]]="","",LEFT(Tasks[[#This Row],[WBS]],FIND(".",Tasks[[#This Row],[WBS]]&amp;".")-1))</f>
        <v/>
      </c>
      <c r="GJ142" s="42">
        <f>IF(AND(Tasks[[#This Row],[Task Name]]&lt;&gt;"",Tasks[[#This Row],[_Level]]=1),Tasks[[#This Row],[_Row]],"")</f>
        <v/>
      </c>
      <c r="GK142" s="42">
        <f>IF(AND(Tasks[[#This Row],[_IsLeaf]]=1,N(Tasks[[#This Row],[_Days]])=0),Tasks[[#This Row],[Planned Finish]]+Tasks[[#This Row],[_Row]]/100000,"")</f>
        <v/>
      </c>
      <c r="GL142" s="42">
        <f>IF(AND(Tasks[[#This Row],[_IsLeaf]]=1,Tasks[[#This Row],[_LeafProgress]]&lt;1,OR(N(Tasks[[#This Row],[Finish Var]])&gt;0,Tasks[[#This Row],[Status]]="Late Start")),MAX(0,Tasks[[#This Row],[Finish Var]])+1-Tasks[[#This Row],[_Row]]/1000000,"")</f>
        <v/>
      </c>
      <c r="GM142" s="42">
        <f>IF(AND(Tasks[[#This Row],[_IsLeaf]]=1,N(Tasks[[#This Row],[Actual Start]])=0,Tasks[[#This Row],[_ShownFcstStart]]&gt;=StatusDate,Tasks[[#This Row],[_ShownFcstStart]]&lt;=LookaheadEnd),Tasks[[#This Row],[_ShownFcstStart]]+Tasks[[#This Row],[_Row]]/100000,"")</f>
        <v/>
      </c>
      <c r="GN142" s="42">
        <f>IF(AND(Tasks[[#This Row],[_IsLeaf]]=1,Tasks[[#This Row],[_LeafProgress]]&lt;1,Tasks[[#This Row],[_ShownFcstFinish]]&gt;=StatusDate,Tasks[[#This Row],[_ShownFcstFinish]]&lt;=LookaheadEnd),Tasks[[#This Row],[_ShownFcstFinish]]+Tasks[[#This Row],[_Row]]/100000,"")</f>
        <v/>
      </c>
      <c r="GO142" s="42">
        <f>IF(Tasks[[#This Row],[_LeafCritical]],Tasks[[#This Row],[_ShownFcstStart]]+Tasks[[#This Row],[_Row]]/100000,"")</f>
        <v/>
      </c>
      <c r="GP142" s="42">
        <f>Tasks[[#This Row],[_LeafWork]]*Tasks[[#This Row],[_LeafProgress]]</f>
        <v/>
      </c>
      <c r="GQ142" s="88">
        <f>IF(AND(Tasks[[#This Row],[_IsLeaf]]=1,Tasks[[#This Row],[_LeafProgress]]&gt;=1),IF(N(Tasks[[#This Row],[Actual Finish]])&gt;0,Tasks[[#This Row],[Actual Finish]],Tasks[[#This Row],[_ShownFcstFinish]]),"")</f>
        <v/>
      </c>
      <c r="GR142" s="42">
        <f>IF(Tasks[[#This Row],[_IsLeaf]]=1,N(Tasks[[#This Row],[Story Points]]),0)</f>
        <v/>
      </c>
      <c r="GS142" s="42">
        <f>""</f>
        <v/>
      </c>
      <c r="GT142" s="42">
        <f>IF(Tasks[[#This Row],[Task Name]]="",FALSE(),AND(Tasks[[#This Row],[_IsLeaf]]=1,N(Tasks[[#This Row],[_Days]])=0))</f>
        <v/>
      </c>
      <c r="GU142" s="88">
        <f>IF(Tasks[[#This Row],[Task Name]]="",0,IF(AND(Tasks[[#This Row],[_IsLeaf]]=1,NOT(Tasks[[#This Row],[_IsMilestone]]),N(Tasks[[#This Row],[Progress]])&gt;0),Tasks[[#This Row],[Start]],0))</f>
        <v/>
      </c>
      <c r="GV142" s="88">
        <f>IF(Tasks[[#This Row],[_DoneFrom]]=0,0,IF(Tasks[[#This Row],[Progress]]&gt;=1,Tasks[[#This Row],[Finish]],MAX(Tasks[[#This Row],[_DoneFrom]],Tasks[[#This Row],[Start]]+ROUND((Tasks[[#This Row],[Finish]]-Tasks[[#This Row],[Start]]+1)*Tasks[[#This Row],[Progress]],0)-1)))</f>
        <v/>
      </c>
      <c r="GW142" s="88">
        <f>IF(Tasks[[#This Row],[Task Name]]="",0,IF(OR(NOT(Tasks[[#This Row],[_IsLeaf]]=1),Tasks[[#This Row],[_IsMilestone]],N(Tasks[[#This Row],[Progress]])&gt;=1),0,IF(Tasks[[#This Row],[_DoneTo]]&gt;0,Tasks[[#This Row],[_DoneTo]]+1,Tasks[[#This Row],[Start]])))</f>
        <v/>
      </c>
      <c r="GX142" s="88">
        <f>IF(Tasks[[#This Row],[_RemFrom]]=0,0,Tasks[[#This Row],[Finish]])</f>
        <v/>
      </c>
      <c r="GY142" s="42">
        <f>IF(Tasks[[#This Row],[Task Name]]="",FALSE(),OR(NOT(BaselineSet),N(Tasks[[#This Row],[Baseline Start]])&gt;0))</f>
        <v/>
      </c>
      <c r="GZ142" s="42">
        <f>IF(AND(Sandbox="Yes",L_PARSE_DURATION(Tasks[[#This Row],[Sandbox Duration]])&lt;&gt;""),L_PARSE_DURATION(Tasks[[#This Row],[Sandbox Duration]]),L_PARSE_DURATION(Tasks[[#This Row],[Duration]]))</f>
        <v/>
      </c>
      <c r="HA14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2" s="42">
        <f>IF(Tasks[[#This Row],[_IsLeaf]]=1,Tasks[[#This Row],[_Row]],"")</f>
        <v/>
      </c>
      <c r="HD142" s="42">
        <f>IFERROR(INDEX(Tasks[UID],SMALL(Tasks[_PickKey],Tasks[[#This Row],[_Row]]))&amp;" "&amp;INDEX(Tasks[Task Name],SMALL(Tasks[_PickKey],Tasks[[#This Row],[_Row]])),"")</f>
        <v/>
      </c>
      <c r="HE142" s="42">
        <f>IF(Tasks[[#This Row],[Task Name]]="","",IF(Tasks[[#This Row],[_IsSummary]],NETWORKDAYS.INTL(Tasks[[#This Row],[Start]],Tasks[[#This Row],[Finish]],WorkWeek,Holidays),N(Tasks[[#This Row],[_Days]])))</f>
        <v/>
      </c>
      <c r="HF142" s="42">
        <f>IF(Tasks[[#This Row],[Expected]]="",0,((Tasks[[#This Row],[Pessimistic]]-Tasks[[#This Row],[Optimistic]])/6)^2)</f>
        <v/>
      </c>
      <c r="HG142" s="42">
        <f>IF(Tasks[[#This Row],[Expected]]="",0,Tasks[[#This Row],[Expected]]-N(Tasks[[#This Row],[_Days]]))</f>
        <v/>
      </c>
    </row>
    <row r="143">
      <c r="A143" s="21">
        <f>IF(Tasks[[#This Row],[Task Name]]="","",COUNTA(Tasks[[#Headers],[Task Name]]:Tasks[[#This Row],[Task Name]])-1)</f>
        <v/>
      </c>
      <c r="B143" s="22" t="n">
        <v>151</v>
      </c>
      <c r="C143" s="22" t="n"/>
      <c r="D143" s="23" t="n"/>
      <c r="E143" s="22" t="n"/>
      <c r="F143" s="23" t="n"/>
      <c r="G143" s="22" t="n"/>
      <c r="H143" s="22" t="n"/>
      <c r="I143" s="23" t="n"/>
      <c r="J143" s="22" t="n"/>
      <c r="K143" s="22" t="n"/>
      <c r="L143" s="23" t="n"/>
      <c r="M143" s="22" t="n"/>
      <c r="N143" s="22" t="n"/>
      <c r="O143" s="23" t="n"/>
      <c r="P143" s="22" t="n"/>
      <c r="Q143" s="22" t="n"/>
      <c r="R143" s="23" t="n"/>
      <c r="S143" s="23" t="n"/>
      <c r="T143" s="82" t="n"/>
      <c r="U143" s="23" t="n"/>
      <c r="V143" s="82" t="n"/>
      <c r="W143" s="23" t="n"/>
      <c r="X143" s="82" t="n"/>
      <c r="Y143" s="23" t="n"/>
      <c r="Z143" s="82" t="n"/>
      <c r="AA143" s="23" t="n"/>
      <c r="AB143" s="23" t="n"/>
      <c r="AC143" s="7" t="n"/>
      <c r="AD143" s="7" t="n"/>
      <c r="AE143" s="61">
        <f>IF(Tasks[[#This Row],[Task Name]]="","",IF(Tasks[[#This Row],[_IsSummary]],MIN(INDEX(Tasks[_ShownFcstStart],Tasks[[#This Row],[_Row]]+1):INDEX(Tasks[_ShownFcstStart],Tasks[[#This Row],[_Row]]+Tasks[[#This Row],[_Descendants]])),Tasks[[#This Row],[_ShownFcstStart]]))</f>
        <v/>
      </c>
      <c r="AF143" s="61">
        <f>IF(Tasks[[#This Row],[Task Name]]="","",IF(Tasks[[#This Row],[_IsSummary]],MAX(INDEX(Tasks[_ShownFcstFinish],Tasks[[#This Row],[_Row]]+1):INDEX(Tasks[_ShownFcstFinish],Tasks[[#This Row],[_Row]]+Tasks[[#This Row],[_Descendants]])),Tasks[[#This Row],[_ShownFcstFinish]]))</f>
        <v/>
      </c>
      <c r="AG143" s="21">
        <f>""</f>
        <v/>
      </c>
      <c r="AH143" s="23" t="n"/>
      <c r="AI14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3" s="7" t="n"/>
      <c r="AK143" s="22" t="n"/>
      <c r="AL143" s="23" t="n"/>
      <c r="AM143" s="7" t="n"/>
      <c r="AN143" s="21">
        <f>IF(Tasks[[#This Row],[Task Name]]="","",IF(Tasks[[#This Row],[Finish]]&gt;=Tasks[[#This Row],[Planned Finish]],NETWORKDAYS.INTL(Tasks[[#This Row],[Planned Finish]],Tasks[[#This Row],[Finish]],WorkWeek,Holidays)-1,1-NETWORKDAYS.INTL(Tasks[[#This Row],[Finish]],Tasks[[#This Row],[Planned Finish]],WorkWeek,Holidays)))</f>
        <v/>
      </c>
      <c r="AO143" s="21">
        <f>IF(Tasks[[#This Row],[Task Name]]="","",IF(Tasks[[#This Row],[Progress]]&gt;=1,"Complete",IF(OR(N(Tasks[[#This Row],[Actual Start]])&gt;0,Tasks[[#This Row],[Progress]]&gt;0),IF(Tasks[[#This Row],[Finish Var]]&gt;0,"Behind","In Progress"),IF(Tasks[[#This Row],[Planned Start]]&lt;StatusDate,"Late Start","Not Started"))))</f>
        <v/>
      </c>
      <c r="AP143" s="21">
        <f>IF(Tasks[[#This Row],[Task Name]]="","",IF(IF(Tasks[[#This Row],[_IsSummary]],COUNTIF(INDEX(Tasks[_LeafCritical],Tasks[[#This Row],[_Row]]+1):INDEX(Tasks[_LeafCritical],Tasks[[#This Row],[_Row]]+Tasks[[#This Row],[_Descendants]]),TRUE())&gt;0,Tasks[[#This Row],[_LeafCritical]]),"Yes",""))</f>
        <v/>
      </c>
      <c r="AQ143" s="61">
        <f>IF(Tasks[[#This Row],[Task Name]]="","",IF(N(Tasks[[#This Row],[Baseline Start]])&gt;0,Tasks[[#This Row],[Baseline Start]],Tasks[[#This Row],[_CalcStart]]))</f>
        <v/>
      </c>
      <c r="AR143" s="61">
        <f>IF(Tasks[[#This Row],[Task Name]]="","",IF(N(Tasks[[#This Row],[Baseline Finish]])&gt;0,Tasks[[#This Row],[Baseline Finish]],Tasks[[#This Row],[_CalcFinish]]))</f>
        <v/>
      </c>
      <c r="AS143" s="21">
        <f>IF(Tasks[[#This Row],[Task Name]]="","",IF(Tasks[[#This Row],[Start]]&gt;=Tasks[[#This Row],[Planned Start]],NETWORKDAYS.INTL(Tasks[[#This Row],[Planned Start]],Tasks[[#This Row],[Start]],WorkWeek,Holidays)-1,1-NETWORKDAYS.INTL(Tasks[[#This Row],[Start]],Tasks[[#This Row],[Planned Start]],WorkWeek,Holidays)))</f>
        <v/>
      </c>
      <c r="AT143" s="61">
        <f>IF(Tasks[[#This Row],[Task Name]]="","",IF(Tasks[[#This Row],[_IsSummary]],MIN(INDEX(Tasks[_LeafLateStart],Tasks[[#This Row],[_Row]]+1):INDEX(Tasks[_LeafLateStart],Tasks[[#This Row],[_Row]]+Tasks[[#This Row],[_Descendants]])),Tasks[[#This Row],[_LeafLateStart]]))</f>
        <v/>
      </c>
      <c r="AU143" s="61">
        <f>IF(Tasks[[#This Row],[Task Name]]="","",IF(Tasks[[#This Row],[_IsSummary]],MAX(INDEX(Tasks[_LeafLateFinish],Tasks[[#This Row],[_Row]]+1):INDEX(Tasks[_LeafLateFinish],Tasks[[#This Row],[_Row]]+Tasks[[#This Row],[_Descendants]])),Tasks[[#This Row],[_LeafLateFinish]]))</f>
        <v/>
      </c>
      <c r="AV143" s="21">
        <f>IF(Tasks[[#This Row],[Task Name]]="","",IF(Tasks[[#This Row],[_IsSummary]],MIN(INDEX(Tasks[_LeafTotalSlack],Tasks[[#This Row],[_Row]]+1):INDEX(Tasks[_LeafTotalSlack],Tasks[[#This Row],[_Row]]+Tasks[[#This Row],[_Descendants]])),Tasks[[#This Row],[_LeafTotalSlack]]))</f>
        <v/>
      </c>
      <c r="AW14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3" t="n"/>
      <c r="BA14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f>IF(Tasks[[#This Row],[Task Name]]="","",IF(Tasks[[#This Row],[_Level]]&lt;=OutlineShowLevel,"Yes","No"))</f>
        <v/>
      </c>
      <c r="BE143" s="84">
        <f>IF(Tasks[[#This Row],[Task Name]]="","",IF(Tasks[[#This Row],[_IsSummary]],SUM(INDEX(Tasks[_LeafTotalWork],Tasks[[#This Row],[_Row]]+1):INDEX(Tasks[_LeafTotalWork],Tasks[[#This Row],[_Row]]+Tasks[[#This Row],[_Descendants]])),Tasks[[#This Row],[_LeafTotalWork]]))</f>
        <v/>
      </c>
      <c r="BF143" s="23" t="n"/>
      <c r="BG14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f>""</f>
        <v/>
      </c>
      <c r="BI143" s="85" t="n"/>
      <c r="BJ143" s="22" t="n"/>
      <c r="BK143" s="21">
        <f>IF(OR(Tasks[[#This Row],[Task Name]]="",Tasks[[#This Row],[Baseline Duration]]=""),"",Tasks[[#This Row],[_SpanDays]]-N(Tasks[[#This Row],[Baseline Duration]]))</f>
        <v/>
      </c>
      <c r="BL143" s="84">
        <f>IF(OR(Tasks[[#This Row],[Task Name]]="",Tasks[[#This Row],[Baseline Work]]=""),"",Tasks[[#This Row],[Work]]-N(Tasks[[#This Row],[Baseline Work]]))</f>
        <v/>
      </c>
      <c r="BM143" s="61">
        <f>IF(Tasks[[#This Row],[Task Name]]="","",IF(OR(TakeBaseline="Yes",N(Tasks[[#This Row],[Baseline Start]])=0),Tasks[[#This Row],[Start]],Tasks[[#This Row],[Baseline Start]]))</f>
        <v/>
      </c>
      <c r="BN143" s="61">
        <f>IF(Tasks[[#This Row],[Task Name]]="","",IF(OR(TakeBaseline="Yes",N(Tasks[[#This Row],[Baseline Finish]])=0),Tasks[[#This Row],[Finish]],Tasks[[#This Row],[Baseline Finish]]))</f>
        <v/>
      </c>
      <c r="BO143" s="21">
        <f>IF(Tasks[[#This Row],[Task Name]]="","",IF(OR(TakeBaseline="Yes",N(Tasks[[#This Row],[Baseline Duration]])=0),Tasks[[#This Row],[_SpanDays]],Tasks[[#This Row],[Baseline Duration]]))</f>
        <v/>
      </c>
      <c r="BP143" s="84">
        <f>IF(Tasks[[#This Row],[Task Name]]="","",IF(OR(TakeBaseline="Yes",N(Tasks[[#This Row],[Baseline Work]])=0),Tasks[[#This Row],[Work]],Tasks[[#This Row],[Baseline Work]]))</f>
        <v/>
      </c>
      <c r="BQ143" s="7" t="n"/>
      <c r="BR143" s="7" t="n"/>
      <c r="BS143" s="22" t="n"/>
      <c r="BT143" s="86" t="n"/>
      <c r="BU143" s="23" t="n"/>
      <c r="BV143" s="23" t="n"/>
      <c r="BW143" s="23" t="n"/>
      <c r="BX143" s="87">
        <f>IF(AND(Tasks[[#This Row],[_IsLeaf]]=1,ISNUMBER(Tasks[[#This Row],[Optimistic]]),ISNUMBER(Tasks[[#This Row],[Pessimistic]])),ROUND((Tasks[[#This Row],[Optimistic]]+4*N(Tasks[[#This Row],[_Days]])+Tasks[[#This Row],[Pessimistic]])/6,1),"")</f>
        <v/>
      </c>
      <c r="BY143" s="85" t="n"/>
      <c r="BZ143" s="85" t="n"/>
      <c r="CA143" s="22" t="n"/>
      <c r="CB143" s="42">
        <f>IF(Tasks[[#This Row],[Task Name]]="","",MAX(1,N(Tasks[[#This Row],[Level]])))</f>
        <v/>
      </c>
      <c r="CC143" s="42">
        <f>ROW()-ROW(Tasks[[#Headers],[ID]])</f>
        <v/>
      </c>
      <c r="CD143" s="42">
        <f>IF(OR(Tasks[[#This Row],[Task Name]]="",Tasks[[#This Row],[_Level]]&lt;=1),0,IFERROR(LOOKUP(2,1/(Tasks[[#Headers],[_Level]]:Tasks[[#This Row],[_Level]]=Tasks[[#This Row],[_Level]]-1),ROW(Tasks[[#Headers],[_Level]]:Tasks[[#This Row],[_Level]])),0))</f>
        <v/>
      </c>
      <c r="CE143" s="42">
        <f>IFERROR(N(INDEX(Tasks[_Level],Tasks[[#This Row],[_Row]]+1)),0)</f>
        <v/>
      </c>
      <c r="CF143" s="42">
        <f>AND(Tasks[[#This Row],[Task Name]]&lt;&gt;"",Tasks[[#This Row],[_NextLevel]]&gt;Tasks[[#This Row],[_Level]])</f>
        <v/>
      </c>
      <c r="CG143" s="42">
        <f>IF(Tasks[[#This Row],[_IsSummary]],COUNTIF(Tasks[WBS],Tasks[[#This Row],[WBS]]&amp;".*"),0)</f>
        <v/>
      </c>
      <c r="CH143" s="42">
        <f>IF(AND(Tasks[[#This Row],[Task Name]]&lt;&gt;"",NOT(Tasks[[#This Row],[_IsSummary]])),1,0)</f>
        <v/>
      </c>
      <c r="CI143" s="42">
        <f>IF(N(Tasks[[#This Row],[_Pred1UID]])=0,0,IFERROR(MATCH(Tasks[[#This Row],[_Pred1UID]],Tasks[UID],0),-1))</f>
        <v/>
      </c>
      <c r="CJ143" s="42">
        <f>IF(N(Tasks[[#This Row],[_Pred2UID]])=0,0,IFERROR(MATCH(Tasks[[#This Row],[_Pred2UID]],Tasks[UID],0),-1))</f>
        <v/>
      </c>
      <c r="CK143" s="42">
        <f>IF(N(Tasks[[#This Row],[_Pred3UID]])=0,0,IFERROR(MATCH(Tasks[[#This Row],[_Pred3UID]],Tasks[UID],0),-1))</f>
        <v/>
      </c>
      <c r="CL143" s="42">
        <f>IF(N(Tasks[[#This Row],[_Pred4UID]])=0,0,IFERROR(MATCH(Tasks[[#This Row],[_Pred4UID]],Tasks[UID],0),-1))</f>
        <v/>
      </c>
      <c r="CM14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3" s="88">
        <f>IF(N(Tasks[[#This Row],[Constraint Date]])=0,0,IF(AND(OR(Tasks[[#This Row],[_ConstraintCode]]=3,Tasks[[#This Row],[_ConstraintCode]]=6,Tasks[[#This Row],[_ConstraintCode]]=7),N(Tasks[[#This Row],[_Days]])&gt;1),WORKDAY.INTL(N(Tasks[[#This Row],[Constraint Date]]),-(N(Tasks[[#This Row],[_Days]])-1),WorkWeek,Holidays),N(Tasks[[#This Row],[Constraint Date]])))</f>
        <v/>
      </c>
      <c r="CO143" s="88">
        <f>IF(OR(Tasks[[#This Row],[_ConstraintCode]]=2,Tasks[[#This Row],[_ConstraintCode]]=3,Tasks[[#This Row],[_ConstraintCode]]=4,Tasks[[#This Row],[_ConstraintCode]]=6),Tasks[[#This Row],[_ConstraintStart]],0)</f>
        <v/>
      </c>
      <c r="CP143" s="88">
        <f>IF(OR(Tasks[[#This Row],[_ConstraintCode]]=2,Tasks[[#This Row],[_ConstraintCode]]=3,Tasks[[#This Row],[_ConstraintCode]]=5,Tasks[[#This Row],[_ConstraintCode]]=7),Tasks[[#This Row],[_ConstraintStart]],2958465)</f>
        <v/>
      </c>
      <c r="CQ14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3" s="88">
        <f>IF(NOT(Tasks[[#This Row],[_IsLeaf]]=1),"",IF(N(Tasks[[#This Row],[_Days]])&lt;=0,Tasks[[#This Row],[_LeafCalcStart]],WORKDAY.INTL(Tasks[[#This Row],[_LeafCalcStart]],Tasks[[#This Row],[_Days]]-1,WorkWeek,Holidays)))</f>
        <v/>
      </c>
      <c r="CS14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3" s="42">
        <f>IF(Tasks[[#This Row],[_Predecessors]]="","",TRIM(MID(SUBSTITUTE(SUBSTITUTE(SUBSTITUTE(UPPER(Tasks[[#This Row],[_Predecessors]]),";",",")," ",""),",",REPT(" ",99)),1,99)))</f>
        <v/>
      </c>
      <c r="CV143" s="42">
        <f>IF(Tasks[[#This Row],[_Pred1Text]]="","",IFERROR(VALUE(LEFT(Tasks[[#This Row],[_Pred1Text]],MIN(FIND("F",Tasks[[#This Row],[_Pred1Text]]&amp;"F"),FIND("S",Tasks[[#This Row],[_Pred1Text]]&amp;"S"),FIND("+",Tasks[[#This Row],[_Pred1Text]]&amp;"+"),FIND("-",Tasks[[#This Row],[_Pred1Text]]&amp;"-"))-1)),""))</f>
        <v/>
      </c>
      <c r="CW14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3" s="42">
        <f>IF(Tasks[[#This Row],[_Pred1Text]]="","",TRIM(MID(SUBSTITUTE(SUBSTITUTE(SUBSTITUTE(UPPER(Tasks[[#This Row],[_Predecessors]]),";",",")," ",""),",",REPT(" ",99)),100,99)))</f>
        <v/>
      </c>
      <c r="CZ143" s="42">
        <f>IF(Tasks[[#This Row],[_Pred2Text]]="","",IFERROR(VALUE(LEFT(Tasks[[#This Row],[_Pred2Text]],MIN(FIND("F",Tasks[[#This Row],[_Pred2Text]]&amp;"F"),FIND("S",Tasks[[#This Row],[_Pred2Text]]&amp;"S"),FIND("+",Tasks[[#This Row],[_Pred2Text]]&amp;"+"),FIND("-",Tasks[[#This Row],[_Pred2Text]]&amp;"-"))-1)),""))</f>
        <v/>
      </c>
      <c r="DA14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3" s="42">
        <f>IF(Tasks[[#This Row],[_Pred2Text]]="","",TRIM(MID(SUBSTITUTE(SUBSTITUTE(SUBSTITUTE(UPPER(Tasks[[#This Row],[_Predecessors]]),";",",")," ",""),",",REPT(" ",99)),199,99)))</f>
        <v/>
      </c>
      <c r="DD143" s="42">
        <f>IF(Tasks[[#This Row],[_Pred3Text]]="","",IFERROR(VALUE(LEFT(Tasks[[#This Row],[_Pred3Text]],MIN(FIND("F",Tasks[[#This Row],[_Pred3Text]]&amp;"F"),FIND("S",Tasks[[#This Row],[_Pred3Text]]&amp;"S"),FIND("+",Tasks[[#This Row],[_Pred3Text]]&amp;"+"),FIND("-",Tasks[[#This Row],[_Pred3Text]]&amp;"-"))-1)),""))</f>
        <v/>
      </c>
      <c r="DE14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3" s="42">
        <f>IF(Tasks[[#This Row],[_Pred3Text]]="","",TRIM(MID(SUBSTITUTE(SUBSTITUTE(SUBSTITUTE(UPPER(Tasks[[#This Row],[_Predecessors]]),";",",")," ",""),",",REPT(" ",99)),298,99)))</f>
        <v/>
      </c>
      <c r="DH143" s="42">
        <f>IF(Tasks[[#This Row],[_Pred4Text]]="","",IFERROR(VALUE(LEFT(Tasks[[#This Row],[_Pred4Text]],MIN(FIND("F",Tasks[[#This Row],[_Pred4Text]]&amp;"F"),FIND("S",Tasks[[#This Row],[_Pred4Text]]&amp;"S"),FIND("+",Tasks[[#This Row],[_Pred4Text]]&amp;"+"),FIND("-",Tasks[[#This Row],[_Pred4Text]]&amp;"-"))-1)),""))</f>
        <v/>
      </c>
      <c r="DI14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3" s="42">
        <f>IF(OR(Tasks[[#This Row],[Task Name]]="",Tasks[[#This Row],[_Resources]]=""),"",TRIM(MID(SUBSTITUTE(Tasks[[#This Row],[_Resources]],",",REPT(" ",99)),1,99)))</f>
        <v/>
      </c>
      <c r="DL143" s="42">
        <f>IF(Tasks[[#This Row],[_Res1Text]]="","",TRIM(MID(SUBSTITUTE(Tasks[[#This Row],[_Resources]],",",REPT(" ",99)),100,99)))</f>
        <v/>
      </c>
      <c r="DM143" s="42">
        <f>IF(Tasks[[#This Row],[_Res2Text]]="","",TRIM(MID(SUBSTITUTE(Tasks[[#This Row],[_Resources]],",",REPT(" ",99)),199,99)))</f>
        <v/>
      </c>
      <c r="DN143" s="42">
        <f>IF(Tasks[[#This Row],[_Res3Text]]="","",TRIM(MID(SUBSTITUTE(Tasks[[#This Row],[_Resources]],",",REPT(" ",99)),298,99)))</f>
        <v/>
      </c>
      <c r="DO143" s="42">
        <f>IF(Tasks[[#This Row],[_Res1Text]]="",0,IFERROR(MATCH(TRIM(LEFT(Tasks[[#This Row],[_Res1Text]],FIND("[",Tasks[[#This Row],[_Res1Text]]&amp;"[")-1)),res_Name,0),IFERROR(MATCH(TRIM(LEFT(Tasks[[#This Row],[_Res1Text]],FIND("[",Tasks[[#This Row],[_Res1Text]]&amp;"[")-1)),res_Initials,0),0)))</f>
        <v/>
      </c>
      <c r="DP143" s="42">
        <f>IF(Tasks[[#This Row],[_Res2Text]]="",0,IFERROR(MATCH(TRIM(LEFT(Tasks[[#This Row],[_Res2Text]],FIND("[",Tasks[[#This Row],[_Res2Text]]&amp;"[")-1)),res_Name,0),IFERROR(MATCH(TRIM(LEFT(Tasks[[#This Row],[_Res2Text]],FIND("[",Tasks[[#This Row],[_Res2Text]]&amp;"[")-1)),res_Initials,0),0)))</f>
        <v/>
      </c>
      <c r="DQ143" s="42">
        <f>IF(Tasks[[#This Row],[_Res3Text]]="",0,IFERROR(MATCH(TRIM(LEFT(Tasks[[#This Row],[_Res3Text]],FIND("[",Tasks[[#This Row],[_Res3Text]]&amp;"[")-1)),res_Name,0),IFERROR(MATCH(TRIM(LEFT(Tasks[[#This Row],[_Res3Text]],FIND("[",Tasks[[#This Row],[_Res3Text]]&amp;"[")-1)),res_Initials,0),0)))</f>
        <v/>
      </c>
      <c r="DR143" s="42">
        <f>IF(Tasks[[#This Row],[_Res4Text]]="",0,IFERROR(MATCH(TRIM(LEFT(Tasks[[#This Row],[_Res4Text]],FIND("[",Tasks[[#This Row],[_Res4Text]]&amp;"[")-1)),res_Name,0),IFERROR(MATCH(TRIM(LEFT(Tasks[[#This Row],[_Res4Text]],FIND("[",Tasks[[#This Row],[_Res4Text]]&amp;"[")-1)),res_Initials,0),0)))</f>
        <v/>
      </c>
      <c r="DS143" s="42">
        <f>IF(Tasks[[#This Row],[_Res1Text]]="","",IF(Tasks[[#This Row],[_Res1Row]]&gt;0,INDEX(res_Name,Tasks[[#This Row],[_Res1Row]]),TRIM(LEFT(Tasks[[#This Row],[_Res1Text]],FIND("[",Tasks[[#This Row],[_Res1Text]]&amp;"[")-1))))</f>
        <v/>
      </c>
      <c r="DT14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3" s="42">
        <f>IF(NOT(Tasks[[#This Row],[_IsLeaf]]=1),0,(Tasks[[#This Row],[_Resource1]]&lt;&gt;"")+(Tasks[[#This Row],[_Res2]]&lt;&gt;"")+(Tasks[[#This Row],[_Res3]]&lt;&gt;"")+(Tasks[[#This Row],[_Res4]]&lt;&gt;""))</f>
        <v/>
      </c>
      <c r="DV143" s="42">
        <f>IF(Tasks[[#This Row],[_Res2Text]]="","",IF(Tasks[[#This Row],[_Res2Row]]&gt;0,INDEX(res_Name,Tasks[[#This Row],[_Res2Row]]),TRIM(LEFT(Tasks[[#This Row],[_Res2Text]],FIND("[",Tasks[[#This Row],[_Res2Text]]&amp;"[")-1))))</f>
        <v/>
      </c>
      <c r="DW14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3" s="42">
        <f>IF(OR(NOT(Tasks[[#This Row],[_IsLeaf]]=1),Tasks[[#This Row],[_Res2Row]]=0),0,N(Tasks[[#This Row],[_Days]])*HoursPerDay*IF(Tasks[[#This Row],[_Res2Units]]="",DefaultUnits,Tasks[[#This Row],[_Res2Units]]))</f>
        <v/>
      </c>
      <c r="DY143" s="42">
        <f>IF(AND(AND(Tasks[[#This Row],[_IsLeaf]]=1,Tasks[[#This Row],[_LeafTotalWork]]&gt;0),Tasks[[#This Row],[_Res2Work]]&gt;0),Tasks[[#This Row],[_Res2Work]]/(Tasks[[#This Row],[_FinishWorkday]]-Tasks[[#This Row],[_StartWorkday]]+1),0)</f>
        <v/>
      </c>
      <c r="DZ143" s="42">
        <f>Tasks[[#This Row],[_Res2WorkPerWD]]*MAX(0,Tasks[[#This Row],[_StartWorkday]]-1)</f>
        <v/>
      </c>
      <c r="EA143" s="42">
        <f>Tasks[[#This Row],[_Res2Work]]*Tasks[[#This Row],[_LeafProgress]]</f>
        <v/>
      </c>
      <c r="EB143" s="42">
        <f>IF(Tasks[[#This Row],[_Res3Text]]="","",IF(Tasks[[#This Row],[_Res3Row]]&gt;0,INDEX(res_Name,Tasks[[#This Row],[_Res3Row]]),TRIM(LEFT(Tasks[[#This Row],[_Res3Text]],FIND("[",Tasks[[#This Row],[_Res3Text]]&amp;"[")-1))))</f>
        <v/>
      </c>
      <c r="EC14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3" s="42">
        <f>IF(OR(NOT(Tasks[[#This Row],[_IsLeaf]]=1),Tasks[[#This Row],[_Res3Row]]=0),0,N(Tasks[[#This Row],[_Days]])*HoursPerDay*IF(Tasks[[#This Row],[_Res3Units]]="",DefaultUnits,Tasks[[#This Row],[_Res3Units]]))</f>
        <v/>
      </c>
      <c r="EE143" s="42">
        <f>IF(AND(AND(Tasks[[#This Row],[_IsLeaf]]=1,Tasks[[#This Row],[_LeafTotalWork]]&gt;0),Tasks[[#This Row],[_Res3Work]]&gt;0),Tasks[[#This Row],[_Res3Work]]/(Tasks[[#This Row],[_FinishWorkday]]-Tasks[[#This Row],[_StartWorkday]]+1),0)</f>
        <v/>
      </c>
      <c r="EF143" s="42">
        <f>Tasks[[#This Row],[_Res3WorkPerWD]]*MAX(0,Tasks[[#This Row],[_StartWorkday]]-1)</f>
        <v/>
      </c>
      <c r="EG143" s="42">
        <f>Tasks[[#This Row],[_Res3Work]]*Tasks[[#This Row],[_LeafProgress]]</f>
        <v/>
      </c>
      <c r="EH143" s="42">
        <f>IF(Tasks[[#This Row],[_Res4Text]]="","",IF(Tasks[[#This Row],[_Res4Row]]&gt;0,INDEX(res_Name,Tasks[[#This Row],[_Res4Row]]),TRIM(LEFT(Tasks[[#This Row],[_Res4Text]],FIND("[",Tasks[[#This Row],[_Res4Text]]&amp;"[")-1))))</f>
        <v/>
      </c>
      <c r="EI14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3" s="42">
        <f>IF(OR(NOT(Tasks[[#This Row],[_IsLeaf]]=1),Tasks[[#This Row],[_Res4Row]]=0),0,N(Tasks[[#This Row],[_Days]])*HoursPerDay*IF(Tasks[[#This Row],[_Res4Units]]="",DefaultUnits,Tasks[[#This Row],[_Res4Units]]))</f>
        <v/>
      </c>
      <c r="EK143" s="42">
        <f>IF(AND(AND(Tasks[[#This Row],[_IsLeaf]]=1,Tasks[[#This Row],[_LeafTotalWork]]&gt;0),Tasks[[#This Row],[_Res4Work]]&gt;0),Tasks[[#This Row],[_Res4Work]]/(Tasks[[#This Row],[_FinishWorkday]]-Tasks[[#This Row],[_StartWorkday]]+1),0)</f>
        <v/>
      </c>
      <c r="EL143" s="42">
        <f>Tasks[[#This Row],[_Res4WorkPerWD]]*MAX(0,Tasks[[#This Row],[_StartWorkday]]-1)</f>
        <v/>
      </c>
      <c r="EM143" s="42">
        <f>Tasks[[#This Row],[_Res4Work]]*Tasks[[#This Row],[_LeafProgress]]</f>
        <v/>
      </c>
      <c r="EN143" s="42">
        <f>IF(ISNUMBER(Tasks[[#This Row],[% Complete]]),Tasks[[#This Row],[% Complete]],IF(Tasks[[#This Row],[Stage]]="",0,IFERROR(INDEX(stg_Pct,MATCH(Tasks[[#This Row],[Stage]],stg_Name,0)),0)))</f>
        <v/>
      </c>
      <c r="EO143" s="42">
        <f>IF(NOT(Tasks[[#This Row],[_IsLeaf]]=1),0,IF(N(Tasks[[#This Row],[Actual Finish]])&gt;0,1,MIN(1,Tasks[[#This Row],[_Pct]])))</f>
        <v/>
      </c>
      <c r="EP143" s="42">
        <f>IF(OR(NOT(Tasks[[#This Row],[_IsLeaf]]=1),Tasks[[#This Row],[_Res1Row]]=0),0,N(Tasks[[#This Row],[_Days]])*HoursPerDay*IF(Tasks[[#This Row],[_Units1]]="",DefaultUnits,Tasks[[#This Row],[_Units1]]))</f>
        <v/>
      </c>
      <c r="EQ143" s="42">
        <f>Tasks[[#This Row],[_LeafWork]]+Tasks[[#This Row],[_Res2Work]]+Tasks[[#This Row],[_Res3Work]]+Tasks[[#This Row],[_Res4Work]]</f>
        <v/>
      </c>
      <c r="ER14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3" s="42">
        <f>IF(NOT(Tasks[[#This Row],[_IsLeaf]]=1),0,MAX(_xlfn.MAXIFS(Tasks[_Row],Tasks[_Pred1UID],Tasks[[#This Row],[UID]]),_xlfn.MAXIFS(Tasks[_Row],Tasks[_Pred2UID],Tasks[[#This Row],[UID]]),_xlfn.MAXIFS(Tasks[_Row],Tasks[_Pred3UID],Tasks[[#This Row],[UID]]),_xlfn.MAXIFS(Tasks[_Row],Tasks[_Pred4UID],Tasks[[#This Row],[UID]])))</f>
        <v/>
      </c>
      <c r="FA14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3" s="88">
        <f>IF(NOT(Tasks[[#This Row],[_IsLeaf]]=1),"",IF(N(Tasks[[#This Row],[_Days]])&lt;=0,Tasks[[#This Row],[_LeafLateFinish]],WORKDAY.INTL(Tasks[[#This Row],[_LeafLateFinish]],-(Tasks[[#This Row],[_Days]]-1),WorkWeek,Holidays)))</f>
        <v/>
      </c>
      <c r="FD14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3" s="42">
        <f>AND(Tasks[[#This Row],[_IsLeaf]]=1,Tasks[[#This Row],[_LeafProgress]]&lt;1,N(Tasks[[#This Row],[_LeafTotalSlack]])&lt;=CriticalSlackDays)</f>
        <v/>
      </c>
      <c r="FF143" s="42">
        <f>IF(AND(Tasks[[#This Row],[_IsLeaf]]=1,Tasks[[#This Row],[_ConstraintCode]]=1,Tasks[[#This Row],[Mode]]&lt;&gt;"Manual",N(Tasks[[#This Row],[Actual Start]])=0),MAX(0,N(Tasks[[#This Row],[Free Slack]])),0)</f>
        <v/>
      </c>
      <c r="FG143" s="88">
        <f>IF(NOT(Tasks[[#This Row],[_IsLeaf]]=1),"",IF(Tasks[[#This Row],[_AlapShift]]=0,Tasks[[#This Row],[_LeafCalcStart]],WORKDAY.INTL(Tasks[[#This Row],[_LeafCalcStart]],Tasks[[#This Row],[_AlapShift]],WorkWeek,Holidays)))</f>
        <v/>
      </c>
      <c r="FH143" s="88">
        <f>IF(NOT(Tasks[[#This Row],[_IsLeaf]]=1),"",IF(Tasks[[#This Row],[_AlapShift]]=0,Tasks[[#This Row],[_LeafCalcFinish]],WORKDAY.INTL(Tasks[[#This Row],[_LeafCalcFinish]],Tasks[[#This Row],[_AlapShift]],WorkWeek,Holidays)))</f>
        <v/>
      </c>
      <c r="FI143" s="88">
        <f>IF(NOT(Tasks[[#This Row],[_IsLeaf]]=1),"",IF(Tasks[[#This Row],[_AlapShift]]=0,Tasks[[#This Row],[_LeafFcstStart]],WORKDAY.INTL(Tasks[[#This Row],[_LeafFcstStart]],Tasks[[#This Row],[_AlapShift]],WorkWeek,Holidays)))</f>
        <v/>
      </c>
      <c r="FJ143" s="88">
        <f>IF(NOT(Tasks[[#This Row],[_IsLeaf]]=1),"",IF(Tasks[[#This Row],[_AlapShift]]=0,Tasks[[#This Row],[_LeafFcstFinish]],WORKDAY.INTL(Tasks[[#This Row],[_LeafFcstFinish]],Tasks[[#This Row],[_AlapShift]],WorkWeek,Holidays)))</f>
        <v/>
      </c>
      <c r="FK143" s="88">
        <f>IF(Tasks[[#This Row],[Task Name]]="","",IF(Tasks[[#This Row],[_IsSummary]],MIN(INDEX(Tasks[_ShownCalcStart],Tasks[[#This Row],[_Row]]+1):INDEX(Tasks[_ShownCalcStart],Tasks[[#This Row],[_Row]]+Tasks[[#This Row],[_Descendants]])),Tasks[[#This Row],[_ShownCalcStart]]))</f>
        <v/>
      </c>
      <c r="FL143" s="88">
        <f>IF(Tasks[[#This Row],[Task Name]]="","",IF(Tasks[[#This Row],[_IsSummary]],MAX(INDEX(Tasks[_ShownCalcFinish],Tasks[[#This Row],[_Row]]+1):INDEX(Tasks[_ShownCalcFinish],Tasks[[#This Row],[_Row]]+Tasks[[#This Row],[_Descendants]])),Tasks[[#This Row],[_ShownCalcFinish]]))</f>
        <v/>
      </c>
      <c r="FM14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3" s="42">
        <f>IF(AND(Tasks[[#This Row],[_IsLeaf]]=1,Tasks[[#This Row],[_LeafTotalWork]]&gt;0),NETWORKDAYS.INTL(ProjectStart,Tasks[[#This Row],[_ShownFcstStart]],WorkWeek,Holidays),0)</f>
        <v/>
      </c>
      <c r="FZ143" s="42">
        <f>IF(AND(Tasks[[#This Row],[_IsLeaf]]=1,Tasks[[#This Row],[_LeafTotalWork]]&gt;0),MAX(Tasks[[#This Row],[_StartWorkday]],NETWORKDAYS.INTL(ProjectStart,Tasks[[#This Row],[_ShownFcstFinish]],WorkWeek,Holidays)),0)</f>
        <v/>
      </c>
      <c r="GA143" s="42">
        <f>IF(AND(Tasks[[#This Row],[_IsLeaf]]=1,Tasks[[#This Row],[_LeafTotalWork]]&gt;0),Tasks[[#This Row],[_LeafWork]]/(Tasks[[#This Row],[_FinishWorkday]]-Tasks[[#This Row],[_StartWorkday]]+1),0)</f>
        <v/>
      </c>
      <c r="GB143" s="42">
        <f>Tasks[[#This Row],[_WorkPerWorkday]]*(Tasks[[#This Row],[_StartWorkday]]-1)</f>
        <v/>
      </c>
      <c r="GC143" s="42">
        <f>IF(Tasks[[#This Row],[_IsLeaf]]=1,MAX(N(Tasks[[#This Row],[_Days]]),0.1),0)</f>
        <v/>
      </c>
      <c r="GD143" s="42">
        <f>Tasks[[#This Row],[_WeightDur]]*Tasks[[#This Row],[_LeafProgress]]</f>
        <v/>
      </c>
      <c r="GE143" s="42">
        <f>Tasks[[#This Row],[_WeightDur]]*Tasks[[#This Row],[_PlannedPct]]</f>
        <v/>
      </c>
      <c r="GF14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3" s="42">
        <f>IF(AND(Tasks[[#This Row],[_IsLeaf]]=1,N(Tasks[[#This Row],[_Days]])=0,Tasks[[#This Row],[_LeafProgress]]&lt;1),Tasks[[#This Row],[_ShownFcstFinish]]+Tasks[[#This Row],[_Row]]/100000,"")</f>
        <v/>
      </c>
      <c r="GH14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3" s="42">
        <f>IF(Tasks[[#This Row],[Task Name]]="","",LEFT(Tasks[[#This Row],[WBS]],FIND(".",Tasks[[#This Row],[WBS]]&amp;".")-1))</f>
        <v/>
      </c>
      <c r="GJ143" s="42">
        <f>IF(AND(Tasks[[#This Row],[Task Name]]&lt;&gt;"",Tasks[[#This Row],[_Level]]=1),Tasks[[#This Row],[_Row]],"")</f>
        <v/>
      </c>
      <c r="GK143" s="42">
        <f>IF(AND(Tasks[[#This Row],[_IsLeaf]]=1,N(Tasks[[#This Row],[_Days]])=0),Tasks[[#This Row],[Planned Finish]]+Tasks[[#This Row],[_Row]]/100000,"")</f>
        <v/>
      </c>
      <c r="GL143" s="42">
        <f>IF(AND(Tasks[[#This Row],[_IsLeaf]]=1,Tasks[[#This Row],[_LeafProgress]]&lt;1,OR(N(Tasks[[#This Row],[Finish Var]])&gt;0,Tasks[[#This Row],[Status]]="Late Start")),MAX(0,Tasks[[#This Row],[Finish Var]])+1-Tasks[[#This Row],[_Row]]/1000000,"")</f>
        <v/>
      </c>
      <c r="GM143" s="42">
        <f>IF(AND(Tasks[[#This Row],[_IsLeaf]]=1,N(Tasks[[#This Row],[Actual Start]])=0,Tasks[[#This Row],[_ShownFcstStart]]&gt;=StatusDate,Tasks[[#This Row],[_ShownFcstStart]]&lt;=LookaheadEnd),Tasks[[#This Row],[_ShownFcstStart]]+Tasks[[#This Row],[_Row]]/100000,"")</f>
        <v/>
      </c>
      <c r="GN143" s="42">
        <f>IF(AND(Tasks[[#This Row],[_IsLeaf]]=1,Tasks[[#This Row],[_LeafProgress]]&lt;1,Tasks[[#This Row],[_ShownFcstFinish]]&gt;=StatusDate,Tasks[[#This Row],[_ShownFcstFinish]]&lt;=LookaheadEnd),Tasks[[#This Row],[_ShownFcstFinish]]+Tasks[[#This Row],[_Row]]/100000,"")</f>
        <v/>
      </c>
      <c r="GO143" s="42">
        <f>IF(Tasks[[#This Row],[_LeafCritical]],Tasks[[#This Row],[_ShownFcstStart]]+Tasks[[#This Row],[_Row]]/100000,"")</f>
        <v/>
      </c>
      <c r="GP143" s="42">
        <f>Tasks[[#This Row],[_LeafWork]]*Tasks[[#This Row],[_LeafProgress]]</f>
        <v/>
      </c>
      <c r="GQ143" s="88">
        <f>IF(AND(Tasks[[#This Row],[_IsLeaf]]=1,Tasks[[#This Row],[_LeafProgress]]&gt;=1),IF(N(Tasks[[#This Row],[Actual Finish]])&gt;0,Tasks[[#This Row],[Actual Finish]],Tasks[[#This Row],[_ShownFcstFinish]]),"")</f>
        <v/>
      </c>
      <c r="GR143" s="42">
        <f>IF(Tasks[[#This Row],[_IsLeaf]]=1,N(Tasks[[#This Row],[Story Points]]),0)</f>
        <v/>
      </c>
      <c r="GS143" s="42">
        <f>""</f>
        <v/>
      </c>
      <c r="GT143" s="42">
        <f>IF(Tasks[[#This Row],[Task Name]]="",FALSE(),AND(Tasks[[#This Row],[_IsLeaf]]=1,N(Tasks[[#This Row],[_Days]])=0))</f>
        <v/>
      </c>
      <c r="GU143" s="88">
        <f>IF(Tasks[[#This Row],[Task Name]]="",0,IF(AND(Tasks[[#This Row],[_IsLeaf]]=1,NOT(Tasks[[#This Row],[_IsMilestone]]),N(Tasks[[#This Row],[Progress]])&gt;0),Tasks[[#This Row],[Start]],0))</f>
        <v/>
      </c>
      <c r="GV143" s="88">
        <f>IF(Tasks[[#This Row],[_DoneFrom]]=0,0,IF(Tasks[[#This Row],[Progress]]&gt;=1,Tasks[[#This Row],[Finish]],MAX(Tasks[[#This Row],[_DoneFrom]],Tasks[[#This Row],[Start]]+ROUND((Tasks[[#This Row],[Finish]]-Tasks[[#This Row],[Start]]+1)*Tasks[[#This Row],[Progress]],0)-1)))</f>
        <v/>
      </c>
      <c r="GW143" s="88">
        <f>IF(Tasks[[#This Row],[Task Name]]="",0,IF(OR(NOT(Tasks[[#This Row],[_IsLeaf]]=1),Tasks[[#This Row],[_IsMilestone]],N(Tasks[[#This Row],[Progress]])&gt;=1),0,IF(Tasks[[#This Row],[_DoneTo]]&gt;0,Tasks[[#This Row],[_DoneTo]]+1,Tasks[[#This Row],[Start]])))</f>
        <v/>
      </c>
      <c r="GX143" s="88">
        <f>IF(Tasks[[#This Row],[_RemFrom]]=0,0,Tasks[[#This Row],[Finish]])</f>
        <v/>
      </c>
      <c r="GY143" s="42">
        <f>IF(Tasks[[#This Row],[Task Name]]="",FALSE(),OR(NOT(BaselineSet),N(Tasks[[#This Row],[Baseline Start]])&gt;0))</f>
        <v/>
      </c>
      <c r="GZ143" s="42">
        <f>IF(AND(Sandbox="Yes",L_PARSE_DURATION(Tasks[[#This Row],[Sandbox Duration]])&lt;&gt;""),L_PARSE_DURATION(Tasks[[#This Row],[Sandbox Duration]]),L_PARSE_DURATION(Tasks[[#This Row],[Duration]]))</f>
        <v/>
      </c>
      <c r="HA14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3" s="42">
        <f>IF(Tasks[[#This Row],[_IsLeaf]]=1,Tasks[[#This Row],[_Row]],"")</f>
        <v/>
      </c>
      <c r="HD143" s="42">
        <f>IFERROR(INDEX(Tasks[UID],SMALL(Tasks[_PickKey],Tasks[[#This Row],[_Row]]))&amp;" "&amp;INDEX(Tasks[Task Name],SMALL(Tasks[_PickKey],Tasks[[#This Row],[_Row]])),"")</f>
        <v/>
      </c>
      <c r="HE143" s="42">
        <f>IF(Tasks[[#This Row],[Task Name]]="","",IF(Tasks[[#This Row],[_IsSummary]],NETWORKDAYS.INTL(Tasks[[#This Row],[Start]],Tasks[[#This Row],[Finish]],WorkWeek,Holidays),N(Tasks[[#This Row],[_Days]])))</f>
        <v/>
      </c>
      <c r="HF143" s="42">
        <f>IF(Tasks[[#This Row],[Expected]]="",0,((Tasks[[#This Row],[Pessimistic]]-Tasks[[#This Row],[Optimistic]])/6)^2)</f>
        <v/>
      </c>
      <c r="HG143" s="42">
        <f>IF(Tasks[[#This Row],[Expected]]="",0,Tasks[[#This Row],[Expected]]-N(Tasks[[#This Row],[_Days]]))</f>
        <v/>
      </c>
    </row>
    <row r="144">
      <c r="A144" s="21">
        <f>IF(Tasks[[#This Row],[Task Name]]="","",COUNTA(Tasks[[#Headers],[Task Name]]:Tasks[[#This Row],[Task Name]])-1)</f>
        <v/>
      </c>
      <c r="B144" s="22" t="n">
        <v>152</v>
      </c>
      <c r="C144" s="22" t="n"/>
      <c r="D144" s="23" t="n"/>
      <c r="E144" s="22" t="n"/>
      <c r="F144" s="23" t="n"/>
      <c r="G144" s="22" t="n"/>
      <c r="H144" s="22" t="n"/>
      <c r="I144" s="23" t="n"/>
      <c r="J144" s="22" t="n"/>
      <c r="K144" s="22" t="n"/>
      <c r="L144" s="23" t="n"/>
      <c r="M144" s="22" t="n"/>
      <c r="N144" s="22" t="n"/>
      <c r="O144" s="23" t="n"/>
      <c r="P144" s="22" t="n"/>
      <c r="Q144" s="22" t="n"/>
      <c r="R144" s="23" t="n"/>
      <c r="S144" s="23" t="n"/>
      <c r="T144" s="82" t="n"/>
      <c r="U144" s="23" t="n"/>
      <c r="V144" s="82" t="n"/>
      <c r="W144" s="23" t="n"/>
      <c r="X144" s="82" t="n"/>
      <c r="Y144" s="23" t="n"/>
      <c r="Z144" s="82" t="n"/>
      <c r="AA144" s="23" t="n"/>
      <c r="AB144" s="23" t="n"/>
      <c r="AC144" s="7" t="n"/>
      <c r="AD144" s="7" t="n"/>
      <c r="AE144" s="61">
        <f>IF(Tasks[[#This Row],[Task Name]]="","",IF(Tasks[[#This Row],[_IsSummary]],MIN(INDEX(Tasks[_ShownFcstStart],Tasks[[#This Row],[_Row]]+1):INDEX(Tasks[_ShownFcstStart],Tasks[[#This Row],[_Row]]+Tasks[[#This Row],[_Descendants]])),Tasks[[#This Row],[_ShownFcstStart]]))</f>
        <v/>
      </c>
      <c r="AF144" s="61">
        <f>IF(Tasks[[#This Row],[Task Name]]="","",IF(Tasks[[#This Row],[_IsSummary]],MAX(INDEX(Tasks[_ShownFcstFinish],Tasks[[#This Row],[_Row]]+1):INDEX(Tasks[_ShownFcstFinish],Tasks[[#This Row],[_Row]]+Tasks[[#This Row],[_Descendants]])),Tasks[[#This Row],[_ShownFcstFinish]]))</f>
        <v/>
      </c>
      <c r="AG144" s="21">
        <f>""</f>
        <v/>
      </c>
      <c r="AH144" s="23" t="n"/>
      <c r="AI14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4" s="7" t="n"/>
      <c r="AK144" s="22" t="n"/>
      <c r="AL144" s="23" t="n"/>
      <c r="AM144" s="7" t="n"/>
      <c r="AN144" s="21">
        <f>IF(Tasks[[#This Row],[Task Name]]="","",IF(Tasks[[#This Row],[Finish]]&gt;=Tasks[[#This Row],[Planned Finish]],NETWORKDAYS.INTL(Tasks[[#This Row],[Planned Finish]],Tasks[[#This Row],[Finish]],WorkWeek,Holidays)-1,1-NETWORKDAYS.INTL(Tasks[[#This Row],[Finish]],Tasks[[#This Row],[Planned Finish]],WorkWeek,Holidays)))</f>
        <v/>
      </c>
      <c r="AO144" s="21">
        <f>IF(Tasks[[#This Row],[Task Name]]="","",IF(Tasks[[#This Row],[Progress]]&gt;=1,"Complete",IF(OR(N(Tasks[[#This Row],[Actual Start]])&gt;0,Tasks[[#This Row],[Progress]]&gt;0),IF(Tasks[[#This Row],[Finish Var]]&gt;0,"Behind","In Progress"),IF(Tasks[[#This Row],[Planned Start]]&lt;StatusDate,"Late Start","Not Started"))))</f>
        <v/>
      </c>
      <c r="AP144" s="21">
        <f>IF(Tasks[[#This Row],[Task Name]]="","",IF(IF(Tasks[[#This Row],[_IsSummary]],COUNTIF(INDEX(Tasks[_LeafCritical],Tasks[[#This Row],[_Row]]+1):INDEX(Tasks[_LeafCritical],Tasks[[#This Row],[_Row]]+Tasks[[#This Row],[_Descendants]]),TRUE())&gt;0,Tasks[[#This Row],[_LeafCritical]]),"Yes",""))</f>
        <v/>
      </c>
      <c r="AQ144" s="61">
        <f>IF(Tasks[[#This Row],[Task Name]]="","",IF(N(Tasks[[#This Row],[Baseline Start]])&gt;0,Tasks[[#This Row],[Baseline Start]],Tasks[[#This Row],[_CalcStart]]))</f>
        <v/>
      </c>
      <c r="AR144" s="61">
        <f>IF(Tasks[[#This Row],[Task Name]]="","",IF(N(Tasks[[#This Row],[Baseline Finish]])&gt;0,Tasks[[#This Row],[Baseline Finish]],Tasks[[#This Row],[_CalcFinish]]))</f>
        <v/>
      </c>
      <c r="AS144" s="21">
        <f>IF(Tasks[[#This Row],[Task Name]]="","",IF(Tasks[[#This Row],[Start]]&gt;=Tasks[[#This Row],[Planned Start]],NETWORKDAYS.INTL(Tasks[[#This Row],[Planned Start]],Tasks[[#This Row],[Start]],WorkWeek,Holidays)-1,1-NETWORKDAYS.INTL(Tasks[[#This Row],[Start]],Tasks[[#This Row],[Planned Start]],WorkWeek,Holidays)))</f>
        <v/>
      </c>
      <c r="AT144" s="61">
        <f>IF(Tasks[[#This Row],[Task Name]]="","",IF(Tasks[[#This Row],[_IsSummary]],MIN(INDEX(Tasks[_LeafLateStart],Tasks[[#This Row],[_Row]]+1):INDEX(Tasks[_LeafLateStart],Tasks[[#This Row],[_Row]]+Tasks[[#This Row],[_Descendants]])),Tasks[[#This Row],[_LeafLateStart]]))</f>
        <v/>
      </c>
      <c r="AU144" s="61">
        <f>IF(Tasks[[#This Row],[Task Name]]="","",IF(Tasks[[#This Row],[_IsSummary]],MAX(INDEX(Tasks[_LeafLateFinish],Tasks[[#This Row],[_Row]]+1):INDEX(Tasks[_LeafLateFinish],Tasks[[#This Row],[_Row]]+Tasks[[#This Row],[_Descendants]])),Tasks[[#This Row],[_LeafLateFinish]]))</f>
        <v/>
      </c>
      <c r="AV144" s="21">
        <f>IF(Tasks[[#This Row],[Task Name]]="","",IF(Tasks[[#This Row],[_IsSummary]],MIN(INDEX(Tasks[_LeafTotalSlack],Tasks[[#This Row],[_Row]]+1):INDEX(Tasks[_LeafTotalSlack],Tasks[[#This Row],[_Row]]+Tasks[[#This Row],[_Descendants]])),Tasks[[#This Row],[_LeafTotalSlack]]))</f>
        <v/>
      </c>
      <c r="AW14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3" t="n"/>
      <c r="BA14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f>IF(Tasks[[#This Row],[Task Name]]="","",IF(Tasks[[#This Row],[_Level]]&lt;=OutlineShowLevel,"Yes","No"))</f>
        <v/>
      </c>
      <c r="BE144" s="84">
        <f>IF(Tasks[[#This Row],[Task Name]]="","",IF(Tasks[[#This Row],[_IsSummary]],SUM(INDEX(Tasks[_LeafTotalWork],Tasks[[#This Row],[_Row]]+1):INDEX(Tasks[_LeafTotalWork],Tasks[[#This Row],[_Row]]+Tasks[[#This Row],[_Descendants]])),Tasks[[#This Row],[_LeafTotalWork]]))</f>
        <v/>
      </c>
      <c r="BF144" s="23" t="n"/>
      <c r="BG14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f>""</f>
        <v/>
      </c>
      <c r="BI144" s="85" t="n"/>
      <c r="BJ144" s="22" t="n"/>
      <c r="BK144" s="21">
        <f>IF(OR(Tasks[[#This Row],[Task Name]]="",Tasks[[#This Row],[Baseline Duration]]=""),"",Tasks[[#This Row],[_SpanDays]]-N(Tasks[[#This Row],[Baseline Duration]]))</f>
        <v/>
      </c>
      <c r="BL144" s="84">
        <f>IF(OR(Tasks[[#This Row],[Task Name]]="",Tasks[[#This Row],[Baseline Work]]=""),"",Tasks[[#This Row],[Work]]-N(Tasks[[#This Row],[Baseline Work]]))</f>
        <v/>
      </c>
      <c r="BM144" s="61">
        <f>IF(Tasks[[#This Row],[Task Name]]="","",IF(OR(TakeBaseline="Yes",N(Tasks[[#This Row],[Baseline Start]])=0),Tasks[[#This Row],[Start]],Tasks[[#This Row],[Baseline Start]]))</f>
        <v/>
      </c>
      <c r="BN144" s="61">
        <f>IF(Tasks[[#This Row],[Task Name]]="","",IF(OR(TakeBaseline="Yes",N(Tasks[[#This Row],[Baseline Finish]])=0),Tasks[[#This Row],[Finish]],Tasks[[#This Row],[Baseline Finish]]))</f>
        <v/>
      </c>
      <c r="BO144" s="21">
        <f>IF(Tasks[[#This Row],[Task Name]]="","",IF(OR(TakeBaseline="Yes",N(Tasks[[#This Row],[Baseline Duration]])=0),Tasks[[#This Row],[_SpanDays]],Tasks[[#This Row],[Baseline Duration]]))</f>
        <v/>
      </c>
      <c r="BP144" s="84">
        <f>IF(Tasks[[#This Row],[Task Name]]="","",IF(OR(TakeBaseline="Yes",N(Tasks[[#This Row],[Baseline Work]])=0),Tasks[[#This Row],[Work]],Tasks[[#This Row],[Baseline Work]]))</f>
        <v/>
      </c>
      <c r="BQ144" s="7" t="n"/>
      <c r="BR144" s="7" t="n"/>
      <c r="BS144" s="22" t="n"/>
      <c r="BT144" s="86" t="n"/>
      <c r="BU144" s="23" t="n"/>
      <c r="BV144" s="23" t="n"/>
      <c r="BW144" s="23" t="n"/>
      <c r="BX144" s="87">
        <f>IF(AND(Tasks[[#This Row],[_IsLeaf]]=1,ISNUMBER(Tasks[[#This Row],[Optimistic]]),ISNUMBER(Tasks[[#This Row],[Pessimistic]])),ROUND((Tasks[[#This Row],[Optimistic]]+4*N(Tasks[[#This Row],[_Days]])+Tasks[[#This Row],[Pessimistic]])/6,1),"")</f>
        <v/>
      </c>
      <c r="BY144" s="85" t="n"/>
      <c r="BZ144" s="85" t="n"/>
      <c r="CA144" s="22" t="n"/>
      <c r="CB144" s="42">
        <f>IF(Tasks[[#This Row],[Task Name]]="","",MAX(1,N(Tasks[[#This Row],[Level]])))</f>
        <v/>
      </c>
      <c r="CC144" s="42">
        <f>ROW()-ROW(Tasks[[#Headers],[ID]])</f>
        <v/>
      </c>
      <c r="CD144" s="42">
        <f>IF(OR(Tasks[[#This Row],[Task Name]]="",Tasks[[#This Row],[_Level]]&lt;=1),0,IFERROR(LOOKUP(2,1/(Tasks[[#Headers],[_Level]]:Tasks[[#This Row],[_Level]]=Tasks[[#This Row],[_Level]]-1),ROW(Tasks[[#Headers],[_Level]]:Tasks[[#This Row],[_Level]])),0))</f>
        <v/>
      </c>
      <c r="CE144" s="42">
        <f>IFERROR(N(INDEX(Tasks[_Level],Tasks[[#This Row],[_Row]]+1)),0)</f>
        <v/>
      </c>
      <c r="CF144" s="42">
        <f>AND(Tasks[[#This Row],[Task Name]]&lt;&gt;"",Tasks[[#This Row],[_NextLevel]]&gt;Tasks[[#This Row],[_Level]])</f>
        <v/>
      </c>
      <c r="CG144" s="42">
        <f>IF(Tasks[[#This Row],[_IsSummary]],COUNTIF(Tasks[WBS],Tasks[[#This Row],[WBS]]&amp;".*"),0)</f>
        <v/>
      </c>
      <c r="CH144" s="42">
        <f>IF(AND(Tasks[[#This Row],[Task Name]]&lt;&gt;"",NOT(Tasks[[#This Row],[_IsSummary]])),1,0)</f>
        <v/>
      </c>
      <c r="CI144" s="42">
        <f>IF(N(Tasks[[#This Row],[_Pred1UID]])=0,0,IFERROR(MATCH(Tasks[[#This Row],[_Pred1UID]],Tasks[UID],0),-1))</f>
        <v/>
      </c>
      <c r="CJ144" s="42">
        <f>IF(N(Tasks[[#This Row],[_Pred2UID]])=0,0,IFERROR(MATCH(Tasks[[#This Row],[_Pred2UID]],Tasks[UID],0),-1))</f>
        <v/>
      </c>
      <c r="CK144" s="42">
        <f>IF(N(Tasks[[#This Row],[_Pred3UID]])=0,0,IFERROR(MATCH(Tasks[[#This Row],[_Pred3UID]],Tasks[UID],0),-1))</f>
        <v/>
      </c>
      <c r="CL144" s="42">
        <f>IF(N(Tasks[[#This Row],[_Pred4UID]])=0,0,IFERROR(MATCH(Tasks[[#This Row],[_Pred4UID]],Tasks[UID],0),-1))</f>
        <v/>
      </c>
      <c r="CM14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4" s="88">
        <f>IF(N(Tasks[[#This Row],[Constraint Date]])=0,0,IF(AND(OR(Tasks[[#This Row],[_ConstraintCode]]=3,Tasks[[#This Row],[_ConstraintCode]]=6,Tasks[[#This Row],[_ConstraintCode]]=7),N(Tasks[[#This Row],[_Days]])&gt;1),WORKDAY.INTL(N(Tasks[[#This Row],[Constraint Date]]),-(N(Tasks[[#This Row],[_Days]])-1),WorkWeek,Holidays),N(Tasks[[#This Row],[Constraint Date]])))</f>
        <v/>
      </c>
      <c r="CO144" s="88">
        <f>IF(OR(Tasks[[#This Row],[_ConstraintCode]]=2,Tasks[[#This Row],[_ConstraintCode]]=3,Tasks[[#This Row],[_ConstraintCode]]=4,Tasks[[#This Row],[_ConstraintCode]]=6),Tasks[[#This Row],[_ConstraintStart]],0)</f>
        <v/>
      </c>
      <c r="CP144" s="88">
        <f>IF(OR(Tasks[[#This Row],[_ConstraintCode]]=2,Tasks[[#This Row],[_ConstraintCode]]=3,Tasks[[#This Row],[_ConstraintCode]]=5,Tasks[[#This Row],[_ConstraintCode]]=7),Tasks[[#This Row],[_ConstraintStart]],2958465)</f>
        <v/>
      </c>
      <c r="CQ14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4" s="88">
        <f>IF(NOT(Tasks[[#This Row],[_IsLeaf]]=1),"",IF(N(Tasks[[#This Row],[_Days]])&lt;=0,Tasks[[#This Row],[_LeafCalcStart]],WORKDAY.INTL(Tasks[[#This Row],[_LeafCalcStart]],Tasks[[#This Row],[_Days]]-1,WorkWeek,Holidays)))</f>
        <v/>
      </c>
      <c r="CS14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4" s="42">
        <f>IF(Tasks[[#This Row],[_Predecessors]]="","",TRIM(MID(SUBSTITUTE(SUBSTITUTE(SUBSTITUTE(UPPER(Tasks[[#This Row],[_Predecessors]]),";",",")," ",""),",",REPT(" ",99)),1,99)))</f>
        <v/>
      </c>
      <c r="CV144" s="42">
        <f>IF(Tasks[[#This Row],[_Pred1Text]]="","",IFERROR(VALUE(LEFT(Tasks[[#This Row],[_Pred1Text]],MIN(FIND("F",Tasks[[#This Row],[_Pred1Text]]&amp;"F"),FIND("S",Tasks[[#This Row],[_Pred1Text]]&amp;"S"),FIND("+",Tasks[[#This Row],[_Pred1Text]]&amp;"+"),FIND("-",Tasks[[#This Row],[_Pred1Text]]&amp;"-"))-1)),""))</f>
        <v/>
      </c>
      <c r="CW14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4" s="42">
        <f>IF(Tasks[[#This Row],[_Pred1Text]]="","",TRIM(MID(SUBSTITUTE(SUBSTITUTE(SUBSTITUTE(UPPER(Tasks[[#This Row],[_Predecessors]]),";",",")," ",""),",",REPT(" ",99)),100,99)))</f>
        <v/>
      </c>
      <c r="CZ144" s="42">
        <f>IF(Tasks[[#This Row],[_Pred2Text]]="","",IFERROR(VALUE(LEFT(Tasks[[#This Row],[_Pred2Text]],MIN(FIND("F",Tasks[[#This Row],[_Pred2Text]]&amp;"F"),FIND("S",Tasks[[#This Row],[_Pred2Text]]&amp;"S"),FIND("+",Tasks[[#This Row],[_Pred2Text]]&amp;"+"),FIND("-",Tasks[[#This Row],[_Pred2Text]]&amp;"-"))-1)),""))</f>
        <v/>
      </c>
      <c r="DA14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4" s="42">
        <f>IF(Tasks[[#This Row],[_Pred2Text]]="","",TRIM(MID(SUBSTITUTE(SUBSTITUTE(SUBSTITUTE(UPPER(Tasks[[#This Row],[_Predecessors]]),";",",")," ",""),",",REPT(" ",99)),199,99)))</f>
        <v/>
      </c>
      <c r="DD144" s="42">
        <f>IF(Tasks[[#This Row],[_Pred3Text]]="","",IFERROR(VALUE(LEFT(Tasks[[#This Row],[_Pred3Text]],MIN(FIND("F",Tasks[[#This Row],[_Pred3Text]]&amp;"F"),FIND("S",Tasks[[#This Row],[_Pred3Text]]&amp;"S"),FIND("+",Tasks[[#This Row],[_Pred3Text]]&amp;"+"),FIND("-",Tasks[[#This Row],[_Pred3Text]]&amp;"-"))-1)),""))</f>
        <v/>
      </c>
      <c r="DE14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4" s="42">
        <f>IF(Tasks[[#This Row],[_Pred3Text]]="","",TRIM(MID(SUBSTITUTE(SUBSTITUTE(SUBSTITUTE(UPPER(Tasks[[#This Row],[_Predecessors]]),";",",")," ",""),",",REPT(" ",99)),298,99)))</f>
        <v/>
      </c>
      <c r="DH144" s="42">
        <f>IF(Tasks[[#This Row],[_Pred4Text]]="","",IFERROR(VALUE(LEFT(Tasks[[#This Row],[_Pred4Text]],MIN(FIND("F",Tasks[[#This Row],[_Pred4Text]]&amp;"F"),FIND("S",Tasks[[#This Row],[_Pred4Text]]&amp;"S"),FIND("+",Tasks[[#This Row],[_Pred4Text]]&amp;"+"),FIND("-",Tasks[[#This Row],[_Pred4Text]]&amp;"-"))-1)),""))</f>
        <v/>
      </c>
      <c r="DI14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4" s="42">
        <f>IF(OR(Tasks[[#This Row],[Task Name]]="",Tasks[[#This Row],[_Resources]]=""),"",TRIM(MID(SUBSTITUTE(Tasks[[#This Row],[_Resources]],",",REPT(" ",99)),1,99)))</f>
        <v/>
      </c>
      <c r="DL144" s="42">
        <f>IF(Tasks[[#This Row],[_Res1Text]]="","",TRIM(MID(SUBSTITUTE(Tasks[[#This Row],[_Resources]],",",REPT(" ",99)),100,99)))</f>
        <v/>
      </c>
      <c r="DM144" s="42">
        <f>IF(Tasks[[#This Row],[_Res2Text]]="","",TRIM(MID(SUBSTITUTE(Tasks[[#This Row],[_Resources]],",",REPT(" ",99)),199,99)))</f>
        <v/>
      </c>
      <c r="DN144" s="42">
        <f>IF(Tasks[[#This Row],[_Res3Text]]="","",TRIM(MID(SUBSTITUTE(Tasks[[#This Row],[_Resources]],",",REPT(" ",99)),298,99)))</f>
        <v/>
      </c>
      <c r="DO144" s="42">
        <f>IF(Tasks[[#This Row],[_Res1Text]]="",0,IFERROR(MATCH(TRIM(LEFT(Tasks[[#This Row],[_Res1Text]],FIND("[",Tasks[[#This Row],[_Res1Text]]&amp;"[")-1)),res_Name,0),IFERROR(MATCH(TRIM(LEFT(Tasks[[#This Row],[_Res1Text]],FIND("[",Tasks[[#This Row],[_Res1Text]]&amp;"[")-1)),res_Initials,0),0)))</f>
        <v/>
      </c>
      <c r="DP144" s="42">
        <f>IF(Tasks[[#This Row],[_Res2Text]]="",0,IFERROR(MATCH(TRIM(LEFT(Tasks[[#This Row],[_Res2Text]],FIND("[",Tasks[[#This Row],[_Res2Text]]&amp;"[")-1)),res_Name,0),IFERROR(MATCH(TRIM(LEFT(Tasks[[#This Row],[_Res2Text]],FIND("[",Tasks[[#This Row],[_Res2Text]]&amp;"[")-1)),res_Initials,0),0)))</f>
        <v/>
      </c>
      <c r="DQ144" s="42">
        <f>IF(Tasks[[#This Row],[_Res3Text]]="",0,IFERROR(MATCH(TRIM(LEFT(Tasks[[#This Row],[_Res3Text]],FIND("[",Tasks[[#This Row],[_Res3Text]]&amp;"[")-1)),res_Name,0),IFERROR(MATCH(TRIM(LEFT(Tasks[[#This Row],[_Res3Text]],FIND("[",Tasks[[#This Row],[_Res3Text]]&amp;"[")-1)),res_Initials,0),0)))</f>
        <v/>
      </c>
      <c r="DR144" s="42">
        <f>IF(Tasks[[#This Row],[_Res4Text]]="",0,IFERROR(MATCH(TRIM(LEFT(Tasks[[#This Row],[_Res4Text]],FIND("[",Tasks[[#This Row],[_Res4Text]]&amp;"[")-1)),res_Name,0),IFERROR(MATCH(TRIM(LEFT(Tasks[[#This Row],[_Res4Text]],FIND("[",Tasks[[#This Row],[_Res4Text]]&amp;"[")-1)),res_Initials,0),0)))</f>
        <v/>
      </c>
      <c r="DS144" s="42">
        <f>IF(Tasks[[#This Row],[_Res1Text]]="","",IF(Tasks[[#This Row],[_Res1Row]]&gt;0,INDEX(res_Name,Tasks[[#This Row],[_Res1Row]]),TRIM(LEFT(Tasks[[#This Row],[_Res1Text]],FIND("[",Tasks[[#This Row],[_Res1Text]]&amp;"[")-1))))</f>
        <v/>
      </c>
      <c r="DT14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4" s="42">
        <f>IF(NOT(Tasks[[#This Row],[_IsLeaf]]=1),0,(Tasks[[#This Row],[_Resource1]]&lt;&gt;"")+(Tasks[[#This Row],[_Res2]]&lt;&gt;"")+(Tasks[[#This Row],[_Res3]]&lt;&gt;"")+(Tasks[[#This Row],[_Res4]]&lt;&gt;""))</f>
        <v/>
      </c>
      <c r="DV144" s="42">
        <f>IF(Tasks[[#This Row],[_Res2Text]]="","",IF(Tasks[[#This Row],[_Res2Row]]&gt;0,INDEX(res_Name,Tasks[[#This Row],[_Res2Row]]),TRIM(LEFT(Tasks[[#This Row],[_Res2Text]],FIND("[",Tasks[[#This Row],[_Res2Text]]&amp;"[")-1))))</f>
        <v/>
      </c>
      <c r="DW14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4" s="42">
        <f>IF(OR(NOT(Tasks[[#This Row],[_IsLeaf]]=1),Tasks[[#This Row],[_Res2Row]]=0),0,N(Tasks[[#This Row],[_Days]])*HoursPerDay*IF(Tasks[[#This Row],[_Res2Units]]="",DefaultUnits,Tasks[[#This Row],[_Res2Units]]))</f>
        <v/>
      </c>
      <c r="DY144" s="42">
        <f>IF(AND(AND(Tasks[[#This Row],[_IsLeaf]]=1,Tasks[[#This Row],[_LeafTotalWork]]&gt;0),Tasks[[#This Row],[_Res2Work]]&gt;0),Tasks[[#This Row],[_Res2Work]]/(Tasks[[#This Row],[_FinishWorkday]]-Tasks[[#This Row],[_StartWorkday]]+1),0)</f>
        <v/>
      </c>
      <c r="DZ144" s="42">
        <f>Tasks[[#This Row],[_Res2WorkPerWD]]*MAX(0,Tasks[[#This Row],[_StartWorkday]]-1)</f>
        <v/>
      </c>
      <c r="EA144" s="42">
        <f>Tasks[[#This Row],[_Res2Work]]*Tasks[[#This Row],[_LeafProgress]]</f>
        <v/>
      </c>
      <c r="EB144" s="42">
        <f>IF(Tasks[[#This Row],[_Res3Text]]="","",IF(Tasks[[#This Row],[_Res3Row]]&gt;0,INDEX(res_Name,Tasks[[#This Row],[_Res3Row]]),TRIM(LEFT(Tasks[[#This Row],[_Res3Text]],FIND("[",Tasks[[#This Row],[_Res3Text]]&amp;"[")-1))))</f>
        <v/>
      </c>
      <c r="EC14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4" s="42">
        <f>IF(OR(NOT(Tasks[[#This Row],[_IsLeaf]]=1),Tasks[[#This Row],[_Res3Row]]=0),0,N(Tasks[[#This Row],[_Days]])*HoursPerDay*IF(Tasks[[#This Row],[_Res3Units]]="",DefaultUnits,Tasks[[#This Row],[_Res3Units]]))</f>
        <v/>
      </c>
      <c r="EE144" s="42">
        <f>IF(AND(AND(Tasks[[#This Row],[_IsLeaf]]=1,Tasks[[#This Row],[_LeafTotalWork]]&gt;0),Tasks[[#This Row],[_Res3Work]]&gt;0),Tasks[[#This Row],[_Res3Work]]/(Tasks[[#This Row],[_FinishWorkday]]-Tasks[[#This Row],[_StartWorkday]]+1),0)</f>
        <v/>
      </c>
      <c r="EF144" s="42">
        <f>Tasks[[#This Row],[_Res3WorkPerWD]]*MAX(0,Tasks[[#This Row],[_StartWorkday]]-1)</f>
        <v/>
      </c>
      <c r="EG144" s="42">
        <f>Tasks[[#This Row],[_Res3Work]]*Tasks[[#This Row],[_LeafProgress]]</f>
        <v/>
      </c>
      <c r="EH144" s="42">
        <f>IF(Tasks[[#This Row],[_Res4Text]]="","",IF(Tasks[[#This Row],[_Res4Row]]&gt;0,INDEX(res_Name,Tasks[[#This Row],[_Res4Row]]),TRIM(LEFT(Tasks[[#This Row],[_Res4Text]],FIND("[",Tasks[[#This Row],[_Res4Text]]&amp;"[")-1))))</f>
        <v/>
      </c>
      <c r="EI14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4" s="42">
        <f>IF(OR(NOT(Tasks[[#This Row],[_IsLeaf]]=1),Tasks[[#This Row],[_Res4Row]]=0),0,N(Tasks[[#This Row],[_Days]])*HoursPerDay*IF(Tasks[[#This Row],[_Res4Units]]="",DefaultUnits,Tasks[[#This Row],[_Res4Units]]))</f>
        <v/>
      </c>
      <c r="EK144" s="42">
        <f>IF(AND(AND(Tasks[[#This Row],[_IsLeaf]]=1,Tasks[[#This Row],[_LeafTotalWork]]&gt;0),Tasks[[#This Row],[_Res4Work]]&gt;0),Tasks[[#This Row],[_Res4Work]]/(Tasks[[#This Row],[_FinishWorkday]]-Tasks[[#This Row],[_StartWorkday]]+1),0)</f>
        <v/>
      </c>
      <c r="EL144" s="42">
        <f>Tasks[[#This Row],[_Res4WorkPerWD]]*MAX(0,Tasks[[#This Row],[_StartWorkday]]-1)</f>
        <v/>
      </c>
      <c r="EM144" s="42">
        <f>Tasks[[#This Row],[_Res4Work]]*Tasks[[#This Row],[_LeafProgress]]</f>
        <v/>
      </c>
      <c r="EN144" s="42">
        <f>IF(ISNUMBER(Tasks[[#This Row],[% Complete]]),Tasks[[#This Row],[% Complete]],IF(Tasks[[#This Row],[Stage]]="",0,IFERROR(INDEX(stg_Pct,MATCH(Tasks[[#This Row],[Stage]],stg_Name,0)),0)))</f>
        <v/>
      </c>
      <c r="EO144" s="42">
        <f>IF(NOT(Tasks[[#This Row],[_IsLeaf]]=1),0,IF(N(Tasks[[#This Row],[Actual Finish]])&gt;0,1,MIN(1,Tasks[[#This Row],[_Pct]])))</f>
        <v/>
      </c>
      <c r="EP144" s="42">
        <f>IF(OR(NOT(Tasks[[#This Row],[_IsLeaf]]=1),Tasks[[#This Row],[_Res1Row]]=0),0,N(Tasks[[#This Row],[_Days]])*HoursPerDay*IF(Tasks[[#This Row],[_Units1]]="",DefaultUnits,Tasks[[#This Row],[_Units1]]))</f>
        <v/>
      </c>
      <c r="EQ144" s="42">
        <f>Tasks[[#This Row],[_LeafWork]]+Tasks[[#This Row],[_Res2Work]]+Tasks[[#This Row],[_Res3Work]]+Tasks[[#This Row],[_Res4Work]]</f>
        <v/>
      </c>
      <c r="ER14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4" s="42">
        <f>IF(NOT(Tasks[[#This Row],[_IsLeaf]]=1),0,MAX(_xlfn.MAXIFS(Tasks[_Row],Tasks[_Pred1UID],Tasks[[#This Row],[UID]]),_xlfn.MAXIFS(Tasks[_Row],Tasks[_Pred2UID],Tasks[[#This Row],[UID]]),_xlfn.MAXIFS(Tasks[_Row],Tasks[_Pred3UID],Tasks[[#This Row],[UID]]),_xlfn.MAXIFS(Tasks[_Row],Tasks[_Pred4UID],Tasks[[#This Row],[UID]])))</f>
        <v/>
      </c>
      <c r="FA14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4" s="88">
        <f>IF(NOT(Tasks[[#This Row],[_IsLeaf]]=1),"",IF(N(Tasks[[#This Row],[_Days]])&lt;=0,Tasks[[#This Row],[_LeafLateFinish]],WORKDAY.INTL(Tasks[[#This Row],[_LeafLateFinish]],-(Tasks[[#This Row],[_Days]]-1),WorkWeek,Holidays)))</f>
        <v/>
      </c>
      <c r="FD14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4" s="42">
        <f>AND(Tasks[[#This Row],[_IsLeaf]]=1,Tasks[[#This Row],[_LeafProgress]]&lt;1,N(Tasks[[#This Row],[_LeafTotalSlack]])&lt;=CriticalSlackDays)</f>
        <v/>
      </c>
      <c r="FF144" s="42">
        <f>IF(AND(Tasks[[#This Row],[_IsLeaf]]=1,Tasks[[#This Row],[_ConstraintCode]]=1,Tasks[[#This Row],[Mode]]&lt;&gt;"Manual",N(Tasks[[#This Row],[Actual Start]])=0),MAX(0,N(Tasks[[#This Row],[Free Slack]])),0)</f>
        <v/>
      </c>
      <c r="FG144" s="88">
        <f>IF(NOT(Tasks[[#This Row],[_IsLeaf]]=1),"",IF(Tasks[[#This Row],[_AlapShift]]=0,Tasks[[#This Row],[_LeafCalcStart]],WORKDAY.INTL(Tasks[[#This Row],[_LeafCalcStart]],Tasks[[#This Row],[_AlapShift]],WorkWeek,Holidays)))</f>
        <v/>
      </c>
      <c r="FH144" s="88">
        <f>IF(NOT(Tasks[[#This Row],[_IsLeaf]]=1),"",IF(Tasks[[#This Row],[_AlapShift]]=0,Tasks[[#This Row],[_LeafCalcFinish]],WORKDAY.INTL(Tasks[[#This Row],[_LeafCalcFinish]],Tasks[[#This Row],[_AlapShift]],WorkWeek,Holidays)))</f>
        <v/>
      </c>
      <c r="FI144" s="88">
        <f>IF(NOT(Tasks[[#This Row],[_IsLeaf]]=1),"",IF(Tasks[[#This Row],[_AlapShift]]=0,Tasks[[#This Row],[_LeafFcstStart]],WORKDAY.INTL(Tasks[[#This Row],[_LeafFcstStart]],Tasks[[#This Row],[_AlapShift]],WorkWeek,Holidays)))</f>
        <v/>
      </c>
      <c r="FJ144" s="88">
        <f>IF(NOT(Tasks[[#This Row],[_IsLeaf]]=1),"",IF(Tasks[[#This Row],[_AlapShift]]=0,Tasks[[#This Row],[_LeafFcstFinish]],WORKDAY.INTL(Tasks[[#This Row],[_LeafFcstFinish]],Tasks[[#This Row],[_AlapShift]],WorkWeek,Holidays)))</f>
        <v/>
      </c>
      <c r="FK144" s="88">
        <f>IF(Tasks[[#This Row],[Task Name]]="","",IF(Tasks[[#This Row],[_IsSummary]],MIN(INDEX(Tasks[_ShownCalcStart],Tasks[[#This Row],[_Row]]+1):INDEX(Tasks[_ShownCalcStart],Tasks[[#This Row],[_Row]]+Tasks[[#This Row],[_Descendants]])),Tasks[[#This Row],[_ShownCalcStart]]))</f>
        <v/>
      </c>
      <c r="FL144" s="88">
        <f>IF(Tasks[[#This Row],[Task Name]]="","",IF(Tasks[[#This Row],[_IsSummary]],MAX(INDEX(Tasks[_ShownCalcFinish],Tasks[[#This Row],[_Row]]+1):INDEX(Tasks[_ShownCalcFinish],Tasks[[#This Row],[_Row]]+Tasks[[#This Row],[_Descendants]])),Tasks[[#This Row],[_ShownCalcFinish]]))</f>
        <v/>
      </c>
      <c r="FM14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4" s="42">
        <f>IF(AND(Tasks[[#This Row],[_IsLeaf]]=1,Tasks[[#This Row],[_LeafTotalWork]]&gt;0),NETWORKDAYS.INTL(ProjectStart,Tasks[[#This Row],[_ShownFcstStart]],WorkWeek,Holidays),0)</f>
        <v/>
      </c>
      <c r="FZ144" s="42">
        <f>IF(AND(Tasks[[#This Row],[_IsLeaf]]=1,Tasks[[#This Row],[_LeafTotalWork]]&gt;0),MAX(Tasks[[#This Row],[_StartWorkday]],NETWORKDAYS.INTL(ProjectStart,Tasks[[#This Row],[_ShownFcstFinish]],WorkWeek,Holidays)),0)</f>
        <v/>
      </c>
      <c r="GA144" s="42">
        <f>IF(AND(Tasks[[#This Row],[_IsLeaf]]=1,Tasks[[#This Row],[_LeafTotalWork]]&gt;0),Tasks[[#This Row],[_LeafWork]]/(Tasks[[#This Row],[_FinishWorkday]]-Tasks[[#This Row],[_StartWorkday]]+1),0)</f>
        <v/>
      </c>
      <c r="GB144" s="42">
        <f>Tasks[[#This Row],[_WorkPerWorkday]]*(Tasks[[#This Row],[_StartWorkday]]-1)</f>
        <v/>
      </c>
      <c r="GC144" s="42">
        <f>IF(Tasks[[#This Row],[_IsLeaf]]=1,MAX(N(Tasks[[#This Row],[_Days]]),0.1),0)</f>
        <v/>
      </c>
      <c r="GD144" s="42">
        <f>Tasks[[#This Row],[_WeightDur]]*Tasks[[#This Row],[_LeafProgress]]</f>
        <v/>
      </c>
      <c r="GE144" s="42">
        <f>Tasks[[#This Row],[_WeightDur]]*Tasks[[#This Row],[_PlannedPct]]</f>
        <v/>
      </c>
      <c r="GF14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4" s="42">
        <f>IF(AND(Tasks[[#This Row],[_IsLeaf]]=1,N(Tasks[[#This Row],[_Days]])=0,Tasks[[#This Row],[_LeafProgress]]&lt;1),Tasks[[#This Row],[_ShownFcstFinish]]+Tasks[[#This Row],[_Row]]/100000,"")</f>
        <v/>
      </c>
      <c r="GH14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4" s="42">
        <f>IF(Tasks[[#This Row],[Task Name]]="","",LEFT(Tasks[[#This Row],[WBS]],FIND(".",Tasks[[#This Row],[WBS]]&amp;".")-1))</f>
        <v/>
      </c>
      <c r="GJ144" s="42">
        <f>IF(AND(Tasks[[#This Row],[Task Name]]&lt;&gt;"",Tasks[[#This Row],[_Level]]=1),Tasks[[#This Row],[_Row]],"")</f>
        <v/>
      </c>
      <c r="GK144" s="42">
        <f>IF(AND(Tasks[[#This Row],[_IsLeaf]]=1,N(Tasks[[#This Row],[_Days]])=0),Tasks[[#This Row],[Planned Finish]]+Tasks[[#This Row],[_Row]]/100000,"")</f>
        <v/>
      </c>
      <c r="GL144" s="42">
        <f>IF(AND(Tasks[[#This Row],[_IsLeaf]]=1,Tasks[[#This Row],[_LeafProgress]]&lt;1,OR(N(Tasks[[#This Row],[Finish Var]])&gt;0,Tasks[[#This Row],[Status]]="Late Start")),MAX(0,Tasks[[#This Row],[Finish Var]])+1-Tasks[[#This Row],[_Row]]/1000000,"")</f>
        <v/>
      </c>
      <c r="GM144" s="42">
        <f>IF(AND(Tasks[[#This Row],[_IsLeaf]]=1,N(Tasks[[#This Row],[Actual Start]])=0,Tasks[[#This Row],[_ShownFcstStart]]&gt;=StatusDate,Tasks[[#This Row],[_ShownFcstStart]]&lt;=LookaheadEnd),Tasks[[#This Row],[_ShownFcstStart]]+Tasks[[#This Row],[_Row]]/100000,"")</f>
        <v/>
      </c>
      <c r="GN144" s="42">
        <f>IF(AND(Tasks[[#This Row],[_IsLeaf]]=1,Tasks[[#This Row],[_LeafProgress]]&lt;1,Tasks[[#This Row],[_ShownFcstFinish]]&gt;=StatusDate,Tasks[[#This Row],[_ShownFcstFinish]]&lt;=LookaheadEnd),Tasks[[#This Row],[_ShownFcstFinish]]+Tasks[[#This Row],[_Row]]/100000,"")</f>
        <v/>
      </c>
      <c r="GO144" s="42">
        <f>IF(Tasks[[#This Row],[_LeafCritical]],Tasks[[#This Row],[_ShownFcstStart]]+Tasks[[#This Row],[_Row]]/100000,"")</f>
        <v/>
      </c>
      <c r="GP144" s="42">
        <f>Tasks[[#This Row],[_LeafWork]]*Tasks[[#This Row],[_LeafProgress]]</f>
        <v/>
      </c>
      <c r="GQ144" s="88">
        <f>IF(AND(Tasks[[#This Row],[_IsLeaf]]=1,Tasks[[#This Row],[_LeafProgress]]&gt;=1),IF(N(Tasks[[#This Row],[Actual Finish]])&gt;0,Tasks[[#This Row],[Actual Finish]],Tasks[[#This Row],[_ShownFcstFinish]]),"")</f>
        <v/>
      </c>
      <c r="GR144" s="42">
        <f>IF(Tasks[[#This Row],[_IsLeaf]]=1,N(Tasks[[#This Row],[Story Points]]),0)</f>
        <v/>
      </c>
      <c r="GS144" s="42">
        <f>""</f>
        <v/>
      </c>
      <c r="GT144" s="42">
        <f>IF(Tasks[[#This Row],[Task Name]]="",FALSE(),AND(Tasks[[#This Row],[_IsLeaf]]=1,N(Tasks[[#This Row],[_Days]])=0))</f>
        <v/>
      </c>
      <c r="GU144" s="88">
        <f>IF(Tasks[[#This Row],[Task Name]]="",0,IF(AND(Tasks[[#This Row],[_IsLeaf]]=1,NOT(Tasks[[#This Row],[_IsMilestone]]),N(Tasks[[#This Row],[Progress]])&gt;0),Tasks[[#This Row],[Start]],0))</f>
        <v/>
      </c>
      <c r="GV144" s="88">
        <f>IF(Tasks[[#This Row],[_DoneFrom]]=0,0,IF(Tasks[[#This Row],[Progress]]&gt;=1,Tasks[[#This Row],[Finish]],MAX(Tasks[[#This Row],[_DoneFrom]],Tasks[[#This Row],[Start]]+ROUND((Tasks[[#This Row],[Finish]]-Tasks[[#This Row],[Start]]+1)*Tasks[[#This Row],[Progress]],0)-1)))</f>
        <v/>
      </c>
      <c r="GW144" s="88">
        <f>IF(Tasks[[#This Row],[Task Name]]="",0,IF(OR(NOT(Tasks[[#This Row],[_IsLeaf]]=1),Tasks[[#This Row],[_IsMilestone]],N(Tasks[[#This Row],[Progress]])&gt;=1),0,IF(Tasks[[#This Row],[_DoneTo]]&gt;0,Tasks[[#This Row],[_DoneTo]]+1,Tasks[[#This Row],[Start]])))</f>
        <v/>
      </c>
      <c r="GX144" s="88">
        <f>IF(Tasks[[#This Row],[_RemFrom]]=0,0,Tasks[[#This Row],[Finish]])</f>
        <v/>
      </c>
      <c r="GY144" s="42">
        <f>IF(Tasks[[#This Row],[Task Name]]="",FALSE(),OR(NOT(BaselineSet),N(Tasks[[#This Row],[Baseline Start]])&gt;0))</f>
        <v/>
      </c>
      <c r="GZ144" s="42">
        <f>IF(AND(Sandbox="Yes",L_PARSE_DURATION(Tasks[[#This Row],[Sandbox Duration]])&lt;&gt;""),L_PARSE_DURATION(Tasks[[#This Row],[Sandbox Duration]]),L_PARSE_DURATION(Tasks[[#This Row],[Duration]]))</f>
        <v/>
      </c>
      <c r="HA14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4" s="42">
        <f>IF(Tasks[[#This Row],[_IsLeaf]]=1,Tasks[[#This Row],[_Row]],"")</f>
        <v/>
      </c>
      <c r="HD144" s="42">
        <f>IFERROR(INDEX(Tasks[UID],SMALL(Tasks[_PickKey],Tasks[[#This Row],[_Row]]))&amp;" "&amp;INDEX(Tasks[Task Name],SMALL(Tasks[_PickKey],Tasks[[#This Row],[_Row]])),"")</f>
        <v/>
      </c>
      <c r="HE144" s="42">
        <f>IF(Tasks[[#This Row],[Task Name]]="","",IF(Tasks[[#This Row],[_IsSummary]],NETWORKDAYS.INTL(Tasks[[#This Row],[Start]],Tasks[[#This Row],[Finish]],WorkWeek,Holidays),N(Tasks[[#This Row],[_Days]])))</f>
        <v/>
      </c>
      <c r="HF144" s="42">
        <f>IF(Tasks[[#This Row],[Expected]]="",0,((Tasks[[#This Row],[Pessimistic]]-Tasks[[#This Row],[Optimistic]])/6)^2)</f>
        <v/>
      </c>
      <c r="HG144" s="42">
        <f>IF(Tasks[[#This Row],[Expected]]="",0,Tasks[[#This Row],[Expected]]-N(Tasks[[#This Row],[_Days]]))</f>
        <v/>
      </c>
    </row>
    <row r="145">
      <c r="A145" s="21">
        <f>IF(Tasks[[#This Row],[Task Name]]="","",COUNTA(Tasks[[#Headers],[Task Name]]:Tasks[[#This Row],[Task Name]])-1)</f>
        <v/>
      </c>
      <c r="B145" s="22" t="n">
        <v>153</v>
      </c>
      <c r="C145" s="22" t="n"/>
      <c r="D145" s="23" t="n"/>
      <c r="E145" s="22" t="n"/>
      <c r="F145" s="23" t="n"/>
      <c r="G145" s="22" t="n"/>
      <c r="H145" s="22" t="n"/>
      <c r="I145" s="23" t="n"/>
      <c r="J145" s="22" t="n"/>
      <c r="K145" s="22" t="n"/>
      <c r="L145" s="23" t="n"/>
      <c r="M145" s="22" t="n"/>
      <c r="N145" s="22" t="n"/>
      <c r="O145" s="23" t="n"/>
      <c r="P145" s="22" t="n"/>
      <c r="Q145" s="22" t="n"/>
      <c r="R145" s="23" t="n"/>
      <c r="S145" s="23" t="n"/>
      <c r="T145" s="82" t="n"/>
      <c r="U145" s="23" t="n"/>
      <c r="V145" s="82" t="n"/>
      <c r="W145" s="23" t="n"/>
      <c r="X145" s="82" t="n"/>
      <c r="Y145" s="23" t="n"/>
      <c r="Z145" s="82" t="n"/>
      <c r="AA145" s="23" t="n"/>
      <c r="AB145" s="23" t="n"/>
      <c r="AC145" s="7" t="n"/>
      <c r="AD145" s="7" t="n"/>
      <c r="AE145" s="61">
        <f>IF(Tasks[[#This Row],[Task Name]]="","",IF(Tasks[[#This Row],[_IsSummary]],MIN(INDEX(Tasks[_ShownFcstStart],Tasks[[#This Row],[_Row]]+1):INDEX(Tasks[_ShownFcstStart],Tasks[[#This Row],[_Row]]+Tasks[[#This Row],[_Descendants]])),Tasks[[#This Row],[_ShownFcstStart]]))</f>
        <v/>
      </c>
      <c r="AF145" s="61">
        <f>IF(Tasks[[#This Row],[Task Name]]="","",IF(Tasks[[#This Row],[_IsSummary]],MAX(INDEX(Tasks[_ShownFcstFinish],Tasks[[#This Row],[_Row]]+1):INDEX(Tasks[_ShownFcstFinish],Tasks[[#This Row],[_Row]]+Tasks[[#This Row],[_Descendants]])),Tasks[[#This Row],[_ShownFcstFinish]]))</f>
        <v/>
      </c>
      <c r="AG145" s="21">
        <f>""</f>
        <v/>
      </c>
      <c r="AH145" s="23" t="n"/>
      <c r="AI14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5" s="7" t="n"/>
      <c r="AK145" s="22" t="n"/>
      <c r="AL145" s="23" t="n"/>
      <c r="AM145" s="7" t="n"/>
      <c r="AN145" s="21">
        <f>IF(Tasks[[#This Row],[Task Name]]="","",IF(Tasks[[#This Row],[Finish]]&gt;=Tasks[[#This Row],[Planned Finish]],NETWORKDAYS.INTL(Tasks[[#This Row],[Planned Finish]],Tasks[[#This Row],[Finish]],WorkWeek,Holidays)-1,1-NETWORKDAYS.INTL(Tasks[[#This Row],[Finish]],Tasks[[#This Row],[Planned Finish]],WorkWeek,Holidays)))</f>
        <v/>
      </c>
      <c r="AO145" s="21">
        <f>IF(Tasks[[#This Row],[Task Name]]="","",IF(Tasks[[#This Row],[Progress]]&gt;=1,"Complete",IF(OR(N(Tasks[[#This Row],[Actual Start]])&gt;0,Tasks[[#This Row],[Progress]]&gt;0),IF(Tasks[[#This Row],[Finish Var]]&gt;0,"Behind","In Progress"),IF(Tasks[[#This Row],[Planned Start]]&lt;StatusDate,"Late Start","Not Started"))))</f>
        <v/>
      </c>
      <c r="AP145" s="21">
        <f>IF(Tasks[[#This Row],[Task Name]]="","",IF(IF(Tasks[[#This Row],[_IsSummary]],COUNTIF(INDEX(Tasks[_LeafCritical],Tasks[[#This Row],[_Row]]+1):INDEX(Tasks[_LeafCritical],Tasks[[#This Row],[_Row]]+Tasks[[#This Row],[_Descendants]]),TRUE())&gt;0,Tasks[[#This Row],[_LeafCritical]]),"Yes",""))</f>
        <v/>
      </c>
      <c r="AQ145" s="61">
        <f>IF(Tasks[[#This Row],[Task Name]]="","",IF(N(Tasks[[#This Row],[Baseline Start]])&gt;0,Tasks[[#This Row],[Baseline Start]],Tasks[[#This Row],[_CalcStart]]))</f>
        <v/>
      </c>
      <c r="AR145" s="61">
        <f>IF(Tasks[[#This Row],[Task Name]]="","",IF(N(Tasks[[#This Row],[Baseline Finish]])&gt;0,Tasks[[#This Row],[Baseline Finish]],Tasks[[#This Row],[_CalcFinish]]))</f>
        <v/>
      </c>
      <c r="AS145" s="21">
        <f>IF(Tasks[[#This Row],[Task Name]]="","",IF(Tasks[[#This Row],[Start]]&gt;=Tasks[[#This Row],[Planned Start]],NETWORKDAYS.INTL(Tasks[[#This Row],[Planned Start]],Tasks[[#This Row],[Start]],WorkWeek,Holidays)-1,1-NETWORKDAYS.INTL(Tasks[[#This Row],[Start]],Tasks[[#This Row],[Planned Start]],WorkWeek,Holidays)))</f>
        <v/>
      </c>
      <c r="AT145" s="61">
        <f>IF(Tasks[[#This Row],[Task Name]]="","",IF(Tasks[[#This Row],[_IsSummary]],MIN(INDEX(Tasks[_LeafLateStart],Tasks[[#This Row],[_Row]]+1):INDEX(Tasks[_LeafLateStart],Tasks[[#This Row],[_Row]]+Tasks[[#This Row],[_Descendants]])),Tasks[[#This Row],[_LeafLateStart]]))</f>
        <v/>
      </c>
      <c r="AU145" s="61">
        <f>IF(Tasks[[#This Row],[Task Name]]="","",IF(Tasks[[#This Row],[_IsSummary]],MAX(INDEX(Tasks[_LeafLateFinish],Tasks[[#This Row],[_Row]]+1):INDEX(Tasks[_LeafLateFinish],Tasks[[#This Row],[_Row]]+Tasks[[#This Row],[_Descendants]])),Tasks[[#This Row],[_LeafLateFinish]]))</f>
        <v/>
      </c>
      <c r="AV145" s="21">
        <f>IF(Tasks[[#This Row],[Task Name]]="","",IF(Tasks[[#This Row],[_IsSummary]],MIN(INDEX(Tasks[_LeafTotalSlack],Tasks[[#This Row],[_Row]]+1):INDEX(Tasks[_LeafTotalSlack],Tasks[[#This Row],[_Row]]+Tasks[[#This Row],[_Descendants]])),Tasks[[#This Row],[_LeafTotalSlack]]))</f>
        <v/>
      </c>
      <c r="AW14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3" t="n"/>
      <c r="BA14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f>IF(Tasks[[#This Row],[Task Name]]="","",IF(Tasks[[#This Row],[_Level]]&lt;=OutlineShowLevel,"Yes","No"))</f>
        <v/>
      </c>
      <c r="BE145" s="84">
        <f>IF(Tasks[[#This Row],[Task Name]]="","",IF(Tasks[[#This Row],[_IsSummary]],SUM(INDEX(Tasks[_LeafTotalWork],Tasks[[#This Row],[_Row]]+1):INDEX(Tasks[_LeafTotalWork],Tasks[[#This Row],[_Row]]+Tasks[[#This Row],[_Descendants]])),Tasks[[#This Row],[_LeafTotalWork]]))</f>
        <v/>
      </c>
      <c r="BF145" s="23" t="n"/>
      <c r="BG14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f>""</f>
        <v/>
      </c>
      <c r="BI145" s="85" t="n"/>
      <c r="BJ145" s="22" t="n"/>
      <c r="BK145" s="21">
        <f>IF(OR(Tasks[[#This Row],[Task Name]]="",Tasks[[#This Row],[Baseline Duration]]=""),"",Tasks[[#This Row],[_SpanDays]]-N(Tasks[[#This Row],[Baseline Duration]]))</f>
        <v/>
      </c>
      <c r="BL145" s="84">
        <f>IF(OR(Tasks[[#This Row],[Task Name]]="",Tasks[[#This Row],[Baseline Work]]=""),"",Tasks[[#This Row],[Work]]-N(Tasks[[#This Row],[Baseline Work]]))</f>
        <v/>
      </c>
      <c r="BM145" s="61">
        <f>IF(Tasks[[#This Row],[Task Name]]="","",IF(OR(TakeBaseline="Yes",N(Tasks[[#This Row],[Baseline Start]])=0),Tasks[[#This Row],[Start]],Tasks[[#This Row],[Baseline Start]]))</f>
        <v/>
      </c>
      <c r="BN145" s="61">
        <f>IF(Tasks[[#This Row],[Task Name]]="","",IF(OR(TakeBaseline="Yes",N(Tasks[[#This Row],[Baseline Finish]])=0),Tasks[[#This Row],[Finish]],Tasks[[#This Row],[Baseline Finish]]))</f>
        <v/>
      </c>
      <c r="BO145" s="21">
        <f>IF(Tasks[[#This Row],[Task Name]]="","",IF(OR(TakeBaseline="Yes",N(Tasks[[#This Row],[Baseline Duration]])=0),Tasks[[#This Row],[_SpanDays]],Tasks[[#This Row],[Baseline Duration]]))</f>
        <v/>
      </c>
      <c r="BP145" s="84">
        <f>IF(Tasks[[#This Row],[Task Name]]="","",IF(OR(TakeBaseline="Yes",N(Tasks[[#This Row],[Baseline Work]])=0),Tasks[[#This Row],[Work]],Tasks[[#This Row],[Baseline Work]]))</f>
        <v/>
      </c>
      <c r="BQ145" s="7" t="n"/>
      <c r="BR145" s="7" t="n"/>
      <c r="BS145" s="22" t="n"/>
      <c r="BT145" s="86" t="n"/>
      <c r="BU145" s="23" t="n"/>
      <c r="BV145" s="23" t="n"/>
      <c r="BW145" s="23" t="n"/>
      <c r="BX145" s="87">
        <f>IF(AND(Tasks[[#This Row],[_IsLeaf]]=1,ISNUMBER(Tasks[[#This Row],[Optimistic]]),ISNUMBER(Tasks[[#This Row],[Pessimistic]])),ROUND((Tasks[[#This Row],[Optimistic]]+4*N(Tasks[[#This Row],[_Days]])+Tasks[[#This Row],[Pessimistic]])/6,1),"")</f>
        <v/>
      </c>
      <c r="BY145" s="85" t="n"/>
      <c r="BZ145" s="85" t="n"/>
      <c r="CA145" s="22" t="n"/>
      <c r="CB145" s="42">
        <f>IF(Tasks[[#This Row],[Task Name]]="","",MAX(1,N(Tasks[[#This Row],[Level]])))</f>
        <v/>
      </c>
      <c r="CC145" s="42">
        <f>ROW()-ROW(Tasks[[#Headers],[ID]])</f>
        <v/>
      </c>
      <c r="CD145" s="42">
        <f>IF(OR(Tasks[[#This Row],[Task Name]]="",Tasks[[#This Row],[_Level]]&lt;=1),0,IFERROR(LOOKUP(2,1/(Tasks[[#Headers],[_Level]]:Tasks[[#This Row],[_Level]]=Tasks[[#This Row],[_Level]]-1),ROW(Tasks[[#Headers],[_Level]]:Tasks[[#This Row],[_Level]])),0))</f>
        <v/>
      </c>
      <c r="CE145" s="42">
        <f>IFERROR(N(INDEX(Tasks[_Level],Tasks[[#This Row],[_Row]]+1)),0)</f>
        <v/>
      </c>
      <c r="CF145" s="42">
        <f>AND(Tasks[[#This Row],[Task Name]]&lt;&gt;"",Tasks[[#This Row],[_NextLevel]]&gt;Tasks[[#This Row],[_Level]])</f>
        <v/>
      </c>
      <c r="CG145" s="42">
        <f>IF(Tasks[[#This Row],[_IsSummary]],COUNTIF(Tasks[WBS],Tasks[[#This Row],[WBS]]&amp;".*"),0)</f>
        <v/>
      </c>
      <c r="CH145" s="42">
        <f>IF(AND(Tasks[[#This Row],[Task Name]]&lt;&gt;"",NOT(Tasks[[#This Row],[_IsSummary]])),1,0)</f>
        <v/>
      </c>
      <c r="CI145" s="42">
        <f>IF(N(Tasks[[#This Row],[_Pred1UID]])=0,0,IFERROR(MATCH(Tasks[[#This Row],[_Pred1UID]],Tasks[UID],0),-1))</f>
        <v/>
      </c>
      <c r="CJ145" s="42">
        <f>IF(N(Tasks[[#This Row],[_Pred2UID]])=0,0,IFERROR(MATCH(Tasks[[#This Row],[_Pred2UID]],Tasks[UID],0),-1))</f>
        <v/>
      </c>
      <c r="CK145" s="42">
        <f>IF(N(Tasks[[#This Row],[_Pred3UID]])=0,0,IFERROR(MATCH(Tasks[[#This Row],[_Pred3UID]],Tasks[UID],0),-1))</f>
        <v/>
      </c>
      <c r="CL145" s="42">
        <f>IF(N(Tasks[[#This Row],[_Pred4UID]])=0,0,IFERROR(MATCH(Tasks[[#This Row],[_Pred4UID]],Tasks[UID],0),-1))</f>
        <v/>
      </c>
      <c r="CM14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5" s="88">
        <f>IF(N(Tasks[[#This Row],[Constraint Date]])=0,0,IF(AND(OR(Tasks[[#This Row],[_ConstraintCode]]=3,Tasks[[#This Row],[_ConstraintCode]]=6,Tasks[[#This Row],[_ConstraintCode]]=7),N(Tasks[[#This Row],[_Days]])&gt;1),WORKDAY.INTL(N(Tasks[[#This Row],[Constraint Date]]),-(N(Tasks[[#This Row],[_Days]])-1),WorkWeek,Holidays),N(Tasks[[#This Row],[Constraint Date]])))</f>
        <v/>
      </c>
      <c r="CO145" s="88">
        <f>IF(OR(Tasks[[#This Row],[_ConstraintCode]]=2,Tasks[[#This Row],[_ConstraintCode]]=3,Tasks[[#This Row],[_ConstraintCode]]=4,Tasks[[#This Row],[_ConstraintCode]]=6),Tasks[[#This Row],[_ConstraintStart]],0)</f>
        <v/>
      </c>
      <c r="CP145" s="88">
        <f>IF(OR(Tasks[[#This Row],[_ConstraintCode]]=2,Tasks[[#This Row],[_ConstraintCode]]=3,Tasks[[#This Row],[_ConstraintCode]]=5,Tasks[[#This Row],[_ConstraintCode]]=7),Tasks[[#This Row],[_ConstraintStart]],2958465)</f>
        <v/>
      </c>
      <c r="CQ14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5" s="88">
        <f>IF(NOT(Tasks[[#This Row],[_IsLeaf]]=1),"",IF(N(Tasks[[#This Row],[_Days]])&lt;=0,Tasks[[#This Row],[_LeafCalcStart]],WORKDAY.INTL(Tasks[[#This Row],[_LeafCalcStart]],Tasks[[#This Row],[_Days]]-1,WorkWeek,Holidays)))</f>
        <v/>
      </c>
      <c r="CS14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5" s="42">
        <f>IF(Tasks[[#This Row],[_Predecessors]]="","",TRIM(MID(SUBSTITUTE(SUBSTITUTE(SUBSTITUTE(UPPER(Tasks[[#This Row],[_Predecessors]]),";",",")," ",""),",",REPT(" ",99)),1,99)))</f>
        <v/>
      </c>
      <c r="CV145" s="42">
        <f>IF(Tasks[[#This Row],[_Pred1Text]]="","",IFERROR(VALUE(LEFT(Tasks[[#This Row],[_Pred1Text]],MIN(FIND("F",Tasks[[#This Row],[_Pred1Text]]&amp;"F"),FIND("S",Tasks[[#This Row],[_Pred1Text]]&amp;"S"),FIND("+",Tasks[[#This Row],[_Pred1Text]]&amp;"+"),FIND("-",Tasks[[#This Row],[_Pred1Text]]&amp;"-"))-1)),""))</f>
        <v/>
      </c>
      <c r="CW14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5" s="42">
        <f>IF(Tasks[[#This Row],[_Pred1Text]]="","",TRIM(MID(SUBSTITUTE(SUBSTITUTE(SUBSTITUTE(UPPER(Tasks[[#This Row],[_Predecessors]]),";",",")," ",""),",",REPT(" ",99)),100,99)))</f>
        <v/>
      </c>
      <c r="CZ145" s="42">
        <f>IF(Tasks[[#This Row],[_Pred2Text]]="","",IFERROR(VALUE(LEFT(Tasks[[#This Row],[_Pred2Text]],MIN(FIND("F",Tasks[[#This Row],[_Pred2Text]]&amp;"F"),FIND("S",Tasks[[#This Row],[_Pred2Text]]&amp;"S"),FIND("+",Tasks[[#This Row],[_Pred2Text]]&amp;"+"),FIND("-",Tasks[[#This Row],[_Pred2Text]]&amp;"-"))-1)),""))</f>
        <v/>
      </c>
      <c r="DA14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5" s="42">
        <f>IF(Tasks[[#This Row],[_Pred2Text]]="","",TRIM(MID(SUBSTITUTE(SUBSTITUTE(SUBSTITUTE(UPPER(Tasks[[#This Row],[_Predecessors]]),";",",")," ",""),",",REPT(" ",99)),199,99)))</f>
        <v/>
      </c>
      <c r="DD145" s="42">
        <f>IF(Tasks[[#This Row],[_Pred3Text]]="","",IFERROR(VALUE(LEFT(Tasks[[#This Row],[_Pred3Text]],MIN(FIND("F",Tasks[[#This Row],[_Pred3Text]]&amp;"F"),FIND("S",Tasks[[#This Row],[_Pred3Text]]&amp;"S"),FIND("+",Tasks[[#This Row],[_Pred3Text]]&amp;"+"),FIND("-",Tasks[[#This Row],[_Pred3Text]]&amp;"-"))-1)),""))</f>
        <v/>
      </c>
      <c r="DE14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5" s="42">
        <f>IF(Tasks[[#This Row],[_Pred3Text]]="","",TRIM(MID(SUBSTITUTE(SUBSTITUTE(SUBSTITUTE(UPPER(Tasks[[#This Row],[_Predecessors]]),";",",")," ",""),",",REPT(" ",99)),298,99)))</f>
        <v/>
      </c>
      <c r="DH145" s="42">
        <f>IF(Tasks[[#This Row],[_Pred4Text]]="","",IFERROR(VALUE(LEFT(Tasks[[#This Row],[_Pred4Text]],MIN(FIND("F",Tasks[[#This Row],[_Pred4Text]]&amp;"F"),FIND("S",Tasks[[#This Row],[_Pred4Text]]&amp;"S"),FIND("+",Tasks[[#This Row],[_Pred4Text]]&amp;"+"),FIND("-",Tasks[[#This Row],[_Pred4Text]]&amp;"-"))-1)),""))</f>
        <v/>
      </c>
      <c r="DI14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5" s="42">
        <f>IF(OR(Tasks[[#This Row],[Task Name]]="",Tasks[[#This Row],[_Resources]]=""),"",TRIM(MID(SUBSTITUTE(Tasks[[#This Row],[_Resources]],",",REPT(" ",99)),1,99)))</f>
        <v/>
      </c>
      <c r="DL145" s="42">
        <f>IF(Tasks[[#This Row],[_Res1Text]]="","",TRIM(MID(SUBSTITUTE(Tasks[[#This Row],[_Resources]],",",REPT(" ",99)),100,99)))</f>
        <v/>
      </c>
      <c r="DM145" s="42">
        <f>IF(Tasks[[#This Row],[_Res2Text]]="","",TRIM(MID(SUBSTITUTE(Tasks[[#This Row],[_Resources]],",",REPT(" ",99)),199,99)))</f>
        <v/>
      </c>
      <c r="DN145" s="42">
        <f>IF(Tasks[[#This Row],[_Res3Text]]="","",TRIM(MID(SUBSTITUTE(Tasks[[#This Row],[_Resources]],",",REPT(" ",99)),298,99)))</f>
        <v/>
      </c>
      <c r="DO145" s="42">
        <f>IF(Tasks[[#This Row],[_Res1Text]]="",0,IFERROR(MATCH(TRIM(LEFT(Tasks[[#This Row],[_Res1Text]],FIND("[",Tasks[[#This Row],[_Res1Text]]&amp;"[")-1)),res_Name,0),IFERROR(MATCH(TRIM(LEFT(Tasks[[#This Row],[_Res1Text]],FIND("[",Tasks[[#This Row],[_Res1Text]]&amp;"[")-1)),res_Initials,0),0)))</f>
        <v/>
      </c>
      <c r="DP145" s="42">
        <f>IF(Tasks[[#This Row],[_Res2Text]]="",0,IFERROR(MATCH(TRIM(LEFT(Tasks[[#This Row],[_Res2Text]],FIND("[",Tasks[[#This Row],[_Res2Text]]&amp;"[")-1)),res_Name,0),IFERROR(MATCH(TRIM(LEFT(Tasks[[#This Row],[_Res2Text]],FIND("[",Tasks[[#This Row],[_Res2Text]]&amp;"[")-1)),res_Initials,0),0)))</f>
        <v/>
      </c>
      <c r="DQ145" s="42">
        <f>IF(Tasks[[#This Row],[_Res3Text]]="",0,IFERROR(MATCH(TRIM(LEFT(Tasks[[#This Row],[_Res3Text]],FIND("[",Tasks[[#This Row],[_Res3Text]]&amp;"[")-1)),res_Name,0),IFERROR(MATCH(TRIM(LEFT(Tasks[[#This Row],[_Res3Text]],FIND("[",Tasks[[#This Row],[_Res3Text]]&amp;"[")-1)),res_Initials,0),0)))</f>
        <v/>
      </c>
      <c r="DR145" s="42">
        <f>IF(Tasks[[#This Row],[_Res4Text]]="",0,IFERROR(MATCH(TRIM(LEFT(Tasks[[#This Row],[_Res4Text]],FIND("[",Tasks[[#This Row],[_Res4Text]]&amp;"[")-1)),res_Name,0),IFERROR(MATCH(TRIM(LEFT(Tasks[[#This Row],[_Res4Text]],FIND("[",Tasks[[#This Row],[_Res4Text]]&amp;"[")-1)),res_Initials,0),0)))</f>
        <v/>
      </c>
      <c r="DS145" s="42">
        <f>IF(Tasks[[#This Row],[_Res1Text]]="","",IF(Tasks[[#This Row],[_Res1Row]]&gt;0,INDEX(res_Name,Tasks[[#This Row],[_Res1Row]]),TRIM(LEFT(Tasks[[#This Row],[_Res1Text]],FIND("[",Tasks[[#This Row],[_Res1Text]]&amp;"[")-1))))</f>
        <v/>
      </c>
      <c r="DT14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5" s="42">
        <f>IF(NOT(Tasks[[#This Row],[_IsLeaf]]=1),0,(Tasks[[#This Row],[_Resource1]]&lt;&gt;"")+(Tasks[[#This Row],[_Res2]]&lt;&gt;"")+(Tasks[[#This Row],[_Res3]]&lt;&gt;"")+(Tasks[[#This Row],[_Res4]]&lt;&gt;""))</f>
        <v/>
      </c>
      <c r="DV145" s="42">
        <f>IF(Tasks[[#This Row],[_Res2Text]]="","",IF(Tasks[[#This Row],[_Res2Row]]&gt;0,INDEX(res_Name,Tasks[[#This Row],[_Res2Row]]),TRIM(LEFT(Tasks[[#This Row],[_Res2Text]],FIND("[",Tasks[[#This Row],[_Res2Text]]&amp;"[")-1))))</f>
        <v/>
      </c>
      <c r="DW14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5" s="42">
        <f>IF(OR(NOT(Tasks[[#This Row],[_IsLeaf]]=1),Tasks[[#This Row],[_Res2Row]]=0),0,N(Tasks[[#This Row],[_Days]])*HoursPerDay*IF(Tasks[[#This Row],[_Res2Units]]="",DefaultUnits,Tasks[[#This Row],[_Res2Units]]))</f>
        <v/>
      </c>
      <c r="DY145" s="42">
        <f>IF(AND(AND(Tasks[[#This Row],[_IsLeaf]]=1,Tasks[[#This Row],[_LeafTotalWork]]&gt;0),Tasks[[#This Row],[_Res2Work]]&gt;0),Tasks[[#This Row],[_Res2Work]]/(Tasks[[#This Row],[_FinishWorkday]]-Tasks[[#This Row],[_StartWorkday]]+1),0)</f>
        <v/>
      </c>
      <c r="DZ145" s="42">
        <f>Tasks[[#This Row],[_Res2WorkPerWD]]*MAX(0,Tasks[[#This Row],[_StartWorkday]]-1)</f>
        <v/>
      </c>
      <c r="EA145" s="42">
        <f>Tasks[[#This Row],[_Res2Work]]*Tasks[[#This Row],[_LeafProgress]]</f>
        <v/>
      </c>
      <c r="EB145" s="42">
        <f>IF(Tasks[[#This Row],[_Res3Text]]="","",IF(Tasks[[#This Row],[_Res3Row]]&gt;0,INDEX(res_Name,Tasks[[#This Row],[_Res3Row]]),TRIM(LEFT(Tasks[[#This Row],[_Res3Text]],FIND("[",Tasks[[#This Row],[_Res3Text]]&amp;"[")-1))))</f>
        <v/>
      </c>
      <c r="EC14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5" s="42">
        <f>IF(OR(NOT(Tasks[[#This Row],[_IsLeaf]]=1),Tasks[[#This Row],[_Res3Row]]=0),0,N(Tasks[[#This Row],[_Days]])*HoursPerDay*IF(Tasks[[#This Row],[_Res3Units]]="",DefaultUnits,Tasks[[#This Row],[_Res3Units]]))</f>
        <v/>
      </c>
      <c r="EE145" s="42">
        <f>IF(AND(AND(Tasks[[#This Row],[_IsLeaf]]=1,Tasks[[#This Row],[_LeafTotalWork]]&gt;0),Tasks[[#This Row],[_Res3Work]]&gt;0),Tasks[[#This Row],[_Res3Work]]/(Tasks[[#This Row],[_FinishWorkday]]-Tasks[[#This Row],[_StartWorkday]]+1),0)</f>
        <v/>
      </c>
      <c r="EF145" s="42">
        <f>Tasks[[#This Row],[_Res3WorkPerWD]]*MAX(0,Tasks[[#This Row],[_StartWorkday]]-1)</f>
        <v/>
      </c>
      <c r="EG145" s="42">
        <f>Tasks[[#This Row],[_Res3Work]]*Tasks[[#This Row],[_LeafProgress]]</f>
        <v/>
      </c>
      <c r="EH145" s="42">
        <f>IF(Tasks[[#This Row],[_Res4Text]]="","",IF(Tasks[[#This Row],[_Res4Row]]&gt;0,INDEX(res_Name,Tasks[[#This Row],[_Res4Row]]),TRIM(LEFT(Tasks[[#This Row],[_Res4Text]],FIND("[",Tasks[[#This Row],[_Res4Text]]&amp;"[")-1))))</f>
        <v/>
      </c>
      <c r="EI14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5" s="42">
        <f>IF(OR(NOT(Tasks[[#This Row],[_IsLeaf]]=1),Tasks[[#This Row],[_Res4Row]]=0),0,N(Tasks[[#This Row],[_Days]])*HoursPerDay*IF(Tasks[[#This Row],[_Res4Units]]="",DefaultUnits,Tasks[[#This Row],[_Res4Units]]))</f>
        <v/>
      </c>
      <c r="EK145" s="42">
        <f>IF(AND(AND(Tasks[[#This Row],[_IsLeaf]]=1,Tasks[[#This Row],[_LeafTotalWork]]&gt;0),Tasks[[#This Row],[_Res4Work]]&gt;0),Tasks[[#This Row],[_Res4Work]]/(Tasks[[#This Row],[_FinishWorkday]]-Tasks[[#This Row],[_StartWorkday]]+1),0)</f>
        <v/>
      </c>
      <c r="EL145" s="42">
        <f>Tasks[[#This Row],[_Res4WorkPerWD]]*MAX(0,Tasks[[#This Row],[_StartWorkday]]-1)</f>
        <v/>
      </c>
      <c r="EM145" s="42">
        <f>Tasks[[#This Row],[_Res4Work]]*Tasks[[#This Row],[_LeafProgress]]</f>
        <v/>
      </c>
      <c r="EN145" s="42">
        <f>IF(ISNUMBER(Tasks[[#This Row],[% Complete]]),Tasks[[#This Row],[% Complete]],IF(Tasks[[#This Row],[Stage]]="",0,IFERROR(INDEX(stg_Pct,MATCH(Tasks[[#This Row],[Stage]],stg_Name,0)),0)))</f>
        <v/>
      </c>
      <c r="EO145" s="42">
        <f>IF(NOT(Tasks[[#This Row],[_IsLeaf]]=1),0,IF(N(Tasks[[#This Row],[Actual Finish]])&gt;0,1,MIN(1,Tasks[[#This Row],[_Pct]])))</f>
        <v/>
      </c>
      <c r="EP145" s="42">
        <f>IF(OR(NOT(Tasks[[#This Row],[_IsLeaf]]=1),Tasks[[#This Row],[_Res1Row]]=0),0,N(Tasks[[#This Row],[_Days]])*HoursPerDay*IF(Tasks[[#This Row],[_Units1]]="",DefaultUnits,Tasks[[#This Row],[_Units1]]))</f>
        <v/>
      </c>
      <c r="EQ145" s="42">
        <f>Tasks[[#This Row],[_LeafWork]]+Tasks[[#This Row],[_Res2Work]]+Tasks[[#This Row],[_Res3Work]]+Tasks[[#This Row],[_Res4Work]]</f>
        <v/>
      </c>
      <c r="ER14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5" s="42">
        <f>IF(NOT(Tasks[[#This Row],[_IsLeaf]]=1),0,MAX(_xlfn.MAXIFS(Tasks[_Row],Tasks[_Pred1UID],Tasks[[#This Row],[UID]]),_xlfn.MAXIFS(Tasks[_Row],Tasks[_Pred2UID],Tasks[[#This Row],[UID]]),_xlfn.MAXIFS(Tasks[_Row],Tasks[_Pred3UID],Tasks[[#This Row],[UID]]),_xlfn.MAXIFS(Tasks[_Row],Tasks[_Pred4UID],Tasks[[#This Row],[UID]])))</f>
        <v/>
      </c>
      <c r="FA14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5" s="88">
        <f>IF(NOT(Tasks[[#This Row],[_IsLeaf]]=1),"",IF(N(Tasks[[#This Row],[_Days]])&lt;=0,Tasks[[#This Row],[_LeafLateFinish]],WORKDAY.INTL(Tasks[[#This Row],[_LeafLateFinish]],-(Tasks[[#This Row],[_Days]]-1),WorkWeek,Holidays)))</f>
        <v/>
      </c>
      <c r="FD14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5" s="42">
        <f>AND(Tasks[[#This Row],[_IsLeaf]]=1,Tasks[[#This Row],[_LeafProgress]]&lt;1,N(Tasks[[#This Row],[_LeafTotalSlack]])&lt;=CriticalSlackDays)</f>
        <v/>
      </c>
      <c r="FF145" s="42">
        <f>IF(AND(Tasks[[#This Row],[_IsLeaf]]=1,Tasks[[#This Row],[_ConstraintCode]]=1,Tasks[[#This Row],[Mode]]&lt;&gt;"Manual",N(Tasks[[#This Row],[Actual Start]])=0),MAX(0,N(Tasks[[#This Row],[Free Slack]])),0)</f>
        <v/>
      </c>
      <c r="FG145" s="88">
        <f>IF(NOT(Tasks[[#This Row],[_IsLeaf]]=1),"",IF(Tasks[[#This Row],[_AlapShift]]=0,Tasks[[#This Row],[_LeafCalcStart]],WORKDAY.INTL(Tasks[[#This Row],[_LeafCalcStart]],Tasks[[#This Row],[_AlapShift]],WorkWeek,Holidays)))</f>
        <v/>
      </c>
      <c r="FH145" s="88">
        <f>IF(NOT(Tasks[[#This Row],[_IsLeaf]]=1),"",IF(Tasks[[#This Row],[_AlapShift]]=0,Tasks[[#This Row],[_LeafCalcFinish]],WORKDAY.INTL(Tasks[[#This Row],[_LeafCalcFinish]],Tasks[[#This Row],[_AlapShift]],WorkWeek,Holidays)))</f>
        <v/>
      </c>
      <c r="FI145" s="88">
        <f>IF(NOT(Tasks[[#This Row],[_IsLeaf]]=1),"",IF(Tasks[[#This Row],[_AlapShift]]=0,Tasks[[#This Row],[_LeafFcstStart]],WORKDAY.INTL(Tasks[[#This Row],[_LeafFcstStart]],Tasks[[#This Row],[_AlapShift]],WorkWeek,Holidays)))</f>
        <v/>
      </c>
      <c r="FJ145" s="88">
        <f>IF(NOT(Tasks[[#This Row],[_IsLeaf]]=1),"",IF(Tasks[[#This Row],[_AlapShift]]=0,Tasks[[#This Row],[_LeafFcstFinish]],WORKDAY.INTL(Tasks[[#This Row],[_LeafFcstFinish]],Tasks[[#This Row],[_AlapShift]],WorkWeek,Holidays)))</f>
        <v/>
      </c>
      <c r="FK145" s="88">
        <f>IF(Tasks[[#This Row],[Task Name]]="","",IF(Tasks[[#This Row],[_IsSummary]],MIN(INDEX(Tasks[_ShownCalcStart],Tasks[[#This Row],[_Row]]+1):INDEX(Tasks[_ShownCalcStart],Tasks[[#This Row],[_Row]]+Tasks[[#This Row],[_Descendants]])),Tasks[[#This Row],[_ShownCalcStart]]))</f>
        <v/>
      </c>
      <c r="FL145" s="88">
        <f>IF(Tasks[[#This Row],[Task Name]]="","",IF(Tasks[[#This Row],[_IsSummary]],MAX(INDEX(Tasks[_ShownCalcFinish],Tasks[[#This Row],[_Row]]+1):INDEX(Tasks[_ShownCalcFinish],Tasks[[#This Row],[_Row]]+Tasks[[#This Row],[_Descendants]])),Tasks[[#This Row],[_ShownCalcFinish]]))</f>
        <v/>
      </c>
      <c r="FM14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5" s="42">
        <f>IF(AND(Tasks[[#This Row],[_IsLeaf]]=1,Tasks[[#This Row],[_LeafTotalWork]]&gt;0),NETWORKDAYS.INTL(ProjectStart,Tasks[[#This Row],[_ShownFcstStart]],WorkWeek,Holidays),0)</f>
        <v/>
      </c>
      <c r="FZ145" s="42">
        <f>IF(AND(Tasks[[#This Row],[_IsLeaf]]=1,Tasks[[#This Row],[_LeafTotalWork]]&gt;0),MAX(Tasks[[#This Row],[_StartWorkday]],NETWORKDAYS.INTL(ProjectStart,Tasks[[#This Row],[_ShownFcstFinish]],WorkWeek,Holidays)),0)</f>
        <v/>
      </c>
      <c r="GA145" s="42">
        <f>IF(AND(Tasks[[#This Row],[_IsLeaf]]=1,Tasks[[#This Row],[_LeafTotalWork]]&gt;0),Tasks[[#This Row],[_LeafWork]]/(Tasks[[#This Row],[_FinishWorkday]]-Tasks[[#This Row],[_StartWorkday]]+1),0)</f>
        <v/>
      </c>
      <c r="GB145" s="42">
        <f>Tasks[[#This Row],[_WorkPerWorkday]]*(Tasks[[#This Row],[_StartWorkday]]-1)</f>
        <v/>
      </c>
      <c r="GC145" s="42">
        <f>IF(Tasks[[#This Row],[_IsLeaf]]=1,MAX(N(Tasks[[#This Row],[_Days]]),0.1),0)</f>
        <v/>
      </c>
      <c r="GD145" s="42">
        <f>Tasks[[#This Row],[_WeightDur]]*Tasks[[#This Row],[_LeafProgress]]</f>
        <v/>
      </c>
      <c r="GE145" s="42">
        <f>Tasks[[#This Row],[_WeightDur]]*Tasks[[#This Row],[_PlannedPct]]</f>
        <v/>
      </c>
      <c r="GF14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5" s="42">
        <f>IF(AND(Tasks[[#This Row],[_IsLeaf]]=1,N(Tasks[[#This Row],[_Days]])=0,Tasks[[#This Row],[_LeafProgress]]&lt;1),Tasks[[#This Row],[_ShownFcstFinish]]+Tasks[[#This Row],[_Row]]/100000,"")</f>
        <v/>
      </c>
      <c r="GH14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5" s="42">
        <f>IF(Tasks[[#This Row],[Task Name]]="","",LEFT(Tasks[[#This Row],[WBS]],FIND(".",Tasks[[#This Row],[WBS]]&amp;".")-1))</f>
        <v/>
      </c>
      <c r="GJ145" s="42">
        <f>IF(AND(Tasks[[#This Row],[Task Name]]&lt;&gt;"",Tasks[[#This Row],[_Level]]=1),Tasks[[#This Row],[_Row]],"")</f>
        <v/>
      </c>
      <c r="GK145" s="42">
        <f>IF(AND(Tasks[[#This Row],[_IsLeaf]]=1,N(Tasks[[#This Row],[_Days]])=0),Tasks[[#This Row],[Planned Finish]]+Tasks[[#This Row],[_Row]]/100000,"")</f>
        <v/>
      </c>
      <c r="GL145" s="42">
        <f>IF(AND(Tasks[[#This Row],[_IsLeaf]]=1,Tasks[[#This Row],[_LeafProgress]]&lt;1,OR(N(Tasks[[#This Row],[Finish Var]])&gt;0,Tasks[[#This Row],[Status]]="Late Start")),MAX(0,Tasks[[#This Row],[Finish Var]])+1-Tasks[[#This Row],[_Row]]/1000000,"")</f>
        <v/>
      </c>
      <c r="GM145" s="42">
        <f>IF(AND(Tasks[[#This Row],[_IsLeaf]]=1,N(Tasks[[#This Row],[Actual Start]])=0,Tasks[[#This Row],[_ShownFcstStart]]&gt;=StatusDate,Tasks[[#This Row],[_ShownFcstStart]]&lt;=LookaheadEnd),Tasks[[#This Row],[_ShownFcstStart]]+Tasks[[#This Row],[_Row]]/100000,"")</f>
        <v/>
      </c>
      <c r="GN145" s="42">
        <f>IF(AND(Tasks[[#This Row],[_IsLeaf]]=1,Tasks[[#This Row],[_LeafProgress]]&lt;1,Tasks[[#This Row],[_ShownFcstFinish]]&gt;=StatusDate,Tasks[[#This Row],[_ShownFcstFinish]]&lt;=LookaheadEnd),Tasks[[#This Row],[_ShownFcstFinish]]+Tasks[[#This Row],[_Row]]/100000,"")</f>
        <v/>
      </c>
      <c r="GO145" s="42">
        <f>IF(Tasks[[#This Row],[_LeafCritical]],Tasks[[#This Row],[_ShownFcstStart]]+Tasks[[#This Row],[_Row]]/100000,"")</f>
        <v/>
      </c>
      <c r="GP145" s="42">
        <f>Tasks[[#This Row],[_LeafWork]]*Tasks[[#This Row],[_LeafProgress]]</f>
        <v/>
      </c>
      <c r="GQ145" s="88">
        <f>IF(AND(Tasks[[#This Row],[_IsLeaf]]=1,Tasks[[#This Row],[_LeafProgress]]&gt;=1),IF(N(Tasks[[#This Row],[Actual Finish]])&gt;0,Tasks[[#This Row],[Actual Finish]],Tasks[[#This Row],[_ShownFcstFinish]]),"")</f>
        <v/>
      </c>
      <c r="GR145" s="42">
        <f>IF(Tasks[[#This Row],[_IsLeaf]]=1,N(Tasks[[#This Row],[Story Points]]),0)</f>
        <v/>
      </c>
      <c r="GS145" s="42">
        <f>""</f>
        <v/>
      </c>
      <c r="GT145" s="42">
        <f>IF(Tasks[[#This Row],[Task Name]]="",FALSE(),AND(Tasks[[#This Row],[_IsLeaf]]=1,N(Tasks[[#This Row],[_Days]])=0))</f>
        <v/>
      </c>
      <c r="GU145" s="88">
        <f>IF(Tasks[[#This Row],[Task Name]]="",0,IF(AND(Tasks[[#This Row],[_IsLeaf]]=1,NOT(Tasks[[#This Row],[_IsMilestone]]),N(Tasks[[#This Row],[Progress]])&gt;0),Tasks[[#This Row],[Start]],0))</f>
        <v/>
      </c>
      <c r="GV145" s="88">
        <f>IF(Tasks[[#This Row],[_DoneFrom]]=0,0,IF(Tasks[[#This Row],[Progress]]&gt;=1,Tasks[[#This Row],[Finish]],MAX(Tasks[[#This Row],[_DoneFrom]],Tasks[[#This Row],[Start]]+ROUND((Tasks[[#This Row],[Finish]]-Tasks[[#This Row],[Start]]+1)*Tasks[[#This Row],[Progress]],0)-1)))</f>
        <v/>
      </c>
      <c r="GW145" s="88">
        <f>IF(Tasks[[#This Row],[Task Name]]="",0,IF(OR(NOT(Tasks[[#This Row],[_IsLeaf]]=1),Tasks[[#This Row],[_IsMilestone]],N(Tasks[[#This Row],[Progress]])&gt;=1),0,IF(Tasks[[#This Row],[_DoneTo]]&gt;0,Tasks[[#This Row],[_DoneTo]]+1,Tasks[[#This Row],[Start]])))</f>
        <v/>
      </c>
      <c r="GX145" s="88">
        <f>IF(Tasks[[#This Row],[_RemFrom]]=0,0,Tasks[[#This Row],[Finish]])</f>
        <v/>
      </c>
      <c r="GY145" s="42">
        <f>IF(Tasks[[#This Row],[Task Name]]="",FALSE(),OR(NOT(BaselineSet),N(Tasks[[#This Row],[Baseline Start]])&gt;0))</f>
        <v/>
      </c>
      <c r="GZ145" s="42">
        <f>IF(AND(Sandbox="Yes",L_PARSE_DURATION(Tasks[[#This Row],[Sandbox Duration]])&lt;&gt;""),L_PARSE_DURATION(Tasks[[#This Row],[Sandbox Duration]]),L_PARSE_DURATION(Tasks[[#This Row],[Duration]]))</f>
        <v/>
      </c>
      <c r="HA14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5" s="42">
        <f>IF(Tasks[[#This Row],[_IsLeaf]]=1,Tasks[[#This Row],[_Row]],"")</f>
        <v/>
      </c>
      <c r="HD145" s="42">
        <f>IFERROR(INDEX(Tasks[UID],SMALL(Tasks[_PickKey],Tasks[[#This Row],[_Row]]))&amp;" "&amp;INDEX(Tasks[Task Name],SMALL(Tasks[_PickKey],Tasks[[#This Row],[_Row]])),"")</f>
        <v/>
      </c>
      <c r="HE145" s="42">
        <f>IF(Tasks[[#This Row],[Task Name]]="","",IF(Tasks[[#This Row],[_IsSummary]],NETWORKDAYS.INTL(Tasks[[#This Row],[Start]],Tasks[[#This Row],[Finish]],WorkWeek,Holidays),N(Tasks[[#This Row],[_Days]])))</f>
        <v/>
      </c>
      <c r="HF145" s="42">
        <f>IF(Tasks[[#This Row],[Expected]]="",0,((Tasks[[#This Row],[Pessimistic]]-Tasks[[#This Row],[Optimistic]])/6)^2)</f>
        <v/>
      </c>
      <c r="HG145" s="42">
        <f>IF(Tasks[[#This Row],[Expected]]="",0,Tasks[[#This Row],[Expected]]-N(Tasks[[#This Row],[_Days]]))</f>
        <v/>
      </c>
    </row>
    <row r="146">
      <c r="A146" s="21">
        <f>IF(Tasks[[#This Row],[Task Name]]="","",COUNTA(Tasks[[#Headers],[Task Name]]:Tasks[[#This Row],[Task Name]])-1)</f>
        <v/>
      </c>
      <c r="B146" s="22" t="n">
        <v>154</v>
      </c>
      <c r="C146" s="22" t="n"/>
      <c r="D146" s="23" t="n"/>
      <c r="E146" s="22" t="n"/>
      <c r="F146" s="23" t="n"/>
      <c r="G146" s="22" t="n"/>
      <c r="H146" s="22" t="n"/>
      <c r="I146" s="23" t="n"/>
      <c r="J146" s="22" t="n"/>
      <c r="K146" s="22" t="n"/>
      <c r="L146" s="23" t="n"/>
      <c r="M146" s="22" t="n"/>
      <c r="N146" s="22" t="n"/>
      <c r="O146" s="23" t="n"/>
      <c r="P146" s="22" t="n"/>
      <c r="Q146" s="22" t="n"/>
      <c r="R146" s="23" t="n"/>
      <c r="S146" s="23" t="n"/>
      <c r="T146" s="82" t="n"/>
      <c r="U146" s="23" t="n"/>
      <c r="V146" s="82" t="n"/>
      <c r="W146" s="23" t="n"/>
      <c r="X146" s="82" t="n"/>
      <c r="Y146" s="23" t="n"/>
      <c r="Z146" s="82" t="n"/>
      <c r="AA146" s="23" t="n"/>
      <c r="AB146" s="23" t="n"/>
      <c r="AC146" s="7" t="n"/>
      <c r="AD146" s="7" t="n"/>
      <c r="AE146" s="61">
        <f>IF(Tasks[[#This Row],[Task Name]]="","",IF(Tasks[[#This Row],[_IsSummary]],MIN(INDEX(Tasks[_ShownFcstStart],Tasks[[#This Row],[_Row]]+1):INDEX(Tasks[_ShownFcstStart],Tasks[[#This Row],[_Row]]+Tasks[[#This Row],[_Descendants]])),Tasks[[#This Row],[_ShownFcstStart]]))</f>
        <v/>
      </c>
      <c r="AF146" s="61">
        <f>IF(Tasks[[#This Row],[Task Name]]="","",IF(Tasks[[#This Row],[_IsSummary]],MAX(INDEX(Tasks[_ShownFcstFinish],Tasks[[#This Row],[_Row]]+1):INDEX(Tasks[_ShownFcstFinish],Tasks[[#This Row],[_Row]]+Tasks[[#This Row],[_Descendants]])),Tasks[[#This Row],[_ShownFcstFinish]]))</f>
        <v/>
      </c>
      <c r="AG146" s="21">
        <f>""</f>
        <v/>
      </c>
      <c r="AH146" s="23" t="n"/>
      <c r="AI14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6" s="7" t="n"/>
      <c r="AK146" s="22" t="n"/>
      <c r="AL146" s="23" t="n"/>
      <c r="AM146" s="7" t="n"/>
      <c r="AN146" s="21">
        <f>IF(Tasks[[#This Row],[Task Name]]="","",IF(Tasks[[#This Row],[Finish]]&gt;=Tasks[[#This Row],[Planned Finish]],NETWORKDAYS.INTL(Tasks[[#This Row],[Planned Finish]],Tasks[[#This Row],[Finish]],WorkWeek,Holidays)-1,1-NETWORKDAYS.INTL(Tasks[[#This Row],[Finish]],Tasks[[#This Row],[Planned Finish]],WorkWeek,Holidays)))</f>
        <v/>
      </c>
      <c r="AO146" s="21">
        <f>IF(Tasks[[#This Row],[Task Name]]="","",IF(Tasks[[#This Row],[Progress]]&gt;=1,"Complete",IF(OR(N(Tasks[[#This Row],[Actual Start]])&gt;0,Tasks[[#This Row],[Progress]]&gt;0),IF(Tasks[[#This Row],[Finish Var]]&gt;0,"Behind","In Progress"),IF(Tasks[[#This Row],[Planned Start]]&lt;StatusDate,"Late Start","Not Started"))))</f>
        <v/>
      </c>
      <c r="AP146" s="21">
        <f>IF(Tasks[[#This Row],[Task Name]]="","",IF(IF(Tasks[[#This Row],[_IsSummary]],COUNTIF(INDEX(Tasks[_LeafCritical],Tasks[[#This Row],[_Row]]+1):INDEX(Tasks[_LeafCritical],Tasks[[#This Row],[_Row]]+Tasks[[#This Row],[_Descendants]]),TRUE())&gt;0,Tasks[[#This Row],[_LeafCritical]]),"Yes",""))</f>
        <v/>
      </c>
      <c r="AQ146" s="61">
        <f>IF(Tasks[[#This Row],[Task Name]]="","",IF(N(Tasks[[#This Row],[Baseline Start]])&gt;0,Tasks[[#This Row],[Baseline Start]],Tasks[[#This Row],[_CalcStart]]))</f>
        <v/>
      </c>
      <c r="AR146" s="61">
        <f>IF(Tasks[[#This Row],[Task Name]]="","",IF(N(Tasks[[#This Row],[Baseline Finish]])&gt;0,Tasks[[#This Row],[Baseline Finish]],Tasks[[#This Row],[_CalcFinish]]))</f>
        <v/>
      </c>
      <c r="AS146" s="21">
        <f>IF(Tasks[[#This Row],[Task Name]]="","",IF(Tasks[[#This Row],[Start]]&gt;=Tasks[[#This Row],[Planned Start]],NETWORKDAYS.INTL(Tasks[[#This Row],[Planned Start]],Tasks[[#This Row],[Start]],WorkWeek,Holidays)-1,1-NETWORKDAYS.INTL(Tasks[[#This Row],[Start]],Tasks[[#This Row],[Planned Start]],WorkWeek,Holidays)))</f>
        <v/>
      </c>
      <c r="AT146" s="61">
        <f>IF(Tasks[[#This Row],[Task Name]]="","",IF(Tasks[[#This Row],[_IsSummary]],MIN(INDEX(Tasks[_LeafLateStart],Tasks[[#This Row],[_Row]]+1):INDEX(Tasks[_LeafLateStart],Tasks[[#This Row],[_Row]]+Tasks[[#This Row],[_Descendants]])),Tasks[[#This Row],[_LeafLateStart]]))</f>
        <v/>
      </c>
      <c r="AU146" s="61">
        <f>IF(Tasks[[#This Row],[Task Name]]="","",IF(Tasks[[#This Row],[_IsSummary]],MAX(INDEX(Tasks[_LeafLateFinish],Tasks[[#This Row],[_Row]]+1):INDEX(Tasks[_LeafLateFinish],Tasks[[#This Row],[_Row]]+Tasks[[#This Row],[_Descendants]])),Tasks[[#This Row],[_LeafLateFinish]]))</f>
        <v/>
      </c>
      <c r="AV146" s="21">
        <f>IF(Tasks[[#This Row],[Task Name]]="","",IF(Tasks[[#This Row],[_IsSummary]],MIN(INDEX(Tasks[_LeafTotalSlack],Tasks[[#This Row],[_Row]]+1):INDEX(Tasks[_LeafTotalSlack],Tasks[[#This Row],[_Row]]+Tasks[[#This Row],[_Descendants]])),Tasks[[#This Row],[_LeafTotalSlack]]))</f>
        <v/>
      </c>
      <c r="AW14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3" t="n"/>
      <c r="BA14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f>IF(Tasks[[#This Row],[Task Name]]="","",IF(Tasks[[#This Row],[_Level]]&lt;=OutlineShowLevel,"Yes","No"))</f>
        <v/>
      </c>
      <c r="BE146" s="84">
        <f>IF(Tasks[[#This Row],[Task Name]]="","",IF(Tasks[[#This Row],[_IsSummary]],SUM(INDEX(Tasks[_LeafTotalWork],Tasks[[#This Row],[_Row]]+1):INDEX(Tasks[_LeafTotalWork],Tasks[[#This Row],[_Row]]+Tasks[[#This Row],[_Descendants]])),Tasks[[#This Row],[_LeafTotalWork]]))</f>
        <v/>
      </c>
      <c r="BF146" s="23" t="n"/>
      <c r="BG14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f>""</f>
        <v/>
      </c>
      <c r="BI146" s="85" t="n"/>
      <c r="BJ146" s="22" t="n"/>
      <c r="BK146" s="21">
        <f>IF(OR(Tasks[[#This Row],[Task Name]]="",Tasks[[#This Row],[Baseline Duration]]=""),"",Tasks[[#This Row],[_SpanDays]]-N(Tasks[[#This Row],[Baseline Duration]]))</f>
        <v/>
      </c>
      <c r="BL146" s="84">
        <f>IF(OR(Tasks[[#This Row],[Task Name]]="",Tasks[[#This Row],[Baseline Work]]=""),"",Tasks[[#This Row],[Work]]-N(Tasks[[#This Row],[Baseline Work]]))</f>
        <v/>
      </c>
      <c r="BM146" s="61">
        <f>IF(Tasks[[#This Row],[Task Name]]="","",IF(OR(TakeBaseline="Yes",N(Tasks[[#This Row],[Baseline Start]])=0),Tasks[[#This Row],[Start]],Tasks[[#This Row],[Baseline Start]]))</f>
        <v/>
      </c>
      <c r="BN146" s="61">
        <f>IF(Tasks[[#This Row],[Task Name]]="","",IF(OR(TakeBaseline="Yes",N(Tasks[[#This Row],[Baseline Finish]])=0),Tasks[[#This Row],[Finish]],Tasks[[#This Row],[Baseline Finish]]))</f>
        <v/>
      </c>
      <c r="BO146" s="21">
        <f>IF(Tasks[[#This Row],[Task Name]]="","",IF(OR(TakeBaseline="Yes",N(Tasks[[#This Row],[Baseline Duration]])=0),Tasks[[#This Row],[_SpanDays]],Tasks[[#This Row],[Baseline Duration]]))</f>
        <v/>
      </c>
      <c r="BP146" s="84">
        <f>IF(Tasks[[#This Row],[Task Name]]="","",IF(OR(TakeBaseline="Yes",N(Tasks[[#This Row],[Baseline Work]])=0),Tasks[[#This Row],[Work]],Tasks[[#This Row],[Baseline Work]]))</f>
        <v/>
      </c>
      <c r="BQ146" s="7" t="n"/>
      <c r="BR146" s="7" t="n"/>
      <c r="BS146" s="22" t="n"/>
      <c r="BT146" s="86" t="n"/>
      <c r="BU146" s="23" t="n"/>
      <c r="BV146" s="23" t="n"/>
      <c r="BW146" s="23" t="n"/>
      <c r="BX146" s="87">
        <f>IF(AND(Tasks[[#This Row],[_IsLeaf]]=1,ISNUMBER(Tasks[[#This Row],[Optimistic]]),ISNUMBER(Tasks[[#This Row],[Pessimistic]])),ROUND((Tasks[[#This Row],[Optimistic]]+4*N(Tasks[[#This Row],[_Days]])+Tasks[[#This Row],[Pessimistic]])/6,1),"")</f>
        <v/>
      </c>
      <c r="BY146" s="85" t="n"/>
      <c r="BZ146" s="85" t="n"/>
      <c r="CA146" s="22" t="n"/>
      <c r="CB146" s="42">
        <f>IF(Tasks[[#This Row],[Task Name]]="","",MAX(1,N(Tasks[[#This Row],[Level]])))</f>
        <v/>
      </c>
      <c r="CC146" s="42">
        <f>ROW()-ROW(Tasks[[#Headers],[ID]])</f>
        <v/>
      </c>
      <c r="CD146" s="42">
        <f>IF(OR(Tasks[[#This Row],[Task Name]]="",Tasks[[#This Row],[_Level]]&lt;=1),0,IFERROR(LOOKUP(2,1/(Tasks[[#Headers],[_Level]]:Tasks[[#This Row],[_Level]]=Tasks[[#This Row],[_Level]]-1),ROW(Tasks[[#Headers],[_Level]]:Tasks[[#This Row],[_Level]])),0))</f>
        <v/>
      </c>
      <c r="CE146" s="42">
        <f>IFERROR(N(INDEX(Tasks[_Level],Tasks[[#This Row],[_Row]]+1)),0)</f>
        <v/>
      </c>
      <c r="CF146" s="42">
        <f>AND(Tasks[[#This Row],[Task Name]]&lt;&gt;"",Tasks[[#This Row],[_NextLevel]]&gt;Tasks[[#This Row],[_Level]])</f>
        <v/>
      </c>
      <c r="CG146" s="42">
        <f>IF(Tasks[[#This Row],[_IsSummary]],COUNTIF(Tasks[WBS],Tasks[[#This Row],[WBS]]&amp;".*"),0)</f>
        <v/>
      </c>
      <c r="CH146" s="42">
        <f>IF(AND(Tasks[[#This Row],[Task Name]]&lt;&gt;"",NOT(Tasks[[#This Row],[_IsSummary]])),1,0)</f>
        <v/>
      </c>
      <c r="CI146" s="42">
        <f>IF(N(Tasks[[#This Row],[_Pred1UID]])=0,0,IFERROR(MATCH(Tasks[[#This Row],[_Pred1UID]],Tasks[UID],0),-1))</f>
        <v/>
      </c>
      <c r="CJ146" s="42">
        <f>IF(N(Tasks[[#This Row],[_Pred2UID]])=0,0,IFERROR(MATCH(Tasks[[#This Row],[_Pred2UID]],Tasks[UID],0),-1))</f>
        <v/>
      </c>
      <c r="CK146" s="42">
        <f>IF(N(Tasks[[#This Row],[_Pred3UID]])=0,0,IFERROR(MATCH(Tasks[[#This Row],[_Pred3UID]],Tasks[UID],0),-1))</f>
        <v/>
      </c>
      <c r="CL146" s="42">
        <f>IF(N(Tasks[[#This Row],[_Pred4UID]])=0,0,IFERROR(MATCH(Tasks[[#This Row],[_Pred4UID]],Tasks[UID],0),-1))</f>
        <v/>
      </c>
      <c r="CM14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6" s="88">
        <f>IF(N(Tasks[[#This Row],[Constraint Date]])=0,0,IF(AND(OR(Tasks[[#This Row],[_ConstraintCode]]=3,Tasks[[#This Row],[_ConstraintCode]]=6,Tasks[[#This Row],[_ConstraintCode]]=7),N(Tasks[[#This Row],[_Days]])&gt;1),WORKDAY.INTL(N(Tasks[[#This Row],[Constraint Date]]),-(N(Tasks[[#This Row],[_Days]])-1),WorkWeek,Holidays),N(Tasks[[#This Row],[Constraint Date]])))</f>
        <v/>
      </c>
      <c r="CO146" s="88">
        <f>IF(OR(Tasks[[#This Row],[_ConstraintCode]]=2,Tasks[[#This Row],[_ConstraintCode]]=3,Tasks[[#This Row],[_ConstraintCode]]=4,Tasks[[#This Row],[_ConstraintCode]]=6),Tasks[[#This Row],[_ConstraintStart]],0)</f>
        <v/>
      </c>
      <c r="CP146" s="88">
        <f>IF(OR(Tasks[[#This Row],[_ConstraintCode]]=2,Tasks[[#This Row],[_ConstraintCode]]=3,Tasks[[#This Row],[_ConstraintCode]]=5,Tasks[[#This Row],[_ConstraintCode]]=7),Tasks[[#This Row],[_ConstraintStart]],2958465)</f>
        <v/>
      </c>
      <c r="CQ14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6" s="88">
        <f>IF(NOT(Tasks[[#This Row],[_IsLeaf]]=1),"",IF(N(Tasks[[#This Row],[_Days]])&lt;=0,Tasks[[#This Row],[_LeafCalcStart]],WORKDAY.INTL(Tasks[[#This Row],[_LeafCalcStart]],Tasks[[#This Row],[_Days]]-1,WorkWeek,Holidays)))</f>
        <v/>
      </c>
      <c r="CS14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6" s="42">
        <f>IF(Tasks[[#This Row],[_Predecessors]]="","",TRIM(MID(SUBSTITUTE(SUBSTITUTE(SUBSTITUTE(UPPER(Tasks[[#This Row],[_Predecessors]]),";",",")," ",""),",",REPT(" ",99)),1,99)))</f>
        <v/>
      </c>
      <c r="CV146" s="42">
        <f>IF(Tasks[[#This Row],[_Pred1Text]]="","",IFERROR(VALUE(LEFT(Tasks[[#This Row],[_Pred1Text]],MIN(FIND("F",Tasks[[#This Row],[_Pred1Text]]&amp;"F"),FIND("S",Tasks[[#This Row],[_Pred1Text]]&amp;"S"),FIND("+",Tasks[[#This Row],[_Pred1Text]]&amp;"+"),FIND("-",Tasks[[#This Row],[_Pred1Text]]&amp;"-"))-1)),""))</f>
        <v/>
      </c>
      <c r="CW14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6" s="42">
        <f>IF(Tasks[[#This Row],[_Pred1Text]]="","",TRIM(MID(SUBSTITUTE(SUBSTITUTE(SUBSTITUTE(UPPER(Tasks[[#This Row],[_Predecessors]]),";",",")," ",""),",",REPT(" ",99)),100,99)))</f>
        <v/>
      </c>
      <c r="CZ146" s="42">
        <f>IF(Tasks[[#This Row],[_Pred2Text]]="","",IFERROR(VALUE(LEFT(Tasks[[#This Row],[_Pred2Text]],MIN(FIND("F",Tasks[[#This Row],[_Pred2Text]]&amp;"F"),FIND("S",Tasks[[#This Row],[_Pred2Text]]&amp;"S"),FIND("+",Tasks[[#This Row],[_Pred2Text]]&amp;"+"),FIND("-",Tasks[[#This Row],[_Pred2Text]]&amp;"-"))-1)),""))</f>
        <v/>
      </c>
      <c r="DA14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6" s="42">
        <f>IF(Tasks[[#This Row],[_Pred2Text]]="","",TRIM(MID(SUBSTITUTE(SUBSTITUTE(SUBSTITUTE(UPPER(Tasks[[#This Row],[_Predecessors]]),";",",")," ",""),",",REPT(" ",99)),199,99)))</f>
        <v/>
      </c>
      <c r="DD146" s="42">
        <f>IF(Tasks[[#This Row],[_Pred3Text]]="","",IFERROR(VALUE(LEFT(Tasks[[#This Row],[_Pred3Text]],MIN(FIND("F",Tasks[[#This Row],[_Pred3Text]]&amp;"F"),FIND("S",Tasks[[#This Row],[_Pred3Text]]&amp;"S"),FIND("+",Tasks[[#This Row],[_Pred3Text]]&amp;"+"),FIND("-",Tasks[[#This Row],[_Pred3Text]]&amp;"-"))-1)),""))</f>
        <v/>
      </c>
      <c r="DE14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6" s="42">
        <f>IF(Tasks[[#This Row],[_Pred3Text]]="","",TRIM(MID(SUBSTITUTE(SUBSTITUTE(SUBSTITUTE(UPPER(Tasks[[#This Row],[_Predecessors]]),";",",")," ",""),",",REPT(" ",99)),298,99)))</f>
        <v/>
      </c>
      <c r="DH146" s="42">
        <f>IF(Tasks[[#This Row],[_Pred4Text]]="","",IFERROR(VALUE(LEFT(Tasks[[#This Row],[_Pred4Text]],MIN(FIND("F",Tasks[[#This Row],[_Pred4Text]]&amp;"F"),FIND("S",Tasks[[#This Row],[_Pred4Text]]&amp;"S"),FIND("+",Tasks[[#This Row],[_Pred4Text]]&amp;"+"),FIND("-",Tasks[[#This Row],[_Pred4Text]]&amp;"-"))-1)),""))</f>
        <v/>
      </c>
      <c r="DI14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6" s="42">
        <f>IF(OR(Tasks[[#This Row],[Task Name]]="",Tasks[[#This Row],[_Resources]]=""),"",TRIM(MID(SUBSTITUTE(Tasks[[#This Row],[_Resources]],",",REPT(" ",99)),1,99)))</f>
        <v/>
      </c>
      <c r="DL146" s="42">
        <f>IF(Tasks[[#This Row],[_Res1Text]]="","",TRIM(MID(SUBSTITUTE(Tasks[[#This Row],[_Resources]],",",REPT(" ",99)),100,99)))</f>
        <v/>
      </c>
      <c r="DM146" s="42">
        <f>IF(Tasks[[#This Row],[_Res2Text]]="","",TRIM(MID(SUBSTITUTE(Tasks[[#This Row],[_Resources]],",",REPT(" ",99)),199,99)))</f>
        <v/>
      </c>
      <c r="DN146" s="42">
        <f>IF(Tasks[[#This Row],[_Res3Text]]="","",TRIM(MID(SUBSTITUTE(Tasks[[#This Row],[_Resources]],",",REPT(" ",99)),298,99)))</f>
        <v/>
      </c>
      <c r="DO146" s="42">
        <f>IF(Tasks[[#This Row],[_Res1Text]]="",0,IFERROR(MATCH(TRIM(LEFT(Tasks[[#This Row],[_Res1Text]],FIND("[",Tasks[[#This Row],[_Res1Text]]&amp;"[")-1)),res_Name,0),IFERROR(MATCH(TRIM(LEFT(Tasks[[#This Row],[_Res1Text]],FIND("[",Tasks[[#This Row],[_Res1Text]]&amp;"[")-1)),res_Initials,0),0)))</f>
        <v/>
      </c>
      <c r="DP146" s="42">
        <f>IF(Tasks[[#This Row],[_Res2Text]]="",0,IFERROR(MATCH(TRIM(LEFT(Tasks[[#This Row],[_Res2Text]],FIND("[",Tasks[[#This Row],[_Res2Text]]&amp;"[")-1)),res_Name,0),IFERROR(MATCH(TRIM(LEFT(Tasks[[#This Row],[_Res2Text]],FIND("[",Tasks[[#This Row],[_Res2Text]]&amp;"[")-1)),res_Initials,0),0)))</f>
        <v/>
      </c>
      <c r="DQ146" s="42">
        <f>IF(Tasks[[#This Row],[_Res3Text]]="",0,IFERROR(MATCH(TRIM(LEFT(Tasks[[#This Row],[_Res3Text]],FIND("[",Tasks[[#This Row],[_Res3Text]]&amp;"[")-1)),res_Name,0),IFERROR(MATCH(TRIM(LEFT(Tasks[[#This Row],[_Res3Text]],FIND("[",Tasks[[#This Row],[_Res3Text]]&amp;"[")-1)),res_Initials,0),0)))</f>
        <v/>
      </c>
      <c r="DR146" s="42">
        <f>IF(Tasks[[#This Row],[_Res4Text]]="",0,IFERROR(MATCH(TRIM(LEFT(Tasks[[#This Row],[_Res4Text]],FIND("[",Tasks[[#This Row],[_Res4Text]]&amp;"[")-1)),res_Name,0),IFERROR(MATCH(TRIM(LEFT(Tasks[[#This Row],[_Res4Text]],FIND("[",Tasks[[#This Row],[_Res4Text]]&amp;"[")-1)),res_Initials,0),0)))</f>
        <v/>
      </c>
      <c r="DS146" s="42">
        <f>IF(Tasks[[#This Row],[_Res1Text]]="","",IF(Tasks[[#This Row],[_Res1Row]]&gt;0,INDEX(res_Name,Tasks[[#This Row],[_Res1Row]]),TRIM(LEFT(Tasks[[#This Row],[_Res1Text]],FIND("[",Tasks[[#This Row],[_Res1Text]]&amp;"[")-1))))</f>
        <v/>
      </c>
      <c r="DT14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6" s="42">
        <f>IF(NOT(Tasks[[#This Row],[_IsLeaf]]=1),0,(Tasks[[#This Row],[_Resource1]]&lt;&gt;"")+(Tasks[[#This Row],[_Res2]]&lt;&gt;"")+(Tasks[[#This Row],[_Res3]]&lt;&gt;"")+(Tasks[[#This Row],[_Res4]]&lt;&gt;""))</f>
        <v/>
      </c>
      <c r="DV146" s="42">
        <f>IF(Tasks[[#This Row],[_Res2Text]]="","",IF(Tasks[[#This Row],[_Res2Row]]&gt;0,INDEX(res_Name,Tasks[[#This Row],[_Res2Row]]),TRIM(LEFT(Tasks[[#This Row],[_Res2Text]],FIND("[",Tasks[[#This Row],[_Res2Text]]&amp;"[")-1))))</f>
        <v/>
      </c>
      <c r="DW14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6" s="42">
        <f>IF(OR(NOT(Tasks[[#This Row],[_IsLeaf]]=1),Tasks[[#This Row],[_Res2Row]]=0),0,N(Tasks[[#This Row],[_Days]])*HoursPerDay*IF(Tasks[[#This Row],[_Res2Units]]="",DefaultUnits,Tasks[[#This Row],[_Res2Units]]))</f>
        <v/>
      </c>
      <c r="DY146" s="42">
        <f>IF(AND(AND(Tasks[[#This Row],[_IsLeaf]]=1,Tasks[[#This Row],[_LeafTotalWork]]&gt;0),Tasks[[#This Row],[_Res2Work]]&gt;0),Tasks[[#This Row],[_Res2Work]]/(Tasks[[#This Row],[_FinishWorkday]]-Tasks[[#This Row],[_StartWorkday]]+1),0)</f>
        <v/>
      </c>
      <c r="DZ146" s="42">
        <f>Tasks[[#This Row],[_Res2WorkPerWD]]*MAX(0,Tasks[[#This Row],[_StartWorkday]]-1)</f>
        <v/>
      </c>
      <c r="EA146" s="42">
        <f>Tasks[[#This Row],[_Res2Work]]*Tasks[[#This Row],[_LeafProgress]]</f>
        <v/>
      </c>
      <c r="EB146" s="42">
        <f>IF(Tasks[[#This Row],[_Res3Text]]="","",IF(Tasks[[#This Row],[_Res3Row]]&gt;0,INDEX(res_Name,Tasks[[#This Row],[_Res3Row]]),TRIM(LEFT(Tasks[[#This Row],[_Res3Text]],FIND("[",Tasks[[#This Row],[_Res3Text]]&amp;"[")-1))))</f>
        <v/>
      </c>
      <c r="EC14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6" s="42">
        <f>IF(OR(NOT(Tasks[[#This Row],[_IsLeaf]]=1),Tasks[[#This Row],[_Res3Row]]=0),0,N(Tasks[[#This Row],[_Days]])*HoursPerDay*IF(Tasks[[#This Row],[_Res3Units]]="",DefaultUnits,Tasks[[#This Row],[_Res3Units]]))</f>
        <v/>
      </c>
      <c r="EE146" s="42">
        <f>IF(AND(AND(Tasks[[#This Row],[_IsLeaf]]=1,Tasks[[#This Row],[_LeafTotalWork]]&gt;0),Tasks[[#This Row],[_Res3Work]]&gt;0),Tasks[[#This Row],[_Res3Work]]/(Tasks[[#This Row],[_FinishWorkday]]-Tasks[[#This Row],[_StartWorkday]]+1),0)</f>
        <v/>
      </c>
      <c r="EF146" s="42">
        <f>Tasks[[#This Row],[_Res3WorkPerWD]]*MAX(0,Tasks[[#This Row],[_StartWorkday]]-1)</f>
        <v/>
      </c>
      <c r="EG146" s="42">
        <f>Tasks[[#This Row],[_Res3Work]]*Tasks[[#This Row],[_LeafProgress]]</f>
        <v/>
      </c>
      <c r="EH146" s="42">
        <f>IF(Tasks[[#This Row],[_Res4Text]]="","",IF(Tasks[[#This Row],[_Res4Row]]&gt;0,INDEX(res_Name,Tasks[[#This Row],[_Res4Row]]),TRIM(LEFT(Tasks[[#This Row],[_Res4Text]],FIND("[",Tasks[[#This Row],[_Res4Text]]&amp;"[")-1))))</f>
        <v/>
      </c>
      <c r="EI14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6" s="42">
        <f>IF(OR(NOT(Tasks[[#This Row],[_IsLeaf]]=1),Tasks[[#This Row],[_Res4Row]]=0),0,N(Tasks[[#This Row],[_Days]])*HoursPerDay*IF(Tasks[[#This Row],[_Res4Units]]="",DefaultUnits,Tasks[[#This Row],[_Res4Units]]))</f>
        <v/>
      </c>
      <c r="EK146" s="42">
        <f>IF(AND(AND(Tasks[[#This Row],[_IsLeaf]]=1,Tasks[[#This Row],[_LeafTotalWork]]&gt;0),Tasks[[#This Row],[_Res4Work]]&gt;0),Tasks[[#This Row],[_Res4Work]]/(Tasks[[#This Row],[_FinishWorkday]]-Tasks[[#This Row],[_StartWorkday]]+1),0)</f>
        <v/>
      </c>
      <c r="EL146" s="42">
        <f>Tasks[[#This Row],[_Res4WorkPerWD]]*MAX(0,Tasks[[#This Row],[_StartWorkday]]-1)</f>
        <v/>
      </c>
      <c r="EM146" s="42">
        <f>Tasks[[#This Row],[_Res4Work]]*Tasks[[#This Row],[_LeafProgress]]</f>
        <v/>
      </c>
      <c r="EN146" s="42">
        <f>IF(ISNUMBER(Tasks[[#This Row],[% Complete]]),Tasks[[#This Row],[% Complete]],IF(Tasks[[#This Row],[Stage]]="",0,IFERROR(INDEX(stg_Pct,MATCH(Tasks[[#This Row],[Stage]],stg_Name,0)),0)))</f>
        <v/>
      </c>
      <c r="EO146" s="42">
        <f>IF(NOT(Tasks[[#This Row],[_IsLeaf]]=1),0,IF(N(Tasks[[#This Row],[Actual Finish]])&gt;0,1,MIN(1,Tasks[[#This Row],[_Pct]])))</f>
        <v/>
      </c>
      <c r="EP146" s="42">
        <f>IF(OR(NOT(Tasks[[#This Row],[_IsLeaf]]=1),Tasks[[#This Row],[_Res1Row]]=0),0,N(Tasks[[#This Row],[_Days]])*HoursPerDay*IF(Tasks[[#This Row],[_Units1]]="",DefaultUnits,Tasks[[#This Row],[_Units1]]))</f>
        <v/>
      </c>
      <c r="EQ146" s="42">
        <f>Tasks[[#This Row],[_LeafWork]]+Tasks[[#This Row],[_Res2Work]]+Tasks[[#This Row],[_Res3Work]]+Tasks[[#This Row],[_Res4Work]]</f>
        <v/>
      </c>
      <c r="ER14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6" s="42">
        <f>IF(NOT(Tasks[[#This Row],[_IsLeaf]]=1),0,MAX(_xlfn.MAXIFS(Tasks[_Row],Tasks[_Pred1UID],Tasks[[#This Row],[UID]]),_xlfn.MAXIFS(Tasks[_Row],Tasks[_Pred2UID],Tasks[[#This Row],[UID]]),_xlfn.MAXIFS(Tasks[_Row],Tasks[_Pred3UID],Tasks[[#This Row],[UID]]),_xlfn.MAXIFS(Tasks[_Row],Tasks[_Pred4UID],Tasks[[#This Row],[UID]])))</f>
        <v/>
      </c>
      <c r="FA14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6" s="88">
        <f>IF(NOT(Tasks[[#This Row],[_IsLeaf]]=1),"",IF(N(Tasks[[#This Row],[_Days]])&lt;=0,Tasks[[#This Row],[_LeafLateFinish]],WORKDAY.INTL(Tasks[[#This Row],[_LeafLateFinish]],-(Tasks[[#This Row],[_Days]]-1),WorkWeek,Holidays)))</f>
        <v/>
      </c>
      <c r="FD14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6" s="42">
        <f>AND(Tasks[[#This Row],[_IsLeaf]]=1,Tasks[[#This Row],[_LeafProgress]]&lt;1,N(Tasks[[#This Row],[_LeafTotalSlack]])&lt;=CriticalSlackDays)</f>
        <v/>
      </c>
      <c r="FF146" s="42">
        <f>IF(AND(Tasks[[#This Row],[_IsLeaf]]=1,Tasks[[#This Row],[_ConstraintCode]]=1,Tasks[[#This Row],[Mode]]&lt;&gt;"Manual",N(Tasks[[#This Row],[Actual Start]])=0),MAX(0,N(Tasks[[#This Row],[Free Slack]])),0)</f>
        <v/>
      </c>
      <c r="FG146" s="88">
        <f>IF(NOT(Tasks[[#This Row],[_IsLeaf]]=1),"",IF(Tasks[[#This Row],[_AlapShift]]=0,Tasks[[#This Row],[_LeafCalcStart]],WORKDAY.INTL(Tasks[[#This Row],[_LeafCalcStart]],Tasks[[#This Row],[_AlapShift]],WorkWeek,Holidays)))</f>
        <v/>
      </c>
      <c r="FH146" s="88">
        <f>IF(NOT(Tasks[[#This Row],[_IsLeaf]]=1),"",IF(Tasks[[#This Row],[_AlapShift]]=0,Tasks[[#This Row],[_LeafCalcFinish]],WORKDAY.INTL(Tasks[[#This Row],[_LeafCalcFinish]],Tasks[[#This Row],[_AlapShift]],WorkWeek,Holidays)))</f>
        <v/>
      </c>
      <c r="FI146" s="88">
        <f>IF(NOT(Tasks[[#This Row],[_IsLeaf]]=1),"",IF(Tasks[[#This Row],[_AlapShift]]=0,Tasks[[#This Row],[_LeafFcstStart]],WORKDAY.INTL(Tasks[[#This Row],[_LeafFcstStart]],Tasks[[#This Row],[_AlapShift]],WorkWeek,Holidays)))</f>
        <v/>
      </c>
      <c r="FJ146" s="88">
        <f>IF(NOT(Tasks[[#This Row],[_IsLeaf]]=1),"",IF(Tasks[[#This Row],[_AlapShift]]=0,Tasks[[#This Row],[_LeafFcstFinish]],WORKDAY.INTL(Tasks[[#This Row],[_LeafFcstFinish]],Tasks[[#This Row],[_AlapShift]],WorkWeek,Holidays)))</f>
        <v/>
      </c>
      <c r="FK146" s="88">
        <f>IF(Tasks[[#This Row],[Task Name]]="","",IF(Tasks[[#This Row],[_IsSummary]],MIN(INDEX(Tasks[_ShownCalcStart],Tasks[[#This Row],[_Row]]+1):INDEX(Tasks[_ShownCalcStart],Tasks[[#This Row],[_Row]]+Tasks[[#This Row],[_Descendants]])),Tasks[[#This Row],[_ShownCalcStart]]))</f>
        <v/>
      </c>
      <c r="FL146" s="88">
        <f>IF(Tasks[[#This Row],[Task Name]]="","",IF(Tasks[[#This Row],[_IsSummary]],MAX(INDEX(Tasks[_ShownCalcFinish],Tasks[[#This Row],[_Row]]+1):INDEX(Tasks[_ShownCalcFinish],Tasks[[#This Row],[_Row]]+Tasks[[#This Row],[_Descendants]])),Tasks[[#This Row],[_ShownCalcFinish]]))</f>
        <v/>
      </c>
      <c r="FM14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6" s="42">
        <f>IF(AND(Tasks[[#This Row],[_IsLeaf]]=1,Tasks[[#This Row],[_LeafTotalWork]]&gt;0),NETWORKDAYS.INTL(ProjectStart,Tasks[[#This Row],[_ShownFcstStart]],WorkWeek,Holidays),0)</f>
        <v/>
      </c>
      <c r="FZ146" s="42">
        <f>IF(AND(Tasks[[#This Row],[_IsLeaf]]=1,Tasks[[#This Row],[_LeafTotalWork]]&gt;0),MAX(Tasks[[#This Row],[_StartWorkday]],NETWORKDAYS.INTL(ProjectStart,Tasks[[#This Row],[_ShownFcstFinish]],WorkWeek,Holidays)),0)</f>
        <v/>
      </c>
      <c r="GA146" s="42">
        <f>IF(AND(Tasks[[#This Row],[_IsLeaf]]=1,Tasks[[#This Row],[_LeafTotalWork]]&gt;0),Tasks[[#This Row],[_LeafWork]]/(Tasks[[#This Row],[_FinishWorkday]]-Tasks[[#This Row],[_StartWorkday]]+1),0)</f>
        <v/>
      </c>
      <c r="GB146" s="42">
        <f>Tasks[[#This Row],[_WorkPerWorkday]]*(Tasks[[#This Row],[_StartWorkday]]-1)</f>
        <v/>
      </c>
      <c r="GC146" s="42">
        <f>IF(Tasks[[#This Row],[_IsLeaf]]=1,MAX(N(Tasks[[#This Row],[_Days]]),0.1),0)</f>
        <v/>
      </c>
      <c r="GD146" s="42">
        <f>Tasks[[#This Row],[_WeightDur]]*Tasks[[#This Row],[_LeafProgress]]</f>
        <v/>
      </c>
      <c r="GE146" s="42">
        <f>Tasks[[#This Row],[_WeightDur]]*Tasks[[#This Row],[_PlannedPct]]</f>
        <v/>
      </c>
      <c r="GF14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6" s="42">
        <f>IF(AND(Tasks[[#This Row],[_IsLeaf]]=1,N(Tasks[[#This Row],[_Days]])=0,Tasks[[#This Row],[_LeafProgress]]&lt;1),Tasks[[#This Row],[_ShownFcstFinish]]+Tasks[[#This Row],[_Row]]/100000,"")</f>
        <v/>
      </c>
      <c r="GH14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6" s="42">
        <f>IF(Tasks[[#This Row],[Task Name]]="","",LEFT(Tasks[[#This Row],[WBS]],FIND(".",Tasks[[#This Row],[WBS]]&amp;".")-1))</f>
        <v/>
      </c>
      <c r="GJ146" s="42">
        <f>IF(AND(Tasks[[#This Row],[Task Name]]&lt;&gt;"",Tasks[[#This Row],[_Level]]=1),Tasks[[#This Row],[_Row]],"")</f>
        <v/>
      </c>
      <c r="GK146" s="42">
        <f>IF(AND(Tasks[[#This Row],[_IsLeaf]]=1,N(Tasks[[#This Row],[_Days]])=0),Tasks[[#This Row],[Planned Finish]]+Tasks[[#This Row],[_Row]]/100000,"")</f>
        <v/>
      </c>
      <c r="GL146" s="42">
        <f>IF(AND(Tasks[[#This Row],[_IsLeaf]]=1,Tasks[[#This Row],[_LeafProgress]]&lt;1,OR(N(Tasks[[#This Row],[Finish Var]])&gt;0,Tasks[[#This Row],[Status]]="Late Start")),MAX(0,Tasks[[#This Row],[Finish Var]])+1-Tasks[[#This Row],[_Row]]/1000000,"")</f>
        <v/>
      </c>
      <c r="GM146" s="42">
        <f>IF(AND(Tasks[[#This Row],[_IsLeaf]]=1,N(Tasks[[#This Row],[Actual Start]])=0,Tasks[[#This Row],[_ShownFcstStart]]&gt;=StatusDate,Tasks[[#This Row],[_ShownFcstStart]]&lt;=LookaheadEnd),Tasks[[#This Row],[_ShownFcstStart]]+Tasks[[#This Row],[_Row]]/100000,"")</f>
        <v/>
      </c>
      <c r="GN146" s="42">
        <f>IF(AND(Tasks[[#This Row],[_IsLeaf]]=1,Tasks[[#This Row],[_LeafProgress]]&lt;1,Tasks[[#This Row],[_ShownFcstFinish]]&gt;=StatusDate,Tasks[[#This Row],[_ShownFcstFinish]]&lt;=LookaheadEnd),Tasks[[#This Row],[_ShownFcstFinish]]+Tasks[[#This Row],[_Row]]/100000,"")</f>
        <v/>
      </c>
      <c r="GO146" s="42">
        <f>IF(Tasks[[#This Row],[_LeafCritical]],Tasks[[#This Row],[_ShownFcstStart]]+Tasks[[#This Row],[_Row]]/100000,"")</f>
        <v/>
      </c>
      <c r="GP146" s="42">
        <f>Tasks[[#This Row],[_LeafWork]]*Tasks[[#This Row],[_LeafProgress]]</f>
        <v/>
      </c>
      <c r="GQ146" s="88">
        <f>IF(AND(Tasks[[#This Row],[_IsLeaf]]=1,Tasks[[#This Row],[_LeafProgress]]&gt;=1),IF(N(Tasks[[#This Row],[Actual Finish]])&gt;0,Tasks[[#This Row],[Actual Finish]],Tasks[[#This Row],[_ShownFcstFinish]]),"")</f>
        <v/>
      </c>
      <c r="GR146" s="42">
        <f>IF(Tasks[[#This Row],[_IsLeaf]]=1,N(Tasks[[#This Row],[Story Points]]),0)</f>
        <v/>
      </c>
      <c r="GS146" s="42">
        <f>""</f>
        <v/>
      </c>
      <c r="GT146" s="42">
        <f>IF(Tasks[[#This Row],[Task Name]]="",FALSE(),AND(Tasks[[#This Row],[_IsLeaf]]=1,N(Tasks[[#This Row],[_Days]])=0))</f>
        <v/>
      </c>
      <c r="GU146" s="88">
        <f>IF(Tasks[[#This Row],[Task Name]]="",0,IF(AND(Tasks[[#This Row],[_IsLeaf]]=1,NOT(Tasks[[#This Row],[_IsMilestone]]),N(Tasks[[#This Row],[Progress]])&gt;0),Tasks[[#This Row],[Start]],0))</f>
        <v/>
      </c>
      <c r="GV146" s="88">
        <f>IF(Tasks[[#This Row],[_DoneFrom]]=0,0,IF(Tasks[[#This Row],[Progress]]&gt;=1,Tasks[[#This Row],[Finish]],MAX(Tasks[[#This Row],[_DoneFrom]],Tasks[[#This Row],[Start]]+ROUND((Tasks[[#This Row],[Finish]]-Tasks[[#This Row],[Start]]+1)*Tasks[[#This Row],[Progress]],0)-1)))</f>
        <v/>
      </c>
      <c r="GW146" s="88">
        <f>IF(Tasks[[#This Row],[Task Name]]="",0,IF(OR(NOT(Tasks[[#This Row],[_IsLeaf]]=1),Tasks[[#This Row],[_IsMilestone]],N(Tasks[[#This Row],[Progress]])&gt;=1),0,IF(Tasks[[#This Row],[_DoneTo]]&gt;0,Tasks[[#This Row],[_DoneTo]]+1,Tasks[[#This Row],[Start]])))</f>
        <v/>
      </c>
      <c r="GX146" s="88">
        <f>IF(Tasks[[#This Row],[_RemFrom]]=0,0,Tasks[[#This Row],[Finish]])</f>
        <v/>
      </c>
      <c r="GY146" s="42">
        <f>IF(Tasks[[#This Row],[Task Name]]="",FALSE(),OR(NOT(BaselineSet),N(Tasks[[#This Row],[Baseline Start]])&gt;0))</f>
        <v/>
      </c>
      <c r="GZ146" s="42">
        <f>IF(AND(Sandbox="Yes",L_PARSE_DURATION(Tasks[[#This Row],[Sandbox Duration]])&lt;&gt;""),L_PARSE_DURATION(Tasks[[#This Row],[Sandbox Duration]]),L_PARSE_DURATION(Tasks[[#This Row],[Duration]]))</f>
        <v/>
      </c>
      <c r="HA14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6" s="42">
        <f>IF(Tasks[[#This Row],[_IsLeaf]]=1,Tasks[[#This Row],[_Row]],"")</f>
        <v/>
      </c>
      <c r="HD146" s="42">
        <f>IFERROR(INDEX(Tasks[UID],SMALL(Tasks[_PickKey],Tasks[[#This Row],[_Row]]))&amp;" "&amp;INDEX(Tasks[Task Name],SMALL(Tasks[_PickKey],Tasks[[#This Row],[_Row]])),"")</f>
        <v/>
      </c>
      <c r="HE146" s="42">
        <f>IF(Tasks[[#This Row],[Task Name]]="","",IF(Tasks[[#This Row],[_IsSummary]],NETWORKDAYS.INTL(Tasks[[#This Row],[Start]],Tasks[[#This Row],[Finish]],WorkWeek,Holidays),N(Tasks[[#This Row],[_Days]])))</f>
        <v/>
      </c>
      <c r="HF146" s="42">
        <f>IF(Tasks[[#This Row],[Expected]]="",0,((Tasks[[#This Row],[Pessimistic]]-Tasks[[#This Row],[Optimistic]])/6)^2)</f>
        <v/>
      </c>
      <c r="HG146" s="42">
        <f>IF(Tasks[[#This Row],[Expected]]="",0,Tasks[[#This Row],[Expected]]-N(Tasks[[#This Row],[_Days]]))</f>
        <v/>
      </c>
    </row>
    <row r="147">
      <c r="A147" s="21">
        <f>IF(Tasks[[#This Row],[Task Name]]="","",COUNTA(Tasks[[#Headers],[Task Name]]:Tasks[[#This Row],[Task Name]])-1)</f>
        <v/>
      </c>
      <c r="B147" s="22" t="n">
        <v>155</v>
      </c>
      <c r="C147" s="22" t="n"/>
      <c r="D147" s="23" t="n"/>
      <c r="E147" s="22" t="n"/>
      <c r="F147" s="23" t="n"/>
      <c r="G147" s="22" t="n"/>
      <c r="H147" s="22" t="n"/>
      <c r="I147" s="23" t="n"/>
      <c r="J147" s="22" t="n"/>
      <c r="K147" s="22" t="n"/>
      <c r="L147" s="23" t="n"/>
      <c r="M147" s="22" t="n"/>
      <c r="N147" s="22" t="n"/>
      <c r="O147" s="23" t="n"/>
      <c r="P147" s="22" t="n"/>
      <c r="Q147" s="22" t="n"/>
      <c r="R147" s="23" t="n"/>
      <c r="S147" s="23" t="n"/>
      <c r="T147" s="82" t="n"/>
      <c r="U147" s="23" t="n"/>
      <c r="V147" s="82" t="n"/>
      <c r="W147" s="23" t="n"/>
      <c r="X147" s="82" t="n"/>
      <c r="Y147" s="23" t="n"/>
      <c r="Z147" s="82" t="n"/>
      <c r="AA147" s="23" t="n"/>
      <c r="AB147" s="23" t="n"/>
      <c r="AC147" s="7" t="n"/>
      <c r="AD147" s="7" t="n"/>
      <c r="AE147" s="61">
        <f>IF(Tasks[[#This Row],[Task Name]]="","",IF(Tasks[[#This Row],[_IsSummary]],MIN(INDEX(Tasks[_ShownFcstStart],Tasks[[#This Row],[_Row]]+1):INDEX(Tasks[_ShownFcstStart],Tasks[[#This Row],[_Row]]+Tasks[[#This Row],[_Descendants]])),Tasks[[#This Row],[_ShownFcstStart]]))</f>
        <v/>
      </c>
      <c r="AF147" s="61">
        <f>IF(Tasks[[#This Row],[Task Name]]="","",IF(Tasks[[#This Row],[_IsSummary]],MAX(INDEX(Tasks[_ShownFcstFinish],Tasks[[#This Row],[_Row]]+1):INDEX(Tasks[_ShownFcstFinish],Tasks[[#This Row],[_Row]]+Tasks[[#This Row],[_Descendants]])),Tasks[[#This Row],[_ShownFcstFinish]]))</f>
        <v/>
      </c>
      <c r="AG147" s="21">
        <f>""</f>
        <v/>
      </c>
      <c r="AH147" s="23" t="n"/>
      <c r="AI14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7" s="7" t="n"/>
      <c r="AK147" s="22" t="n"/>
      <c r="AL147" s="23" t="n"/>
      <c r="AM147" s="7" t="n"/>
      <c r="AN147" s="21">
        <f>IF(Tasks[[#This Row],[Task Name]]="","",IF(Tasks[[#This Row],[Finish]]&gt;=Tasks[[#This Row],[Planned Finish]],NETWORKDAYS.INTL(Tasks[[#This Row],[Planned Finish]],Tasks[[#This Row],[Finish]],WorkWeek,Holidays)-1,1-NETWORKDAYS.INTL(Tasks[[#This Row],[Finish]],Tasks[[#This Row],[Planned Finish]],WorkWeek,Holidays)))</f>
        <v/>
      </c>
      <c r="AO147" s="21">
        <f>IF(Tasks[[#This Row],[Task Name]]="","",IF(Tasks[[#This Row],[Progress]]&gt;=1,"Complete",IF(OR(N(Tasks[[#This Row],[Actual Start]])&gt;0,Tasks[[#This Row],[Progress]]&gt;0),IF(Tasks[[#This Row],[Finish Var]]&gt;0,"Behind","In Progress"),IF(Tasks[[#This Row],[Planned Start]]&lt;StatusDate,"Late Start","Not Started"))))</f>
        <v/>
      </c>
      <c r="AP147" s="21">
        <f>IF(Tasks[[#This Row],[Task Name]]="","",IF(IF(Tasks[[#This Row],[_IsSummary]],COUNTIF(INDEX(Tasks[_LeafCritical],Tasks[[#This Row],[_Row]]+1):INDEX(Tasks[_LeafCritical],Tasks[[#This Row],[_Row]]+Tasks[[#This Row],[_Descendants]]),TRUE())&gt;0,Tasks[[#This Row],[_LeafCritical]]),"Yes",""))</f>
        <v/>
      </c>
      <c r="AQ147" s="61">
        <f>IF(Tasks[[#This Row],[Task Name]]="","",IF(N(Tasks[[#This Row],[Baseline Start]])&gt;0,Tasks[[#This Row],[Baseline Start]],Tasks[[#This Row],[_CalcStart]]))</f>
        <v/>
      </c>
      <c r="AR147" s="61">
        <f>IF(Tasks[[#This Row],[Task Name]]="","",IF(N(Tasks[[#This Row],[Baseline Finish]])&gt;0,Tasks[[#This Row],[Baseline Finish]],Tasks[[#This Row],[_CalcFinish]]))</f>
        <v/>
      </c>
      <c r="AS147" s="21">
        <f>IF(Tasks[[#This Row],[Task Name]]="","",IF(Tasks[[#This Row],[Start]]&gt;=Tasks[[#This Row],[Planned Start]],NETWORKDAYS.INTL(Tasks[[#This Row],[Planned Start]],Tasks[[#This Row],[Start]],WorkWeek,Holidays)-1,1-NETWORKDAYS.INTL(Tasks[[#This Row],[Start]],Tasks[[#This Row],[Planned Start]],WorkWeek,Holidays)))</f>
        <v/>
      </c>
      <c r="AT147" s="61">
        <f>IF(Tasks[[#This Row],[Task Name]]="","",IF(Tasks[[#This Row],[_IsSummary]],MIN(INDEX(Tasks[_LeafLateStart],Tasks[[#This Row],[_Row]]+1):INDEX(Tasks[_LeafLateStart],Tasks[[#This Row],[_Row]]+Tasks[[#This Row],[_Descendants]])),Tasks[[#This Row],[_LeafLateStart]]))</f>
        <v/>
      </c>
      <c r="AU147" s="61">
        <f>IF(Tasks[[#This Row],[Task Name]]="","",IF(Tasks[[#This Row],[_IsSummary]],MAX(INDEX(Tasks[_LeafLateFinish],Tasks[[#This Row],[_Row]]+1):INDEX(Tasks[_LeafLateFinish],Tasks[[#This Row],[_Row]]+Tasks[[#This Row],[_Descendants]])),Tasks[[#This Row],[_LeafLateFinish]]))</f>
        <v/>
      </c>
      <c r="AV147" s="21">
        <f>IF(Tasks[[#This Row],[Task Name]]="","",IF(Tasks[[#This Row],[_IsSummary]],MIN(INDEX(Tasks[_LeafTotalSlack],Tasks[[#This Row],[_Row]]+1):INDEX(Tasks[_LeafTotalSlack],Tasks[[#This Row],[_Row]]+Tasks[[#This Row],[_Descendants]])),Tasks[[#This Row],[_LeafTotalSlack]]))</f>
        <v/>
      </c>
      <c r="AW14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3" t="n"/>
      <c r="BA14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f>IF(Tasks[[#This Row],[Task Name]]="","",IF(Tasks[[#This Row],[_Level]]&lt;=OutlineShowLevel,"Yes","No"))</f>
        <v/>
      </c>
      <c r="BE147" s="84">
        <f>IF(Tasks[[#This Row],[Task Name]]="","",IF(Tasks[[#This Row],[_IsSummary]],SUM(INDEX(Tasks[_LeafTotalWork],Tasks[[#This Row],[_Row]]+1):INDEX(Tasks[_LeafTotalWork],Tasks[[#This Row],[_Row]]+Tasks[[#This Row],[_Descendants]])),Tasks[[#This Row],[_LeafTotalWork]]))</f>
        <v/>
      </c>
      <c r="BF147" s="23" t="n"/>
      <c r="BG14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f>""</f>
        <v/>
      </c>
      <c r="BI147" s="85" t="n"/>
      <c r="BJ147" s="22" t="n"/>
      <c r="BK147" s="21">
        <f>IF(OR(Tasks[[#This Row],[Task Name]]="",Tasks[[#This Row],[Baseline Duration]]=""),"",Tasks[[#This Row],[_SpanDays]]-N(Tasks[[#This Row],[Baseline Duration]]))</f>
        <v/>
      </c>
      <c r="BL147" s="84">
        <f>IF(OR(Tasks[[#This Row],[Task Name]]="",Tasks[[#This Row],[Baseline Work]]=""),"",Tasks[[#This Row],[Work]]-N(Tasks[[#This Row],[Baseline Work]]))</f>
        <v/>
      </c>
      <c r="BM147" s="61">
        <f>IF(Tasks[[#This Row],[Task Name]]="","",IF(OR(TakeBaseline="Yes",N(Tasks[[#This Row],[Baseline Start]])=0),Tasks[[#This Row],[Start]],Tasks[[#This Row],[Baseline Start]]))</f>
        <v/>
      </c>
      <c r="BN147" s="61">
        <f>IF(Tasks[[#This Row],[Task Name]]="","",IF(OR(TakeBaseline="Yes",N(Tasks[[#This Row],[Baseline Finish]])=0),Tasks[[#This Row],[Finish]],Tasks[[#This Row],[Baseline Finish]]))</f>
        <v/>
      </c>
      <c r="BO147" s="21">
        <f>IF(Tasks[[#This Row],[Task Name]]="","",IF(OR(TakeBaseline="Yes",N(Tasks[[#This Row],[Baseline Duration]])=0),Tasks[[#This Row],[_SpanDays]],Tasks[[#This Row],[Baseline Duration]]))</f>
        <v/>
      </c>
      <c r="BP147" s="84">
        <f>IF(Tasks[[#This Row],[Task Name]]="","",IF(OR(TakeBaseline="Yes",N(Tasks[[#This Row],[Baseline Work]])=0),Tasks[[#This Row],[Work]],Tasks[[#This Row],[Baseline Work]]))</f>
        <v/>
      </c>
      <c r="BQ147" s="7" t="n"/>
      <c r="BR147" s="7" t="n"/>
      <c r="BS147" s="22" t="n"/>
      <c r="BT147" s="86" t="n"/>
      <c r="BU147" s="23" t="n"/>
      <c r="BV147" s="23" t="n"/>
      <c r="BW147" s="23" t="n"/>
      <c r="BX147" s="87">
        <f>IF(AND(Tasks[[#This Row],[_IsLeaf]]=1,ISNUMBER(Tasks[[#This Row],[Optimistic]]),ISNUMBER(Tasks[[#This Row],[Pessimistic]])),ROUND((Tasks[[#This Row],[Optimistic]]+4*N(Tasks[[#This Row],[_Days]])+Tasks[[#This Row],[Pessimistic]])/6,1),"")</f>
        <v/>
      </c>
      <c r="BY147" s="85" t="n"/>
      <c r="BZ147" s="85" t="n"/>
      <c r="CA147" s="22" t="n"/>
      <c r="CB147" s="42">
        <f>IF(Tasks[[#This Row],[Task Name]]="","",MAX(1,N(Tasks[[#This Row],[Level]])))</f>
        <v/>
      </c>
      <c r="CC147" s="42">
        <f>ROW()-ROW(Tasks[[#Headers],[ID]])</f>
        <v/>
      </c>
      <c r="CD147" s="42">
        <f>IF(OR(Tasks[[#This Row],[Task Name]]="",Tasks[[#This Row],[_Level]]&lt;=1),0,IFERROR(LOOKUP(2,1/(Tasks[[#Headers],[_Level]]:Tasks[[#This Row],[_Level]]=Tasks[[#This Row],[_Level]]-1),ROW(Tasks[[#Headers],[_Level]]:Tasks[[#This Row],[_Level]])),0))</f>
        <v/>
      </c>
      <c r="CE147" s="42">
        <f>IFERROR(N(INDEX(Tasks[_Level],Tasks[[#This Row],[_Row]]+1)),0)</f>
        <v/>
      </c>
      <c r="CF147" s="42">
        <f>AND(Tasks[[#This Row],[Task Name]]&lt;&gt;"",Tasks[[#This Row],[_NextLevel]]&gt;Tasks[[#This Row],[_Level]])</f>
        <v/>
      </c>
      <c r="CG147" s="42">
        <f>IF(Tasks[[#This Row],[_IsSummary]],COUNTIF(Tasks[WBS],Tasks[[#This Row],[WBS]]&amp;".*"),0)</f>
        <v/>
      </c>
      <c r="CH147" s="42">
        <f>IF(AND(Tasks[[#This Row],[Task Name]]&lt;&gt;"",NOT(Tasks[[#This Row],[_IsSummary]])),1,0)</f>
        <v/>
      </c>
      <c r="CI147" s="42">
        <f>IF(N(Tasks[[#This Row],[_Pred1UID]])=0,0,IFERROR(MATCH(Tasks[[#This Row],[_Pred1UID]],Tasks[UID],0),-1))</f>
        <v/>
      </c>
      <c r="CJ147" s="42">
        <f>IF(N(Tasks[[#This Row],[_Pred2UID]])=0,0,IFERROR(MATCH(Tasks[[#This Row],[_Pred2UID]],Tasks[UID],0),-1))</f>
        <v/>
      </c>
      <c r="CK147" s="42">
        <f>IF(N(Tasks[[#This Row],[_Pred3UID]])=0,0,IFERROR(MATCH(Tasks[[#This Row],[_Pred3UID]],Tasks[UID],0),-1))</f>
        <v/>
      </c>
      <c r="CL147" s="42">
        <f>IF(N(Tasks[[#This Row],[_Pred4UID]])=0,0,IFERROR(MATCH(Tasks[[#This Row],[_Pred4UID]],Tasks[UID],0),-1))</f>
        <v/>
      </c>
      <c r="CM14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7" s="88">
        <f>IF(N(Tasks[[#This Row],[Constraint Date]])=0,0,IF(AND(OR(Tasks[[#This Row],[_ConstraintCode]]=3,Tasks[[#This Row],[_ConstraintCode]]=6,Tasks[[#This Row],[_ConstraintCode]]=7),N(Tasks[[#This Row],[_Days]])&gt;1),WORKDAY.INTL(N(Tasks[[#This Row],[Constraint Date]]),-(N(Tasks[[#This Row],[_Days]])-1),WorkWeek,Holidays),N(Tasks[[#This Row],[Constraint Date]])))</f>
        <v/>
      </c>
      <c r="CO147" s="88">
        <f>IF(OR(Tasks[[#This Row],[_ConstraintCode]]=2,Tasks[[#This Row],[_ConstraintCode]]=3,Tasks[[#This Row],[_ConstraintCode]]=4,Tasks[[#This Row],[_ConstraintCode]]=6),Tasks[[#This Row],[_ConstraintStart]],0)</f>
        <v/>
      </c>
      <c r="CP147" s="88">
        <f>IF(OR(Tasks[[#This Row],[_ConstraintCode]]=2,Tasks[[#This Row],[_ConstraintCode]]=3,Tasks[[#This Row],[_ConstraintCode]]=5,Tasks[[#This Row],[_ConstraintCode]]=7),Tasks[[#This Row],[_ConstraintStart]],2958465)</f>
        <v/>
      </c>
      <c r="CQ14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7" s="88">
        <f>IF(NOT(Tasks[[#This Row],[_IsLeaf]]=1),"",IF(N(Tasks[[#This Row],[_Days]])&lt;=0,Tasks[[#This Row],[_LeafCalcStart]],WORKDAY.INTL(Tasks[[#This Row],[_LeafCalcStart]],Tasks[[#This Row],[_Days]]-1,WorkWeek,Holidays)))</f>
        <v/>
      </c>
      <c r="CS14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7" s="42">
        <f>IF(Tasks[[#This Row],[_Predecessors]]="","",TRIM(MID(SUBSTITUTE(SUBSTITUTE(SUBSTITUTE(UPPER(Tasks[[#This Row],[_Predecessors]]),";",",")," ",""),",",REPT(" ",99)),1,99)))</f>
        <v/>
      </c>
      <c r="CV147" s="42">
        <f>IF(Tasks[[#This Row],[_Pred1Text]]="","",IFERROR(VALUE(LEFT(Tasks[[#This Row],[_Pred1Text]],MIN(FIND("F",Tasks[[#This Row],[_Pred1Text]]&amp;"F"),FIND("S",Tasks[[#This Row],[_Pred1Text]]&amp;"S"),FIND("+",Tasks[[#This Row],[_Pred1Text]]&amp;"+"),FIND("-",Tasks[[#This Row],[_Pred1Text]]&amp;"-"))-1)),""))</f>
        <v/>
      </c>
      <c r="CW14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7" s="42">
        <f>IF(Tasks[[#This Row],[_Pred1Text]]="","",TRIM(MID(SUBSTITUTE(SUBSTITUTE(SUBSTITUTE(UPPER(Tasks[[#This Row],[_Predecessors]]),";",",")," ",""),",",REPT(" ",99)),100,99)))</f>
        <v/>
      </c>
      <c r="CZ147" s="42">
        <f>IF(Tasks[[#This Row],[_Pred2Text]]="","",IFERROR(VALUE(LEFT(Tasks[[#This Row],[_Pred2Text]],MIN(FIND("F",Tasks[[#This Row],[_Pred2Text]]&amp;"F"),FIND("S",Tasks[[#This Row],[_Pred2Text]]&amp;"S"),FIND("+",Tasks[[#This Row],[_Pred2Text]]&amp;"+"),FIND("-",Tasks[[#This Row],[_Pred2Text]]&amp;"-"))-1)),""))</f>
        <v/>
      </c>
      <c r="DA14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7" s="42">
        <f>IF(Tasks[[#This Row],[_Pred2Text]]="","",TRIM(MID(SUBSTITUTE(SUBSTITUTE(SUBSTITUTE(UPPER(Tasks[[#This Row],[_Predecessors]]),";",",")," ",""),",",REPT(" ",99)),199,99)))</f>
        <v/>
      </c>
      <c r="DD147" s="42">
        <f>IF(Tasks[[#This Row],[_Pred3Text]]="","",IFERROR(VALUE(LEFT(Tasks[[#This Row],[_Pred3Text]],MIN(FIND("F",Tasks[[#This Row],[_Pred3Text]]&amp;"F"),FIND("S",Tasks[[#This Row],[_Pred3Text]]&amp;"S"),FIND("+",Tasks[[#This Row],[_Pred3Text]]&amp;"+"),FIND("-",Tasks[[#This Row],[_Pred3Text]]&amp;"-"))-1)),""))</f>
        <v/>
      </c>
      <c r="DE14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7" s="42">
        <f>IF(Tasks[[#This Row],[_Pred3Text]]="","",TRIM(MID(SUBSTITUTE(SUBSTITUTE(SUBSTITUTE(UPPER(Tasks[[#This Row],[_Predecessors]]),";",",")," ",""),",",REPT(" ",99)),298,99)))</f>
        <v/>
      </c>
      <c r="DH147" s="42">
        <f>IF(Tasks[[#This Row],[_Pred4Text]]="","",IFERROR(VALUE(LEFT(Tasks[[#This Row],[_Pred4Text]],MIN(FIND("F",Tasks[[#This Row],[_Pred4Text]]&amp;"F"),FIND("S",Tasks[[#This Row],[_Pred4Text]]&amp;"S"),FIND("+",Tasks[[#This Row],[_Pred4Text]]&amp;"+"),FIND("-",Tasks[[#This Row],[_Pred4Text]]&amp;"-"))-1)),""))</f>
        <v/>
      </c>
      <c r="DI14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7" s="42">
        <f>IF(OR(Tasks[[#This Row],[Task Name]]="",Tasks[[#This Row],[_Resources]]=""),"",TRIM(MID(SUBSTITUTE(Tasks[[#This Row],[_Resources]],",",REPT(" ",99)),1,99)))</f>
        <v/>
      </c>
      <c r="DL147" s="42">
        <f>IF(Tasks[[#This Row],[_Res1Text]]="","",TRIM(MID(SUBSTITUTE(Tasks[[#This Row],[_Resources]],",",REPT(" ",99)),100,99)))</f>
        <v/>
      </c>
      <c r="DM147" s="42">
        <f>IF(Tasks[[#This Row],[_Res2Text]]="","",TRIM(MID(SUBSTITUTE(Tasks[[#This Row],[_Resources]],",",REPT(" ",99)),199,99)))</f>
        <v/>
      </c>
      <c r="DN147" s="42">
        <f>IF(Tasks[[#This Row],[_Res3Text]]="","",TRIM(MID(SUBSTITUTE(Tasks[[#This Row],[_Resources]],",",REPT(" ",99)),298,99)))</f>
        <v/>
      </c>
      <c r="DO147" s="42">
        <f>IF(Tasks[[#This Row],[_Res1Text]]="",0,IFERROR(MATCH(TRIM(LEFT(Tasks[[#This Row],[_Res1Text]],FIND("[",Tasks[[#This Row],[_Res1Text]]&amp;"[")-1)),res_Name,0),IFERROR(MATCH(TRIM(LEFT(Tasks[[#This Row],[_Res1Text]],FIND("[",Tasks[[#This Row],[_Res1Text]]&amp;"[")-1)),res_Initials,0),0)))</f>
        <v/>
      </c>
      <c r="DP147" s="42">
        <f>IF(Tasks[[#This Row],[_Res2Text]]="",0,IFERROR(MATCH(TRIM(LEFT(Tasks[[#This Row],[_Res2Text]],FIND("[",Tasks[[#This Row],[_Res2Text]]&amp;"[")-1)),res_Name,0),IFERROR(MATCH(TRIM(LEFT(Tasks[[#This Row],[_Res2Text]],FIND("[",Tasks[[#This Row],[_Res2Text]]&amp;"[")-1)),res_Initials,0),0)))</f>
        <v/>
      </c>
      <c r="DQ147" s="42">
        <f>IF(Tasks[[#This Row],[_Res3Text]]="",0,IFERROR(MATCH(TRIM(LEFT(Tasks[[#This Row],[_Res3Text]],FIND("[",Tasks[[#This Row],[_Res3Text]]&amp;"[")-1)),res_Name,0),IFERROR(MATCH(TRIM(LEFT(Tasks[[#This Row],[_Res3Text]],FIND("[",Tasks[[#This Row],[_Res3Text]]&amp;"[")-1)),res_Initials,0),0)))</f>
        <v/>
      </c>
      <c r="DR147" s="42">
        <f>IF(Tasks[[#This Row],[_Res4Text]]="",0,IFERROR(MATCH(TRIM(LEFT(Tasks[[#This Row],[_Res4Text]],FIND("[",Tasks[[#This Row],[_Res4Text]]&amp;"[")-1)),res_Name,0),IFERROR(MATCH(TRIM(LEFT(Tasks[[#This Row],[_Res4Text]],FIND("[",Tasks[[#This Row],[_Res4Text]]&amp;"[")-1)),res_Initials,0),0)))</f>
        <v/>
      </c>
      <c r="DS147" s="42">
        <f>IF(Tasks[[#This Row],[_Res1Text]]="","",IF(Tasks[[#This Row],[_Res1Row]]&gt;0,INDEX(res_Name,Tasks[[#This Row],[_Res1Row]]),TRIM(LEFT(Tasks[[#This Row],[_Res1Text]],FIND("[",Tasks[[#This Row],[_Res1Text]]&amp;"[")-1))))</f>
        <v/>
      </c>
      <c r="DT14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7" s="42">
        <f>IF(NOT(Tasks[[#This Row],[_IsLeaf]]=1),0,(Tasks[[#This Row],[_Resource1]]&lt;&gt;"")+(Tasks[[#This Row],[_Res2]]&lt;&gt;"")+(Tasks[[#This Row],[_Res3]]&lt;&gt;"")+(Tasks[[#This Row],[_Res4]]&lt;&gt;""))</f>
        <v/>
      </c>
      <c r="DV147" s="42">
        <f>IF(Tasks[[#This Row],[_Res2Text]]="","",IF(Tasks[[#This Row],[_Res2Row]]&gt;0,INDEX(res_Name,Tasks[[#This Row],[_Res2Row]]),TRIM(LEFT(Tasks[[#This Row],[_Res2Text]],FIND("[",Tasks[[#This Row],[_Res2Text]]&amp;"[")-1))))</f>
        <v/>
      </c>
      <c r="DW14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7" s="42">
        <f>IF(OR(NOT(Tasks[[#This Row],[_IsLeaf]]=1),Tasks[[#This Row],[_Res2Row]]=0),0,N(Tasks[[#This Row],[_Days]])*HoursPerDay*IF(Tasks[[#This Row],[_Res2Units]]="",DefaultUnits,Tasks[[#This Row],[_Res2Units]]))</f>
        <v/>
      </c>
      <c r="DY147" s="42">
        <f>IF(AND(AND(Tasks[[#This Row],[_IsLeaf]]=1,Tasks[[#This Row],[_LeafTotalWork]]&gt;0),Tasks[[#This Row],[_Res2Work]]&gt;0),Tasks[[#This Row],[_Res2Work]]/(Tasks[[#This Row],[_FinishWorkday]]-Tasks[[#This Row],[_StartWorkday]]+1),0)</f>
        <v/>
      </c>
      <c r="DZ147" s="42">
        <f>Tasks[[#This Row],[_Res2WorkPerWD]]*MAX(0,Tasks[[#This Row],[_StartWorkday]]-1)</f>
        <v/>
      </c>
      <c r="EA147" s="42">
        <f>Tasks[[#This Row],[_Res2Work]]*Tasks[[#This Row],[_LeafProgress]]</f>
        <v/>
      </c>
      <c r="EB147" s="42">
        <f>IF(Tasks[[#This Row],[_Res3Text]]="","",IF(Tasks[[#This Row],[_Res3Row]]&gt;0,INDEX(res_Name,Tasks[[#This Row],[_Res3Row]]),TRIM(LEFT(Tasks[[#This Row],[_Res3Text]],FIND("[",Tasks[[#This Row],[_Res3Text]]&amp;"[")-1))))</f>
        <v/>
      </c>
      <c r="EC14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7" s="42">
        <f>IF(OR(NOT(Tasks[[#This Row],[_IsLeaf]]=1),Tasks[[#This Row],[_Res3Row]]=0),0,N(Tasks[[#This Row],[_Days]])*HoursPerDay*IF(Tasks[[#This Row],[_Res3Units]]="",DefaultUnits,Tasks[[#This Row],[_Res3Units]]))</f>
        <v/>
      </c>
      <c r="EE147" s="42">
        <f>IF(AND(AND(Tasks[[#This Row],[_IsLeaf]]=1,Tasks[[#This Row],[_LeafTotalWork]]&gt;0),Tasks[[#This Row],[_Res3Work]]&gt;0),Tasks[[#This Row],[_Res3Work]]/(Tasks[[#This Row],[_FinishWorkday]]-Tasks[[#This Row],[_StartWorkday]]+1),0)</f>
        <v/>
      </c>
      <c r="EF147" s="42">
        <f>Tasks[[#This Row],[_Res3WorkPerWD]]*MAX(0,Tasks[[#This Row],[_StartWorkday]]-1)</f>
        <v/>
      </c>
      <c r="EG147" s="42">
        <f>Tasks[[#This Row],[_Res3Work]]*Tasks[[#This Row],[_LeafProgress]]</f>
        <v/>
      </c>
      <c r="EH147" s="42">
        <f>IF(Tasks[[#This Row],[_Res4Text]]="","",IF(Tasks[[#This Row],[_Res4Row]]&gt;0,INDEX(res_Name,Tasks[[#This Row],[_Res4Row]]),TRIM(LEFT(Tasks[[#This Row],[_Res4Text]],FIND("[",Tasks[[#This Row],[_Res4Text]]&amp;"[")-1))))</f>
        <v/>
      </c>
      <c r="EI14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7" s="42">
        <f>IF(OR(NOT(Tasks[[#This Row],[_IsLeaf]]=1),Tasks[[#This Row],[_Res4Row]]=0),0,N(Tasks[[#This Row],[_Days]])*HoursPerDay*IF(Tasks[[#This Row],[_Res4Units]]="",DefaultUnits,Tasks[[#This Row],[_Res4Units]]))</f>
        <v/>
      </c>
      <c r="EK147" s="42">
        <f>IF(AND(AND(Tasks[[#This Row],[_IsLeaf]]=1,Tasks[[#This Row],[_LeafTotalWork]]&gt;0),Tasks[[#This Row],[_Res4Work]]&gt;0),Tasks[[#This Row],[_Res4Work]]/(Tasks[[#This Row],[_FinishWorkday]]-Tasks[[#This Row],[_StartWorkday]]+1),0)</f>
        <v/>
      </c>
      <c r="EL147" s="42">
        <f>Tasks[[#This Row],[_Res4WorkPerWD]]*MAX(0,Tasks[[#This Row],[_StartWorkday]]-1)</f>
        <v/>
      </c>
      <c r="EM147" s="42">
        <f>Tasks[[#This Row],[_Res4Work]]*Tasks[[#This Row],[_LeafProgress]]</f>
        <v/>
      </c>
      <c r="EN147" s="42">
        <f>IF(ISNUMBER(Tasks[[#This Row],[% Complete]]),Tasks[[#This Row],[% Complete]],IF(Tasks[[#This Row],[Stage]]="",0,IFERROR(INDEX(stg_Pct,MATCH(Tasks[[#This Row],[Stage]],stg_Name,0)),0)))</f>
        <v/>
      </c>
      <c r="EO147" s="42">
        <f>IF(NOT(Tasks[[#This Row],[_IsLeaf]]=1),0,IF(N(Tasks[[#This Row],[Actual Finish]])&gt;0,1,MIN(1,Tasks[[#This Row],[_Pct]])))</f>
        <v/>
      </c>
      <c r="EP147" s="42">
        <f>IF(OR(NOT(Tasks[[#This Row],[_IsLeaf]]=1),Tasks[[#This Row],[_Res1Row]]=0),0,N(Tasks[[#This Row],[_Days]])*HoursPerDay*IF(Tasks[[#This Row],[_Units1]]="",DefaultUnits,Tasks[[#This Row],[_Units1]]))</f>
        <v/>
      </c>
      <c r="EQ147" s="42">
        <f>Tasks[[#This Row],[_LeafWork]]+Tasks[[#This Row],[_Res2Work]]+Tasks[[#This Row],[_Res3Work]]+Tasks[[#This Row],[_Res4Work]]</f>
        <v/>
      </c>
      <c r="ER14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7" s="42">
        <f>IF(NOT(Tasks[[#This Row],[_IsLeaf]]=1),0,MAX(_xlfn.MAXIFS(Tasks[_Row],Tasks[_Pred1UID],Tasks[[#This Row],[UID]]),_xlfn.MAXIFS(Tasks[_Row],Tasks[_Pred2UID],Tasks[[#This Row],[UID]]),_xlfn.MAXIFS(Tasks[_Row],Tasks[_Pred3UID],Tasks[[#This Row],[UID]]),_xlfn.MAXIFS(Tasks[_Row],Tasks[_Pred4UID],Tasks[[#This Row],[UID]])))</f>
        <v/>
      </c>
      <c r="FA14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7" s="88">
        <f>IF(NOT(Tasks[[#This Row],[_IsLeaf]]=1),"",IF(N(Tasks[[#This Row],[_Days]])&lt;=0,Tasks[[#This Row],[_LeafLateFinish]],WORKDAY.INTL(Tasks[[#This Row],[_LeafLateFinish]],-(Tasks[[#This Row],[_Days]]-1),WorkWeek,Holidays)))</f>
        <v/>
      </c>
      <c r="FD14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7" s="42">
        <f>AND(Tasks[[#This Row],[_IsLeaf]]=1,Tasks[[#This Row],[_LeafProgress]]&lt;1,N(Tasks[[#This Row],[_LeafTotalSlack]])&lt;=CriticalSlackDays)</f>
        <v/>
      </c>
      <c r="FF147" s="42">
        <f>IF(AND(Tasks[[#This Row],[_IsLeaf]]=1,Tasks[[#This Row],[_ConstraintCode]]=1,Tasks[[#This Row],[Mode]]&lt;&gt;"Manual",N(Tasks[[#This Row],[Actual Start]])=0),MAX(0,N(Tasks[[#This Row],[Free Slack]])),0)</f>
        <v/>
      </c>
      <c r="FG147" s="88">
        <f>IF(NOT(Tasks[[#This Row],[_IsLeaf]]=1),"",IF(Tasks[[#This Row],[_AlapShift]]=0,Tasks[[#This Row],[_LeafCalcStart]],WORKDAY.INTL(Tasks[[#This Row],[_LeafCalcStart]],Tasks[[#This Row],[_AlapShift]],WorkWeek,Holidays)))</f>
        <v/>
      </c>
      <c r="FH147" s="88">
        <f>IF(NOT(Tasks[[#This Row],[_IsLeaf]]=1),"",IF(Tasks[[#This Row],[_AlapShift]]=0,Tasks[[#This Row],[_LeafCalcFinish]],WORKDAY.INTL(Tasks[[#This Row],[_LeafCalcFinish]],Tasks[[#This Row],[_AlapShift]],WorkWeek,Holidays)))</f>
        <v/>
      </c>
      <c r="FI147" s="88">
        <f>IF(NOT(Tasks[[#This Row],[_IsLeaf]]=1),"",IF(Tasks[[#This Row],[_AlapShift]]=0,Tasks[[#This Row],[_LeafFcstStart]],WORKDAY.INTL(Tasks[[#This Row],[_LeafFcstStart]],Tasks[[#This Row],[_AlapShift]],WorkWeek,Holidays)))</f>
        <v/>
      </c>
      <c r="FJ147" s="88">
        <f>IF(NOT(Tasks[[#This Row],[_IsLeaf]]=1),"",IF(Tasks[[#This Row],[_AlapShift]]=0,Tasks[[#This Row],[_LeafFcstFinish]],WORKDAY.INTL(Tasks[[#This Row],[_LeafFcstFinish]],Tasks[[#This Row],[_AlapShift]],WorkWeek,Holidays)))</f>
        <v/>
      </c>
      <c r="FK147" s="88">
        <f>IF(Tasks[[#This Row],[Task Name]]="","",IF(Tasks[[#This Row],[_IsSummary]],MIN(INDEX(Tasks[_ShownCalcStart],Tasks[[#This Row],[_Row]]+1):INDEX(Tasks[_ShownCalcStart],Tasks[[#This Row],[_Row]]+Tasks[[#This Row],[_Descendants]])),Tasks[[#This Row],[_ShownCalcStart]]))</f>
        <v/>
      </c>
      <c r="FL147" s="88">
        <f>IF(Tasks[[#This Row],[Task Name]]="","",IF(Tasks[[#This Row],[_IsSummary]],MAX(INDEX(Tasks[_ShownCalcFinish],Tasks[[#This Row],[_Row]]+1):INDEX(Tasks[_ShownCalcFinish],Tasks[[#This Row],[_Row]]+Tasks[[#This Row],[_Descendants]])),Tasks[[#This Row],[_ShownCalcFinish]]))</f>
        <v/>
      </c>
      <c r="FM14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7" s="42">
        <f>IF(AND(Tasks[[#This Row],[_IsLeaf]]=1,Tasks[[#This Row],[_LeafTotalWork]]&gt;0),NETWORKDAYS.INTL(ProjectStart,Tasks[[#This Row],[_ShownFcstStart]],WorkWeek,Holidays),0)</f>
        <v/>
      </c>
      <c r="FZ147" s="42">
        <f>IF(AND(Tasks[[#This Row],[_IsLeaf]]=1,Tasks[[#This Row],[_LeafTotalWork]]&gt;0),MAX(Tasks[[#This Row],[_StartWorkday]],NETWORKDAYS.INTL(ProjectStart,Tasks[[#This Row],[_ShownFcstFinish]],WorkWeek,Holidays)),0)</f>
        <v/>
      </c>
      <c r="GA147" s="42">
        <f>IF(AND(Tasks[[#This Row],[_IsLeaf]]=1,Tasks[[#This Row],[_LeafTotalWork]]&gt;0),Tasks[[#This Row],[_LeafWork]]/(Tasks[[#This Row],[_FinishWorkday]]-Tasks[[#This Row],[_StartWorkday]]+1),0)</f>
        <v/>
      </c>
      <c r="GB147" s="42">
        <f>Tasks[[#This Row],[_WorkPerWorkday]]*(Tasks[[#This Row],[_StartWorkday]]-1)</f>
        <v/>
      </c>
      <c r="GC147" s="42">
        <f>IF(Tasks[[#This Row],[_IsLeaf]]=1,MAX(N(Tasks[[#This Row],[_Days]]),0.1),0)</f>
        <v/>
      </c>
      <c r="GD147" s="42">
        <f>Tasks[[#This Row],[_WeightDur]]*Tasks[[#This Row],[_LeafProgress]]</f>
        <v/>
      </c>
      <c r="GE147" s="42">
        <f>Tasks[[#This Row],[_WeightDur]]*Tasks[[#This Row],[_PlannedPct]]</f>
        <v/>
      </c>
      <c r="GF14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7" s="42">
        <f>IF(AND(Tasks[[#This Row],[_IsLeaf]]=1,N(Tasks[[#This Row],[_Days]])=0,Tasks[[#This Row],[_LeafProgress]]&lt;1),Tasks[[#This Row],[_ShownFcstFinish]]+Tasks[[#This Row],[_Row]]/100000,"")</f>
        <v/>
      </c>
      <c r="GH14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7" s="42">
        <f>IF(Tasks[[#This Row],[Task Name]]="","",LEFT(Tasks[[#This Row],[WBS]],FIND(".",Tasks[[#This Row],[WBS]]&amp;".")-1))</f>
        <v/>
      </c>
      <c r="GJ147" s="42">
        <f>IF(AND(Tasks[[#This Row],[Task Name]]&lt;&gt;"",Tasks[[#This Row],[_Level]]=1),Tasks[[#This Row],[_Row]],"")</f>
        <v/>
      </c>
      <c r="GK147" s="42">
        <f>IF(AND(Tasks[[#This Row],[_IsLeaf]]=1,N(Tasks[[#This Row],[_Days]])=0),Tasks[[#This Row],[Planned Finish]]+Tasks[[#This Row],[_Row]]/100000,"")</f>
        <v/>
      </c>
      <c r="GL147" s="42">
        <f>IF(AND(Tasks[[#This Row],[_IsLeaf]]=1,Tasks[[#This Row],[_LeafProgress]]&lt;1,OR(N(Tasks[[#This Row],[Finish Var]])&gt;0,Tasks[[#This Row],[Status]]="Late Start")),MAX(0,Tasks[[#This Row],[Finish Var]])+1-Tasks[[#This Row],[_Row]]/1000000,"")</f>
        <v/>
      </c>
      <c r="GM147" s="42">
        <f>IF(AND(Tasks[[#This Row],[_IsLeaf]]=1,N(Tasks[[#This Row],[Actual Start]])=0,Tasks[[#This Row],[_ShownFcstStart]]&gt;=StatusDate,Tasks[[#This Row],[_ShownFcstStart]]&lt;=LookaheadEnd),Tasks[[#This Row],[_ShownFcstStart]]+Tasks[[#This Row],[_Row]]/100000,"")</f>
        <v/>
      </c>
      <c r="GN147" s="42">
        <f>IF(AND(Tasks[[#This Row],[_IsLeaf]]=1,Tasks[[#This Row],[_LeafProgress]]&lt;1,Tasks[[#This Row],[_ShownFcstFinish]]&gt;=StatusDate,Tasks[[#This Row],[_ShownFcstFinish]]&lt;=LookaheadEnd),Tasks[[#This Row],[_ShownFcstFinish]]+Tasks[[#This Row],[_Row]]/100000,"")</f>
        <v/>
      </c>
      <c r="GO147" s="42">
        <f>IF(Tasks[[#This Row],[_LeafCritical]],Tasks[[#This Row],[_ShownFcstStart]]+Tasks[[#This Row],[_Row]]/100000,"")</f>
        <v/>
      </c>
      <c r="GP147" s="42">
        <f>Tasks[[#This Row],[_LeafWork]]*Tasks[[#This Row],[_LeafProgress]]</f>
        <v/>
      </c>
      <c r="GQ147" s="88">
        <f>IF(AND(Tasks[[#This Row],[_IsLeaf]]=1,Tasks[[#This Row],[_LeafProgress]]&gt;=1),IF(N(Tasks[[#This Row],[Actual Finish]])&gt;0,Tasks[[#This Row],[Actual Finish]],Tasks[[#This Row],[_ShownFcstFinish]]),"")</f>
        <v/>
      </c>
      <c r="GR147" s="42">
        <f>IF(Tasks[[#This Row],[_IsLeaf]]=1,N(Tasks[[#This Row],[Story Points]]),0)</f>
        <v/>
      </c>
      <c r="GS147" s="42">
        <f>""</f>
        <v/>
      </c>
      <c r="GT147" s="42">
        <f>IF(Tasks[[#This Row],[Task Name]]="",FALSE(),AND(Tasks[[#This Row],[_IsLeaf]]=1,N(Tasks[[#This Row],[_Days]])=0))</f>
        <v/>
      </c>
      <c r="GU147" s="88">
        <f>IF(Tasks[[#This Row],[Task Name]]="",0,IF(AND(Tasks[[#This Row],[_IsLeaf]]=1,NOT(Tasks[[#This Row],[_IsMilestone]]),N(Tasks[[#This Row],[Progress]])&gt;0),Tasks[[#This Row],[Start]],0))</f>
        <v/>
      </c>
      <c r="GV147" s="88">
        <f>IF(Tasks[[#This Row],[_DoneFrom]]=0,0,IF(Tasks[[#This Row],[Progress]]&gt;=1,Tasks[[#This Row],[Finish]],MAX(Tasks[[#This Row],[_DoneFrom]],Tasks[[#This Row],[Start]]+ROUND((Tasks[[#This Row],[Finish]]-Tasks[[#This Row],[Start]]+1)*Tasks[[#This Row],[Progress]],0)-1)))</f>
        <v/>
      </c>
      <c r="GW147" s="88">
        <f>IF(Tasks[[#This Row],[Task Name]]="",0,IF(OR(NOT(Tasks[[#This Row],[_IsLeaf]]=1),Tasks[[#This Row],[_IsMilestone]],N(Tasks[[#This Row],[Progress]])&gt;=1),0,IF(Tasks[[#This Row],[_DoneTo]]&gt;0,Tasks[[#This Row],[_DoneTo]]+1,Tasks[[#This Row],[Start]])))</f>
        <v/>
      </c>
      <c r="GX147" s="88">
        <f>IF(Tasks[[#This Row],[_RemFrom]]=0,0,Tasks[[#This Row],[Finish]])</f>
        <v/>
      </c>
      <c r="GY147" s="42">
        <f>IF(Tasks[[#This Row],[Task Name]]="",FALSE(),OR(NOT(BaselineSet),N(Tasks[[#This Row],[Baseline Start]])&gt;0))</f>
        <v/>
      </c>
      <c r="GZ147" s="42">
        <f>IF(AND(Sandbox="Yes",L_PARSE_DURATION(Tasks[[#This Row],[Sandbox Duration]])&lt;&gt;""),L_PARSE_DURATION(Tasks[[#This Row],[Sandbox Duration]]),L_PARSE_DURATION(Tasks[[#This Row],[Duration]]))</f>
        <v/>
      </c>
      <c r="HA14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7" s="42">
        <f>IF(Tasks[[#This Row],[_IsLeaf]]=1,Tasks[[#This Row],[_Row]],"")</f>
        <v/>
      </c>
      <c r="HD147" s="42">
        <f>IFERROR(INDEX(Tasks[UID],SMALL(Tasks[_PickKey],Tasks[[#This Row],[_Row]]))&amp;" "&amp;INDEX(Tasks[Task Name],SMALL(Tasks[_PickKey],Tasks[[#This Row],[_Row]])),"")</f>
        <v/>
      </c>
      <c r="HE147" s="42">
        <f>IF(Tasks[[#This Row],[Task Name]]="","",IF(Tasks[[#This Row],[_IsSummary]],NETWORKDAYS.INTL(Tasks[[#This Row],[Start]],Tasks[[#This Row],[Finish]],WorkWeek,Holidays),N(Tasks[[#This Row],[_Days]])))</f>
        <v/>
      </c>
      <c r="HF147" s="42">
        <f>IF(Tasks[[#This Row],[Expected]]="",0,((Tasks[[#This Row],[Pessimistic]]-Tasks[[#This Row],[Optimistic]])/6)^2)</f>
        <v/>
      </c>
      <c r="HG147" s="42">
        <f>IF(Tasks[[#This Row],[Expected]]="",0,Tasks[[#This Row],[Expected]]-N(Tasks[[#This Row],[_Days]]))</f>
        <v/>
      </c>
    </row>
    <row r="148">
      <c r="A148" s="21">
        <f>IF(Tasks[[#This Row],[Task Name]]="","",COUNTA(Tasks[[#Headers],[Task Name]]:Tasks[[#This Row],[Task Name]])-1)</f>
        <v/>
      </c>
      <c r="B148" s="22" t="n">
        <v>156</v>
      </c>
      <c r="C148" s="22" t="n"/>
      <c r="D148" s="23" t="n"/>
      <c r="E148" s="22" t="n"/>
      <c r="F148" s="23" t="n"/>
      <c r="G148" s="22" t="n"/>
      <c r="H148" s="22" t="n"/>
      <c r="I148" s="23" t="n"/>
      <c r="J148" s="22" t="n"/>
      <c r="K148" s="22" t="n"/>
      <c r="L148" s="23" t="n"/>
      <c r="M148" s="22" t="n"/>
      <c r="N148" s="22" t="n"/>
      <c r="O148" s="23" t="n"/>
      <c r="P148" s="22" t="n"/>
      <c r="Q148" s="22" t="n"/>
      <c r="R148" s="23" t="n"/>
      <c r="S148" s="23" t="n"/>
      <c r="T148" s="82" t="n"/>
      <c r="U148" s="23" t="n"/>
      <c r="V148" s="82" t="n"/>
      <c r="W148" s="23" t="n"/>
      <c r="X148" s="82" t="n"/>
      <c r="Y148" s="23" t="n"/>
      <c r="Z148" s="82" t="n"/>
      <c r="AA148" s="23" t="n"/>
      <c r="AB148" s="23" t="n"/>
      <c r="AC148" s="7" t="n"/>
      <c r="AD148" s="7" t="n"/>
      <c r="AE148" s="61">
        <f>IF(Tasks[[#This Row],[Task Name]]="","",IF(Tasks[[#This Row],[_IsSummary]],MIN(INDEX(Tasks[_ShownFcstStart],Tasks[[#This Row],[_Row]]+1):INDEX(Tasks[_ShownFcstStart],Tasks[[#This Row],[_Row]]+Tasks[[#This Row],[_Descendants]])),Tasks[[#This Row],[_ShownFcstStart]]))</f>
        <v/>
      </c>
      <c r="AF148" s="61">
        <f>IF(Tasks[[#This Row],[Task Name]]="","",IF(Tasks[[#This Row],[_IsSummary]],MAX(INDEX(Tasks[_ShownFcstFinish],Tasks[[#This Row],[_Row]]+1):INDEX(Tasks[_ShownFcstFinish],Tasks[[#This Row],[_Row]]+Tasks[[#This Row],[_Descendants]])),Tasks[[#This Row],[_ShownFcstFinish]]))</f>
        <v/>
      </c>
      <c r="AG148" s="21">
        <f>""</f>
        <v/>
      </c>
      <c r="AH148" s="23" t="n"/>
      <c r="AI14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8" s="7" t="n"/>
      <c r="AK148" s="22" t="n"/>
      <c r="AL148" s="23" t="n"/>
      <c r="AM148" s="7" t="n"/>
      <c r="AN148" s="21">
        <f>IF(Tasks[[#This Row],[Task Name]]="","",IF(Tasks[[#This Row],[Finish]]&gt;=Tasks[[#This Row],[Planned Finish]],NETWORKDAYS.INTL(Tasks[[#This Row],[Planned Finish]],Tasks[[#This Row],[Finish]],WorkWeek,Holidays)-1,1-NETWORKDAYS.INTL(Tasks[[#This Row],[Finish]],Tasks[[#This Row],[Planned Finish]],WorkWeek,Holidays)))</f>
        <v/>
      </c>
      <c r="AO148" s="21">
        <f>IF(Tasks[[#This Row],[Task Name]]="","",IF(Tasks[[#This Row],[Progress]]&gt;=1,"Complete",IF(OR(N(Tasks[[#This Row],[Actual Start]])&gt;0,Tasks[[#This Row],[Progress]]&gt;0),IF(Tasks[[#This Row],[Finish Var]]&gt;0,"Behind","In Progress"),IF(Tasks[[#This Row],[Planned Start]]&lt;StatusDate,"Late Start","Not Started"))))</f>
        <v/>
      </c>
      <c r="AP148" s="21">
        <f>IF(Tasks[[#This Row],[Task Name]]="","",IF(IF(Tasks[[#This Row],[_IsSummary]],COUNTIF(INDEX(Tasks[_LeafCritical],Tasks[[#This Row],[_Row]]+1):INDEX(Tasks[_LeafCritical],Tasks[[#This Row],[_Row]]+Tasks[[#This Row],[_Descendants]]),TRUE())&gt;0,Tasks[[#This Row],[_LeafCritical]]),"Yes",""))</f>
        <v/>
      </c>
      <c r="AQ148" s="61">
        <f>IF(Tasks[[#This Row],[Task Name]]="","",IF(N(Tasks[[#This Row],[Baseline Start]])&gt;0,Tasks[[#This Row],[Baseline Start]],Tasks[[#This Row],[_CalcStart]]))</f>
        <v/>
      </c>
      <c r="AR148" s="61">
        <f>IF(Tasks[[#This Row],[Task Name]]="","",IF(N(Tasks[[#This Row],[Baseline Finish]])&gt;0,Tasks[[#This Row],[Baseline Finish]],Tasks[[#This Row],[_CalcFinish]]))</f>
        <v/>
      </c>
      <c r="AS148" s="21">
        <f>IF(Tasks[[#This Row],[Task Name]]="","",IF(Tasks[[#This Row],[Start]]&gt;=Tasks[[#This Row],[Planned Start]],NETWORKDAYS.INTL(Tasks[[#This Row],[Planned Start]],Tasks[[#This Row],[Start]],WorkWeek,Holidays)-1,1-NETWORKDAYS.INTL(Tasks[[#This Row],[Start]],Tasks[[#This Row],[Planned Start]],WorkWeek,Holidays)))</f>
        <v/>
      </c>
      <c r="AT148" s="61">
        <f>IF(Tasks[[#This Row],[Task Name]]="","",IF(Tasks[[#This Row],[_IsSummary]],MIN(INDEX(Tasks[_LeafLateStart],Tasks[[#This Row],[_Row]]+1):INDEX(Tasks[_LeafLateStart],Tasks[[#This Row],[_Row]]+Tasks[[#This Row],[_Descendants]])),Tasks[[#This Row],[_LeafLateStart]]))</f>
        <v/>
      </c>
      <c r="AU148" s="61">
        <f>IF(Tasks[[#This Row],[Task Name]]="","",IF(Tasks[[#This Row],[_IsSummary]],MAX(INDEX(Tasks[_LeafLateFinish],Tasks[[#This Row],[_Row]]+1):INDEX(Tasks[_LeafLateFinish],Tasks[[#This Row],[_Row]]+Tasks[[#This Row],[_Descendants]])),Tasks[[#This Row],[_LeafLateFinish]]))</f>
        <v/>
      </c>
      <c r="AV148" s="21">
        <f>IF(Tasks[[#This Row],[Task Name]]="","",IF(Tasks[[#This Row],[_IsSummary]],MIN(INDEX(Tasks[_LeafTotalSlack],Tasks[[#This Row],[_Row]]+1):INDEX(Tasks[_LeafTotalSlack],Tasks[[#This Row],[_Row]]+Tasks[[#This Row],[_Descendants]])),Tasks[[#This Row],[_LeafTotalSlack]]))</f>
        <v/>
      </c>
      <c r="AW14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3" t="n"/>
      <c r="BA14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f>IF(Tasks[[#This Row],[Task Name]]="","",IF(Tasks[[#This Row],[_Level]]&lt;=OutlineShowLevel,"Yes","No"))</f>
        <v/>
      </c>
      <c r="BE148" s="84">
        <f>IF(Tasks[[#This Row],[Task Name]]="","",IF(Tasks[[#This Row],[_IsSummary]],SUM(INDEX(Tasks[_LeafTotalWork],Tasks[[#This Row],[_Row]]+1):INDEX(Tasks[_LeafTotalWork],Tasks[[#This Row],[_Row]]+Tasks[[#This Row],[_Descendants]])),Tasks[[#This Row],[_LeafTotalWork]]))</f>
        <v/>
      </c>
      <c r="BF148" s="23" t="n"/>
      <c r="BG14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f>""</f>
        <v/>
      </c>
      <c r="BI148" s="85" t="n"/>
      <c r="BJ148" s="22" t="n"/>
      <c r="BK148" s="21">
        <f>IF(OR(Tasks[[#This Row],[Task Name]]="",Tasks[[#This Row],[Baseline Duration]]=""),"",Tasks[[#This Row],[_SpanDays]]-N(Tasks[[#This Row],[Baseline Duration]]))</f>
        <v/>
      </c>
      <c r="BL148" s="84">
        <f>IF(OR(Tasks[[#This Row],[Task Name]]="",Tasks[[#This Row],[Baseline Work]]=""),"",Tasks[[#This Row],[Work]]-N(Tasks[[#This Row],[Baseline Work]]))</f>
        <v/>
      </c>
      <c r="BM148" s="61">
        <f>IF(Tasks[[#This Row],[Task Name]]="","",IF(OR(TakeBaseline="Yes",N(Tasks[[#This Row],[Baseline Start]])=0),Tasks[[#This Row],[Start]],Tasks[[#This Row],[Baseline Start]]))</f>
        <v/>
      </c>
      <c r="BN148" s="61">
        <f>IF(Tasks[[#This Row],[Task Name]]="","",IF(OR(TakeBaseline="Yes",N(Tasks[[#This Row],[Baseline Finish]])=0),Tasks[[#This Row],[Finish]],Tasks[[#This Row],[Baseline Finish]]))</f>
        <v/>
      </c>
      <c r="BO148" s="21">
        <f>IF(Tasks[[#This Row],[Task Name]]="","",IF(OR(TakeBaseline="Yes",N(Tasks[[#This Row],[Baseline Duration]])=0),Tasks[[#This Row],[_SpanDays]],Tasks[[#This Row],[Baseline Duration]]))</f>
        <v/>
      </c>
      <c r="BP148" s="84">
        <f>IF(Tasks[[#This Row],[Task Name]]="","",IF(OR(TakeBaseline="Yes",N(Tasks[[#This Row],[Baseline Work]])=0),Tasks[[#This Row],[Work]],Tasks[[#This Row],[Baseline Work]]))</f>
        <v/>
      </c>
      <c r="BQ148" s="7" t="n"/>
      <c r="BR148" s="7" t="n"/>
      <c r="BS148" s="22" t="n"/>
      <c r="BT148" s="86" t="n"/>
      <c r="BU148" s="23" t="n"/>
      <c r="BV148" s="23" t="n"/>
      <c r="BW148" s="23" t="n"/>
      <c r="BX148" s="87">
        <f>IF(AND(Tasks[[#This Row],[_IsLeaf]]=1,ISNUMBER(Tasks[[#This Row],[Optimistic]]),ISNUMBER(Tasks[[#This Row],[Pessimistic]])),ROUND((Tasks[[#This Row],[Optimistic]]+4*N(Tasks[[#This Row],[_Days]])+Tasks[[#This Row],[Pessimistic]])/6,1),"")</f>
        <v/>
      </c>
      <c r="BY148" s="85" t="n"/>
      <c r="BZ148" s="85" t="n"/>
      <c r="CA148" s="22" t="n"/>
      <c r="CB148" s="42">
        <f>IF(Tasks[[#This Row],[Task Name]]="","",MAX(1,N(Tasks[[#This Row],[Level]])))</f>
        <v/>
      </c>
      <c r="CC148" s="42">
        <f>ROW()-ROW(Tasks[[#Headers],[ID]])</f>
        <v/>
      </c>
      <c r="CD148" s="42">
        <f>IF(OR(Tasks[[#This Row],[Task Name]]="",Tasks[[#This Row],[_Level]]&lt;=1),0,IFERROR(LOOKUP(2,1/(Tasks[[#Headers],[_Level]]:Tasks[[#This Row],[_Level]]=Tasks[[#This Row],[_Level]]-1),ROW(Tasks[[#Headers],[_Level]]:Tasks[[#This Row],[_Level]])),0))</f>
        <v/>
      </c>
      <c r="CE148" s="42">
        <f>IFERROR(N(INDEX(Tasks[_Level],Tasks[[#This Row],[_Row]]+1)),0)</f>
        <v/>
      </c>
      <c r="CF148" s="42">
        <f>AND(Tasks[[#This Row],[Task Name]]&lt;&gt;"",Tasks[[#This Row],[_NextLevel]]&gt;Tasks[[#This Row],[_Level]])</f>
        <v/>
      </c>
      <c r="CG148" s="42">
        <f>IF(Tasks[[#This Row],[_IsSummary]],COUNTIF(Tasks[WBS],Tasks[[#This Row],[WBS]]&amp;".*"),0)</f>
        <v/>
      </c>
      <c r="CH148" s="42">
        <f>IF(AND(Tasks[[#This Row],[Task Name]]&lt;&gt;"",NOT(Tasks[[#This Row],[_IsSummary]])),1,0)</f>
        <v/>
      </c>
      <c r="CI148" s="42">
        <f>IF(N(Tasks[[#This Row],[_Pred1UID]])=0,0,IFERROR(MATCH(Tasks[[#This Row],[_Pred1UID]],Tasks[UID],0),-1))</f>
        <v/>
      </c>
      <c r="CJ148" s="42">
        <f>IF(N(Tasks[[#This Row],[_Pred2UID]])=0,0,IFERROR(MATCH(Tasks[[#This Row],[_Pred2UID]],Tasks[UID],0),-1))</f>
        <v/>
      </c>
      <c r="CK148" s="42">
        <f>IF(N(Tasks[[#This Row],[_Pred3UID]])=0,0,IFERROR(MATCH(Tasks[[#This Row],[_Pred3UID]],Tasks[UID],0),-1))</f>
        <v/>
      </c>
      <c r="CL148" s="42">
        <f>IF(N(Tasks[[#This Row],[_Pred4UID]])=0,0,IFERROR(MATCH(Tasks[[#This Row],[_Pred4UID]],Tasks[UID],0),-1))</f>
        <v/>
      </c>
      <c r="CM14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8" s="88">
        <f>IF(N(Tasks[[#This Row],[Constraint Date]])=0,0,IF(AND(OR(Tasks[[#This Row],[_ConstraintCode]]=3,Tasks[[#This Row],[_ConstraintCode]]=6,Tasks[[#This Row],[_ConstraintCode]]=7),N(Tasks[[#This Row],[_Days]])&gt;1),WORKDAY.INTL(N(Tasks[[#This Row],[Constraint Date]]),-(N(Tasks[[#This Row],[_Days]])-1),WorkWeek,Holidays),N(Tasks[[#This Row],[Constraint Date]])))</f>
        <v/>
      </c>
      <c r="CO148" s="88">
        <f>IF(OR(Tasks[[#This Row],[_ConstraintCode]]=2,Tasks[[#This Row],[_ConstraintCode]]=3,Tasks[[#This Row],[_ConstraintCode]]=4,Tasks[[#This Row],[_ConstraintCode]]=6),Tasks[[#This Row],[_ConstraintStart]],0)</f>
        <v/>
      </c>
      <c r="CP148" s="88">
        <f>IF(OR(Tasks[[#This Row],[_ConstraintCode]]=2,Tasks[[#This Row],[_ConstraintCode]]=3,Tasks[[#This Row],[_ConstraintCode]]=5,Tasks[[#This Row],[_ConstraintCode]]=7),Tasks[[#This Row],[_ConstraintStart]],2958465)</f>
        <v/>
      </c>
      <c r="CQ14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8" s="88">
        <f>IF(NOT(Tasks[[#This Row],[_IsLeaf]]=1),"",IF(N(Tasks[[#This Row],[_Days]])&lt;=0,Tasks[[#This Row],[_LeafCalcStart]],WORKDAY.INTL(Tasks[[#This Row],[_LeafCalcStart]],Tasks[[#This Row],[_Days]]-1,WorkWeek,Holidays)))</f>
        <v/>
      </c>
      <c r="CS14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8" s="42">
        <f>IF(Tasks[[#This Row],[_Predecessors]]="","",TRIM(MID(SUBSTITUTE(SUBSTITUTE(SUBSTITUTE(UPPER(Tasks[[#This Row],[_Predecessors]]),";",",")," ",""),",",REPT(" ",99)),1,99)))</f>
        <v/>
      </c>
      <c r="CV148" s="42">
        <f>IF(Tasks[[#This Row],[_Pred1Text]]="","",IFERROR(VALUE(LEFT(Tasks[[#This Row],[_Pred1Text]],MIN(FIND("F",Tasks[[#This Row],[_Pred1Text]]&amp;"F"),FIND("S",Tasks[[#This Row],[_Pred1Text]]&amp;"S"),FIND("+",Tasks[[#This Row],[_Pred1Text]]&amp;"+"),FIND("-",Tasks[[#This Row],[_Pred1Text]]&amp;"-"))-1)),""))</f>
        <v/>
      </c>
      <c r="CW14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8" s="42">
        <f>IF(Tasks[[#This Row],[_Pred1Text]]="","",TRIM(MID(SUBSTITUTE(SUBSTITUTE(SUBSTITUTE(UPPER(Tasks[[#This Row],[_Predecessors]]),";",",")," ",""),",",REPT(" ",99)),100,99)))</f>
        <v/>
      </c>
      <c r="CZ148" s="42">
        <f>IF(Tasks[[#This Row],[_Pred2Text]]="","",IFERROR(VALUE(LEFT(Tasks[[#This Row],[_Pred2Text]],MIN(FIND("F",Tasks[[#This Row],[_Pred2Text]]&amp;"F"),FIND("S",Tasks[[#This Row],[_Pred2Text]]&amp;"S"),FIND("+",Tasks[[#This Row],[_Pred2Text]]&amp;"+"),FIND("-",Tasks[[#This Row],[_Pred2Text]]&amp;"-"))-1)),""))</f>
        <v/>
      </c>
      <c r="DA14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8" s="42">
        <f>IF(Tasks[[#This Row],[_Pred2Text]]="","",TRIM(MID(SUBSTITUTE(SUBSTITUTE(SUBSTITUTE(UPPER(Tasks[[#This Row],[_Predecessors]]),";",",")," ",""),",",REPT(" ",99)),199,99)))</f>
        <v/>
      </c>
      <c r="DD148" s="42">
        <f>IF(Tasks[[#This Row],[_Pred3Text]]="","",IFERROR(VALUE(LEFT(Tasks[[#This Row],[_Pred3Text]],MIN(FIND("F",Tasks[[#This Row],[_Pred3Text]]&amp;"F"),FIND("S",Tasks[[#This Row],[_Pred3Text]]&amp;"S"),FIND("+",Tasks[[#This Row],[_Pred3Text]]&amp;"+"),FIND("-",Tasks[[#This Row],[_Pred3Text]]&amp;"-"))-1)),""))</f>
        <v/>
      </c>
      <c r="DE14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8" s="42">
        <f>IF(Tasks[[#This Row],[_Pred3Text]]="","",TRIM(MID(SUBSTITUTE(SUBSTITUTE(SUBSTITUTE(UPPER(Tasks[[#This Row],[_Predecessors]]),";",",")," ",""),",",REPT(" ",99)),298,99)))</f>
        <v/>
      </c>
      <c r="DH148" s="42">
        <f>IF(Tasks[[#This Row],[_Pred4Text]]="","",IFERROR(VALUE(LEFT(Tasks[[#This Row],[_Pred4Text]],MIN(FIND("F",Tasks[[#This Row],[_Pred4Text]]&amp;"F"),FIND("S",Tasks[[#This Row],[_Pred4Text]]&amp;"S"),FIND("+",Tasks[[#This Row],[_Pred4Text]]&amp;"+"),FIND("-",Tasks[[#This Row],[_Pred4Text]]&amp;"-"))-1)),""))</f>
        <v/>
      </c>
      <c r="DI14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8" s="42">
        <f>IF(OR(Tasks[[#This Row],[Task Name]]="",Tasks[[#This Row],[_Resources]]=""),"",TRIM(MID(SUBSTITUTE(Tasks[[#This Row],[_Resources]],",",REPT(" ",99)),1,99)))</f>
        <v/>
      </c>
      <c r="DL148" s="42">
        <f>IF(Tasks[[#This Row],[_Res1Text]]="","",TRIM(MID(SUBSTITUTE(Tasks[[#This Row],[_Resources]],",",REPT(" ",99)),100,99)))</f>
        <v/>
      </c>
      <c r="DM148" s="42">
        <f>IF(Tasks[[#This Row],[_Res2Text]]="","",TRIM(MID(SUBSTITUTE(Tasks[[#This Row],[_Resources]],",",REPT(" ",99)),199,99)))</f>
        <v/>
      </c>
      <c r="DN148" s="42">
        <f>IF(Tasks[[#This Row],[_Res3Text]]="","",TRIM(MID(SUBSTITUTE(Tasks[[#This Row],[_Resources]],",",REPT(" ",99)),298,99)))</f>
        <v/>
      </c>
      <c r="DO148" s="42">
        <f>IF(Tasks[[#This Row],[_Res1Text]]="",0,IFERROR(MATCH(TRIM(LEFT(Tasks[[#This Row],[_Res1Text]],FIND("[",Tasks[[#This Row],[_Res1Text]]&amp;"[")-1)),res_Name,0),IFERROR(MATCH(TRIM(LEFT(Tasks[[#This Row],[_Res1Text]],FIND("[",Tasks[[#This Row],[_Res1Text]]&amp;"[")-1)),res_Initials,0),0)))</f>
        <v/>
      </c>
      <c r="DP148" s="42">
        <f>IF(Tasks[[#This Row],[_Res2Text]]="",0,IFERROR(MATCH(TRIM(LEFT(Tasks[[#This Row],[_Res2Text]],FIND("[",Tasks[[#This Row],[_Res2Text]]&amp;"[")-1)),res_Name,0),IFERROR(MATCH(TRIM(LEFT(Tasks[[#This Row],[_Res2Text]],FIND("[",Tasks[[#This Row],[_Res2Text]]&amp;"[")-1)),res_Initials,0),0)))</f>
        <v/>
      </c>
      <c r="DQ148" s="42">
        <f>IF(Tasks[[#This Row],[_Res3Text]]="",0,IFERROR(MATCH(TRIM(LEFT(Tasks[[#This Row],[_Res3Text]],FIND("[",Tasks[[#This Row],[_Res3Text]]&amp;"[")-1)),res_Name,0),IFERROR(MATCH(TRIM(LEFT(Tasks[[#This Row],[_Res3Text]],FIND("[",Tasks[[#This Row],[_Res3Text]]&amp;"[")-1)),res_Initials,0),0)))</f>
        <v/>
      </c>
      <c r="DR148" s="42">
        <f>IF(Tasks[[#This Row],[_Res4Text]]="",0,IFERROR(MATCH(TRIM(LEFT(Tasks[[#This Row],[_Res4Text]],FIND("[",Tasks[[#This Row],[_Res4Text]]&amp;"[")-1)),res_Name,0),IFERROR(MATCH(TRIM(LEFT(Tasks[[#This Row],[_Res4Text]],FIND("[",Tasks[[#This Row],[_Res4Text]]&amp;"[")-1)),res_Initials,0),0)))</f>
        <v/>
      </c>
      <c r="DS148" s="42">
        <f>IF(Tasks[[#This Row],[_Res1Text]]="","",IF(Tasks[[#This Row],[_Res1Row]]&gt;0,INDEX(res_Name,Tasks[[#This Row],[_Res1Row]]),TRIM(LEFT(Tasks[[#This Row],[_Res1Text]],FIND("[",Tasks[[#This Row],[_Res1Text]]&amp;"[")-1))))</f>
        <v/>
      </c>
      <c r="DT14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8" s="42">
        <f>IF(NOT(Tasks[[#This Row],[_IsLeaf]]=1),0,(Tasks[[#This Row],[_Resource1]]&lt;&gt;"")+(Tasks[[#This Row],[_Res2]]&lt;&gt;"")+(Tasks[[#This Row],[_Res3]]&lt;&gt;"")+(Tasks[[#This Row],[_Res4]]&lt;&gt;""))</f>
        <v/>
      </c>
      <c r="DV148" s="42">
        <f>IF(Tasks[[#This Row],[_Res2Text]]="","",IF(Tasks[[#This Row],[_Res2Row]]&gt;0,INDEX(res_Name,Tasks[[#This Row],[_Res2Row]]),TRIM(LEFT(Tasks[[#This Row],[_Res2Text]],FIND("[",Tasks[[#This Row],[_Res2Text]]&amp;"[")-1))))</f>
        <v/>
      </c>
      <c r="DW14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8" s="42">
        <f>IF(OR(NOT(Tasks[[#This Row],[_IsLeaf]]=1),Tasks[[#This Row],[_Res2Row]]=0),0,N(Tasks[[#This Row],[_Days]])*HoursPerDay*IF(Tasks[[#This Row],[_Res2Units]]="",DefaultUnits,Tasks[[#This Row],[_Res2Units]]))</f>
        <v/>
      </c>
      <c r="DY148" s="42">
        <f>IF(AND(AND(Tasks[[#This Row],[_IsLeaf]]=1,Tasks[[#This Row],[_LeafTotalWork]]&gt;0),Tasks[[#This Row],[_Res2Work]]&gt;0),Tasks[[#This Row],[_Res2Work]]/(Tasks[[#This Row],[_FinishWorkday]]-Tasks[[#This Row],[_StartWorkday]]+1),0)</f>
        <v/>
      </c>
      <c r="DZ148" s="42">
        <f>Tasks[[#This Row],[_Res2WorkPerWD]]*MAX(0,Tasks[[#This Row],[_StartWorkday]]-1)</f>
        <v/>
      </c>
      <c r="EA148" s="42">
        <f>Tasks[[#This Row],[_Res2Work]]*Tasks[[#This Row],[_LeafProgress]]</f>
        <v/>
      </c>
      <c r="EB148" s="42">
        <f>IF(Tasks[[#This Row],[_Res3Text]]="","",IF(Tasks[[#This Row],[_Res3Row]]&gt;0,INDEX(res_Name,Tasks[[#This Row],[_Res3Row]]),TRIM(LEFT(Tasks[[#This Row],[_Res3Text]],FIND("[",Tasks[[#This Row],[_Res3Text]]&amp;"[")-1))))</f>
        <v/>
      </c>
      <c r="EC14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8" s="42">
        <f>IF(OR(NOT(Tasks[[#This Row],[_IsLeaf]]=1),Tasks[[#This Row],[_Res3Row]]=0),0,N(Tasks[[#This Row],[_Days]])*HoursPerDay*IF(Tasks[[#This Row],[_Res3Units]]="",DefaultUnits,Tasks[[#This Row],[_Res3Units]]))</f>
        <v/>
      </c>
      <c r="EE148" s="42">
        <f>IF(AND(AND(Tasks[[#This Row],[_IsLeaf]]=1,Tasks[[#This Row],[_LeafTotalWork]]&gt;0),Tasks[[#This Row],[_Res3Work]]&gt;0),Tasks[[#This Row],[_Res3Work]]/(Tasks[[#This Row],[_FinishWorkday]]-Tasks[[#This Row],[_StartWorkday]]+1),0)</f>
        <v/>
      </c>
      <c r="EF148" s="42">
        <f>Tasks[[#This Row],[_Res3WorkPerWD]]*MAX(0,Tasks[[#This Row],[_StartWorkday]]-1)</f>
        <v/>
      </c>
      <c r="EG148" s="42">
        <f>Tasks[[#This Row],[_Res3Work]]*Tasks[[#This Row],[_LeafProgress]]</f>
        <v/>
      </c>
      <c r="EH148" s="42">
        <f>IF(Tasks[[#This Row],[_Res4Text]]="","",IF(Tasks[[#This Row],[_Res4Row]]&gt;0,INDEX(res_Name,Tasks[[#This Row],[_Res4Row]]),TRIM(LEFT(Tasks[[#This Row],[_Res4Text]],FIND("[",Tasks[[#This Row],[_Res4Text]]&amp;"[")-1))))</f>
        <v/>
      </c>
      <c r="EI14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8" s="42">
        <f>IF(OR(NOT(Tasks[[#This Row],[_IsLeaf]]=1),Tasks[[#This Row],[_Res4Row]]=0),0,N(Tasks[[#This Row],[_Days]])*HoursPerDay*IF(Tasks[[#This Row],[_Res4Units]]="",DefaultUnits,Tasks[[#This Row],[_Res4Units]]))</f>
        <v/>
      </c>
      <c r="EK148" s="42">
        <f>IF(AND(AND(Tasks[[#This Row],[_IsLeaf]]=1,Tasks[[#This Row],[_LeafTotalWork]]&gt;0),Tasks[[#This Row],[_Res4Work]]&gt;0),Tasks[[#This Row],[_Res4Work]]/(Tasks[[#This Row],[_FinishWorkday]]-Tasks[[#This Row],[_StartWorkday]]+1),0)</f>
        <v/>
      </c>
      <c r="EL148" s="42">
        <f>Tasks[[#This Row],[_Res4WorkPerWD]]*MAX(0,Tasks[[#This Row],[_StartWorkday]]-1)</f>
        <v/>
      </c>
      <c r="EM148" s="42">
        <f>Tasks[[#This Row],[_Res4Work]]*Tasks[[#This Row],[_LeafProgress]]</f>
        <v/>
      </c>
      <c r="EN148" s="42">
        <f>IF(ISNUMBER(Tasks[[#This Row],[% Complete]]),Tasks[[#This Row],[% Complete]],IF(Tasks[[#This Row],[Stage]]="",0,IFERROR(INDEX(stg_Pct,MATCH(Tasks[[#This Row],[Stage]],stg_Name,0)),0)))</f>
        <v/>
      </c>
      <c r="EO148" s="42">
        <f>IF(NOT(Tasks[[#This Row],[_IsLeaf]]=1),0,IF(N(Tasks[[#This Row],[Actual Finish]])&gt;0,1,MIN(1,Tasks[[#This Row],[_Pct]])))</f>
        <v/>
      </c>
      <c r="EP148" s="42">
        <f>IF(OR(NOT(Tasks[[#This Row],[_IsLeaf]]=1),Tasks[[#This Row],[_Res1Row]]=0),0,N(Tasks[[#This Row],[_Days]])*HoursPerDay*IF(Tasks[[#This Row],[_Units1]]="",DefaultUnits,Tasks[[#This Row],[_Units1]]))</f>
        <v/>
      </c>
      <c r="EQ148" s="42">
        <f>Tasks[[#This Row],[_LeafWork]]+Tasks[[#This Row],[_Res2Work]]+Tasks[[#This Row],[_Res3Work]]+Tasks[[#This Row],[_Res4Work]]</f>
        <v/>
      </c>
      <c r="ER14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8" s="42">
        <f>IF(NOT(Tasks[[#This Row],[_IsLeaf]]=1),0,MAX(_xlfn.MAXIFS(Tasks[_Row],Tasks[_Pred1UID],Tasks[[#This Row],[UID]]),_xlfn.MAXIFS(Tasks[_Row],Tasks[_Pred2UID],Tasks[[#This Row],[UID]]),_xlfn.MAXIFS(Tasks[_Row],Tasks[_Pred3UID],Tasks[[#This Row],[UID]]),_xlfn.MAXIFS(Tasks[_Row],Tasks[_Pred4UID],Tasks[[#This Row],[UID]])))</f>
        <v/>
      </c>
      <c r="FA14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8" s="88">
        <f>IF(NOT(Tasks[[#This Row],[_IsLeaf]]=1),"",IF(N(Tasks[[#This Row],[_Days]])&lt;=0,Tasks[[#This Row],[_LeafLateFinish]],WORKDAY.INTL(Tasks[[#This Row],[_LeafLateFinish]],-(Tasks[[#This Row],[_Days]]-1),WorkWeek,Holidays)))</f>
        <v/>
      </c>
      <c r="FD14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8" s="42">
        <f>AND(Tasks[[#This Row],[_IsLeaf]]=1,Tasks[[#This Row],[_LeafProgress]]&lt;1,N(Tasks[[#This Row],[_LeafTotalSlack]])&lt;=CriticalSlackDays)</f>
        <v/>
      </c>
      <c r="FF148" s="42">
        <f>IF(AND(Tasks[[#This Row],[_IsLeaf]]=1,Tasks[[#This Row],[_ConstraintCode]]=1,Tasks[[#This Row],[Mode]]&lt;&gt;"Manual",N(Tasks[[#This Row],[Actual Start]])=0),MAX(0,N(Tasks[[#This Row],[Free Slack]])),0)</f>
        <v/>
      </c>
      <c r="FG148" s="88">
        <f>IF(NOT(Tasks[[#This Row],[_IsLeaf]]=1),"",IF(Tasks[[#This Row],[_AlapShift]]=0,Tasks[[#This Row],[_LeafCalcStart]],WORKDAY.INTL(Tasks[[#This Row],[_LeafCalcStart]],Tasks[[#This Row],[_AlapShift]],WorkWeek,Holidays)))</f>
        <v/>
      </c>
      <c r="FH148" s="88">
        <f>IF(NOT(Tasks[[#This Row],[_IsLeaf]]=1),"",IF(Tasks[[#This Row],[_AlapShift]]=0,Tasks[[#This Row],[_LeafCalcFinish]],WORKDAY.INTL(Tasks[[#This Row],[_LeafCalcFinish]],Tasks[[#This Row],[_AlapShift]],WorkWeek,Holidays)))</f>
        <v/>
      </c>
      <c r="FI148" s="88">
        <f>IF(NOT(Tasks[[#This Row],[_IsLeaf]]=1),"",IF(Tasks[[#This Row],[_AlapShift]]=0,Tasks[[#This Row],[_LeafFcstStart]],WORKDAY.INTL(Tasks[[#This Row],[_LeafFcstStart]],Tasks[[#This Row],[_AlapShift]],WorkWeek,Holidays)))</f>
        <v/>
      </c>
      <c r="FJ148" s="88">
        <f>IF(NOT(Tasks[[#This Row],[_IsLeaf]]=1),"",IF(Tasks[[#This Row],[_AlapShift]]=0,Tasks[[#This Row],[_LeafFcstFinish]],WORKDAY.INTL(Tasks[[#This Row],[_LeafFcstFinish]],Tasks[[#This Row],[_AlapShift]],WorkWeek,Holidays)))</f>
        <v/>
      </c>
      <c r="FK148" s="88">
        <f>IF(Tasks[[#This Row],[Task Name]]="","",IF(Tasks[[#This Row],[_IsSummary]],MIN(INDEX(Tasks[_ShownCalcStart],Tasks[[#This Row],[_Row]]+1):INDEX(Tasks[_ShownCalcStart],Tasks[[#This Row],[_Row]]+Tasks[[#This Row],[_Descendants]])),Tasks[[#This Row],[_ShownCalcStart]]))</f>
        <v/>
      </c>
      <c r="FL148" s="88">
        <f>IF(Tasks[[#This Row],[Task Name]]="","",IF(Tasks[[#This Row],[_IsSummary]],MAX(INDEX(Tasks[_ShownCalcFinish],Tasks[[#This Row],[_Row]]+1):INDEX(Tasks[_ShownCalcFinish],Tasks[[#This Row],[_Row]]+Tasks[[#This Row],[_Descendants]])),Tasks[[#This Row],[_ShownCalcFinish]]))</f>
        <v/>
      </c>
      <c r="FM14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8" s="42">
        <f>IF(AND(Tasks[[#This Row],[_IsLeaf]]=1,Tasks[[#This Row],[_LeafTotalWork]]&gt;0),NETWORKDAYS.INTL(ProjectStart,Tasks[[#This Row],[_ShownFcstStart]],WorkWeek,Holidays),0)</f>
        <v/>
      </c>
      <c r="FZ148" s="42">
        <f>IF(AND(Tasks[[#This Row],[_IsLeaf]]=1,Tasks[[#This Row],[_LeafTotalWork]]&gt;0),MAX(Tasks[[#This Row],[_StartWorkday]],NETWORKDAYS.INTL(ProjectStart,Tasks[[#This Row],[_ShownFcstFinish]],WorkWeek,Holidays)),0)</f>
        <v/>
      </c>
      <c r="GA148" s="42">
        <f>IF(AND(Tasks[[#This Row],[_IsLeaf]]=1,Tasks[[#This Row],[_LeafTotalWork]]&gt;0),Tasks[[#This Row],[_LeafWork]]/(Tasks[[#This Row],[_FinishWorkday]]-Tasks[[#This Row],[_StartWorkday]]+1),0)</f>
        <v/>
      </c>
      <c r="GB148" s="42">
        <f>Tasks[[#This Row],[_WorkPerWorkday]]*(Tasks[[#This Row],[_StartWorkday]]-1)</f>
        <v/>
      </c>
      <c r="GC148" s="42">
        <f>IF(Tasks[[#This Row],[_IsLeaf]]=1,MAX(N(Tasks[[#This Row],[_Days]]),0.1),0)</f>
        <v/>
      </c>
      <c r="GD148" s="42">
        <f>Tasks[[#This Row],[_WeightDur]]*Tasks[[#This Row],[_LeafProgress]]</f>
        <v/>
      </c>
      <c r="GE148" s="42">
        <f>Tasks[[#This Row],[_WeightDur]]*Tasks[[#This Row],[_PlannedPct]]</f>
        <v/>
      </c>
      <c r="GF14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8" s="42">
        <f>IF(AND(Tasks[[#This Row],[_IsLeaf]]=1,N(Tasks[[#This Row],[_Days]])=0,Tasks[[#This Row],[_LeafProgress]]&lt;1),Tasks[[#This Row],[_ShownFcstFinish]]+Tasks[[#This Row],[_Row]]/100000,"")</f>
        <v/>
      </c>
      <c r="GH14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8" s="42">
        <f>IF(Tasks[[#This Row],[Task Name]]="","",LEFT(Tasks[[#This Row],[WBS]],FIND(".",Tasks[[#This Row],[WBS]]&amp;".")-1))</f>
        <v/>
      </c>
      <c r="GJ148" s="42">
        <f>IF(AND(Tasks[[#This Row],[Task Name]]&lt;&gt;"",Tasks[[#This Row],[_Level]]=1),Tasks[[#This Row],[_Row]],"")</f>
        <v/>
      </c>
      <c r="GK148" s="42">
        <f>IF(AND(Tasks[[#This Row],[_IsLeaf]]=1,N(Tasks[[#This Row],[_Days]])=0),Tasks[[#This Row],[Planned Finish]]+Tasks[[#This Row],[_Row]]/100000,"")</f>
        <v/>
      </c>
      <c r="GL148" s="42">
        <f>IF(AND(Tasks[[#This Row],[_IsLeaf]]=1,Tasks[[#This Row],[_LeafProgress]]&lt;1,OR(N(Tasks[[#This Row],[Finish Var]])&gt;0,Tasks[[#This Row],[Status]]="Late Start")),MAX(0,Tasks[[#This Row],[Finish Var]])+1-Tasks[[#This Row],[_Row]]/1000000,"")</f>
        <v/>
      </c>
      <c r="GM148" s="42">
        <f>IF(AND(Tasks[[#This Row],[_IsLeaf]]=1,N(Tasks[[#This Row],[Actual Start]])=0,Tasks[[#This Row],[_ShownFcstStart]]&gt;=StatusDate,Tasks[[#This Row],[_ShownFcstStart]]&lt;=LookaheadEnd),Tasks[[#This Row],[_ShownFcstStart]]+Tasks[[#This Row],[_Row]]/100000,"")</f>
        <v/>
      </c>
      <c r="GN148" s="42">
        <f>IF(AND(Tasks[[#This Row],[_IsLeaf]]=1,Tasks[[#This Row],[_LeafProgress]]&lt;1,Tasks[[#This Row],[_ShownFcstFinish]]&gt;=StatusDate,Tasks[[#This Row],[_ShownFcstFinish]]&lt;=LookaheadEnd),Tasks[[#This Row],[_ShownFcstFinish]]+Tasks[[#This Row],[_Row]]/100000,"")</f>
        <v/>
      </c>
      <c r="GO148" s="42">
        <f>IF(Tasks[[#This Row],[_LeafCritical]],Tasks[[#This Row],[_ShownFcstStart]]+Tasks[[#This Row],[_Row]]/100000,"")</f>
        <v/>
      </c>
      <c r="GP148" s="42">
        <f>Tasks[[#This Row],[_LeafWork]]*Tasks[[#This Row],[_LeafProgress]]</f>
        <v/>
      </c>
      <c r="GQ148" s="88">
        <f>IF(AND(Tasks[[#This Row],[_IsLeaf]]=1,Tasks[[#This Row],[_LeafProgress]]&gt;=1),IF(N(Tasks[[#This Row],[Actual Finish]])&gt;0,Tasks[[#This Row],[Actual Finish]],Tasks[[#This Row],[_ShownFcstFinish]]),"")</f>
        <v/>
      </c>
      <c r="GR148" s="42">
        <f>IF(Tasks[[#This Row],[_IsLeaf]]=1,N(Tasks[[#This Row],[Story Points]]),0)</f>
        <v/>
      </c>
      <c r="GS148" s="42">
        <f>""</f>
        <v/>
      </c>
      <c r="GT148" s="42">
        <f>IF(Tasks[[#This Row],[Task Name]]="",FALSE(),AND(Tasks[[#This Row],[_IsLeaf]]=1,N(Tasks[[#This Row],[_Days]])=0))</f>
        <v/>
      </c>
      <c r="GU148" s="88">
        <f>IF(Tasks[[#This Row],[Task Name]]="",0,IF(AND(Tasks[[#This Row],[_IsLeaf]]=1,NOT(Tasks[[#This Row],[_IsMilestone]]),N(Tasks[[#This Row],[Progress]])&gt;0),Tasks[[#This Row],[Start]],0))</f>
        <v/>
      </c>
      <c r="GV148" s="88">
        <f>IF(Tasks[[#This Row],[_DoneFrom]]=0,0,IF(Tasks[[#This Row],[Progress]]&gt;=1,Tasks[[#This Row],[Finish]],MAX(Tasks[[#This Row],[_DoneFrom]],Tasks[[#This Row],[Start]]+ROUND((Tasks[[#This Row],[Finish]]-Tasks[[#This Row],[Start]]+1)*Tasks[[#This Row],[Progress]],0)-1)))</f>
        <v/>
      </c>
      <c r="GW148" s="88">
        <f>IF(Tasks[[#This Row],[Task Name]]="",0,IF(OR(NOT(Tasks[[#This Row],[_IsLeaf]]=1),Tasks[[#This Row],[_IsMilestone]],N(Tasks[[#This Row],[Progress]])&gt;=1),0,IF(Tasks[[#This Row],[_DoneTo]]&gt;0,Tasks[[#This Row],[_DoneTo]]+1,Tasks[[#This Row],[Start]])))</f>
        <v/>
      </c>
      <c r="GX148" s="88">
        <f>IF(Tasks[[#This Row],[_RemFrom]]=0,0,Tasks[[#This Row],[Finish]])</f>
        <v/>
      </c>
      <c r="GY148" s="42">
        <f>IF(Tasks[[#This Row],[Task Name]]="",FALSE(),OR(NOT(BaselineSet),N(Tasks[[#This Row],[Baseline Start]])&gt;0))</f>
        <v/>
      </c>
      <c r="GZ148" s="42">
        <f>IF(AND(Sandbox="Yes",L_PARSE_DURATION(Tasks[[#This Row],[Sandbox Duration]])&lt;&gt;""),L_PARSE_DURATION(Tasks[[#This Row],[Sandbox Duration]]),L_PARSE_DURATION(Tasks[[#This Row],[Duration]]))</f>
        <v/>
      </c>
      <c r="HA14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8" s="42">
        <f>IF(Tasks[[#This Row],[_IsLeaf]]=1,Tasks[[#This Row],[_Row]],"")</f>
        <v/>
      </c>
      <c r="HD148" s="42">
        <f>IFERROR(INDEX(Tasks[UID],SMALL(Tasks[_PickKey],Tasks[[#This Row],[_Row]]))&amp;" "&amp;INDEX(Tasks[Task Name],SMALL(Tasks[_PickKey],Tasks[[#This Row],[_Row]])),"")</f>
        <v/>
      </c>
      <c r="HE148" s="42">
        <f>IF(Tasks[[#This Row],[Task Name]]="","",IF(Tasks[[#This Row],[_IsSummary]],NETWORKDAYS.INTL(Tasks[[#This Row],[Start]],Tasks[[#This Row],[Finish]],WorkWeek,Holidays),N(Tasks[[#This Row],[_Days]])))</f>
        <v/>
      </c>
      <c r="HF148" s="42">
        <f>IF(Tasks[[#This Row],[Expected]]="",0,((Tasks[[#This Row],[Pessimistic]]-Tasks[[#This Row],[Optimistic]])/6)^2)</f>
        <v/>
      </c>
      <c r="HG148" s="42">
        <f>IF(Tasks[[#This Row],[Expected]]="",0,Tasks[[#This Row],[Expected]]-N(Tasks[[#This Row],[_Days]]))</f>
        <v/>
      </c>
    </row>
    <row r="149">
      <c r="A149" s="21">
        <f>IF(Tasks[[#This Row],[Task Name]]="","",COUNTA(Tasks[[#Headers],[Task Name]]:Tasks[[#This Row],[Task Name]])-1)</f>
        <v/>
      </c>
      <c r="B149" s="22" t="n">
        <v>157</v>
      </c>
      <c r="C149" s="22" t="n"/>
      <c r="D149" s="23" t="n"/>
      <c r="E149" s="22" t="n"/>
      <c r="F149" s="23" t="n"/>
      <c r="G149" s="22" t="n"/>
      <c r="H149" s="22" t="n"/>
      <c r="I149" s="23" t="n"/>
      <c r="J149" s="22" t="n"/>
      <c r="K149" s="22" t="n"/>
      <c r="L149" s="23" t="n"/>
      <c r="M149" s="22" t="n"/>
      <c r="N149" s="22" t="n"/>
      <c r="O149" s="23" t="n"/>
      <c r="P149" s="22" t="n"/>
      <c r="Q149" s="22" t="n"/>
      <c r="R149" s="23" t="n"/>
      <c r="S149" s="23" t="n"/>
      <c r="T149" s="82" t="n"/>
      <c r="U149" s="23" t="n"/>
      <c r="V149" s="82" t="n"/>
      <c r="W149" s="23" t="n"/>
      <c r="X149" s="82" t="n"/>
      <c r="Y149" s="23" t="n"/>
      <c r="Z149" s="82" t="n"/>
      <c r="AA149" s="23" t="n"/>
      <c r="AB149" s="23" t="n"/>
      <c r="AC149" s="7" t="n"/>
      <c r="AD149" s="7" t="n"/>
      <c r="AE149" s="61">
        <f>IF(Tasks[[#This Row],[Task Name]]="","",IF(Tasks[[#This Row],[_IsSummary]],MIN(INDEX(Tasks[_ShownFcstStart],Tasks[[#This Row],[_Row]]+1):INDEX(Tasks[_ShownFcstStart],Tasks[[#This Row],[_Row]]+Tasks[[#This Row],[_Descendants]])),Tasks[[#This Row],[_ShownFcstStart]]))</f>
        <v/>
      </c>
      <c r="AF149" s="61">
        <f>IF(Tasks[[#This Row],[Task Name]]="","",IF(Tasks[[#This Row],[_IsSummary]],MAX(INDEX(Tasks[_ShownFcstFinish],Tasks[[#This Row],[_Row]]+1):INDEX(Tasks[_ShownFcstFinish],Tasks[[#This Row],[_Row]]+Tasks[[#This Row],[_Descendants]])),Tasks[[#This Row],[_ShownFcstFinish]]))</f>
        <v/>
      </c>
      <c r="AG149" s="21">
        <f>""</f>
        <v/>
      </c>
      <c r="AH149" s="23" t="n"/>
      <c r="AI14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49" s="7" t="n"/>
      <c r="AK149" s="22" t="n"/>
      <c r="AL149" s="23" t="n"/>
      <c r="AM149" s="7" t="n"/>
      <c r="AN149" s="21">
        <f>IF(Tasks[[#This Row],[Task Name]]="","",IF(Tasks[[#This Row],[Finish]]&gt;=Tasks[[#This Row],[Planned Finish]],NETWORKDAYS.INTL(Tasks[[#This Row],[Planned Finish]],Tasks[[#This Row],[Finish]],WorkWeek,Holidays)-1,1-NETWORKDAYS.INTL(Tasks[[#This Row],[Finish]],Tasks[[#This Row],[Planned Finish]],WorkWeek,Holidays)))</f>
        <v/>
      </c>
      <c r="AO149" s="21">
        <f>IF(Tasks[[#This Row],[Task Name]]="","",IF(Tasks[[#This Row],[Progress]]&gt;=1,"Complete",IF(OR(N(Tasks[[#This Row],[Actual Start]])&gt;0,Tasks[[#This Row],[Progress]]&gt;0),IF(Tasks[[#This Row],[Finish Var]]&gt;0,"Behind","In Progress"),IF(Tasks[[#This Row],[Planned Start]]&lt;StatusDate,"Late Start","Not Started"))))</f>
        <v/>
      </c>
      <c r="AP149" s="21">
        <f>IF(Tasks[[#This Row],[Task Name]]="","",IF(IF(Tasks[[#This Row],[_IsSummary]],COUNTIF(INDEX(Tasks[_LeafCritical],Tasks[[#This Row],[_Row]]+1):INDEX(Tasks[_LeafCritical],Tasks[[#This Row],[_Row]]+Tasks[[#This Row],[_Descendants]]),TRUE())&gt;0,Tasks[[#This Row],[_LeafCritical]]),"Yes",""))</f>
        <v/>
      </c>
      <c r="AQ149" s="61">
        <f>IF(Tasks[[#This Row],[Task Name]]="","",IF(N(Tasks[[#This Row],[Baseline Start]])&gt;0,Tasks[[#This Row],[Baseline Start]],Tasks[[#This Row],[_CalcStart]]))</f>
        <v/>
      </c>
      <c r="AR149" s="61">
        <f>IF(Tasks[[#This Row],[Task Name]]="","",IF(N(Tasks[[#This Row],[Baseline Finish]])&gt;0,Tasks[[#This Row],[Baseline Finish]],Tasks[[#This Row],[_CalcFinish]]))</f>
        <v/>
      </c>
      <c r="AS149" s="21">
        <f>IF(Tasks[[#This Row],[Task Name]]="","",IF(Tasks[[#This Row],[Start]]&gt;=Tasks[[#This Row],[Planned Start]],NETWORKDAYS.INTL(Tasks[[#This Row],[Planned Start]],Tasks[[#This Row],[Start]],WorkWeek,Holidays)-1,1-NETWORKDAYS.INTL(Tasks[[#This Row],[Start]],Tasks[[#This Row],[Planned Start]],WorkWeek,Holidays)))</f>
        <v/>
      </c>
      <c r="AT149" s="61">
        <f>IF(Tasks[[#This Row],[Task Name]]="","",IF(Tasks[[#This Row],[_IsSummary]],MIN(INDEX(Tasks[_LeafLateStart],Tasks[[#This Row],[_Row]]+1):INDEX(Tasks[_LeafLateStart],Tasks[[#This Row],[_Row]]+Tasks[[#This Row],[_Descendants]])),Tasks[[#This Row],[_LeafLateStart]]))</f>
        <v/>
      </c>
      <c r="AU149" s="61">
        <f>IF(Tasks[[#This Row],[Task Name]]="","",IF(Tasks[[#This Row],[_IsSummary]],MAX(INDEX(Tasks[_LeafLateFinish],Tasks[[#This Row],[_Row]]+1):INDEX(Tasks[_LeafLateFinish],Tasks[[#This Row],[_Row]]+Tasks[[#This Row],[_Descendants]])),Tasks[[#This Row],[_LeafLateFinish]]))</f>
        <v/>
      </c>
      <c r="AV149" s="21">
        <f>IF(Tasks[[#This Row],[Task Name]]="","",IF(Tasks[[#This Row],[_IsSummary]],MIN(INDEX(Tasks[_LeafTotalSlack],Tasks[[#This Row],[_Row]]+1):INDEX(Tasks[_LeafTotalSlack],Tasks[[#This Row],[_Row]]+Tasks[[#This Row],[_Descendants]])),Tasks[[#This Row],[_LeafTotalSlack]]))</f>
        <v/>
      </c>
      <c r="AW14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3" t="n"/>
      <c r="BA14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f>IF(Tasks[[#This Row],[Task Name]]="","",IF(Tasks[[#This Row],[_Level]]&lt;=OutlineShowLevel,"Yes","No"))</f>
        <v/>
      </c>
      <c r="BE149" s="84">
        <f>IF(Tasks[[#This Row],[Task Name]]="","",IF(Tasks[[#This Row],[_IsSummary]],SUM(INDEX(Tasks[_LeafTotalWork],Tasks[[#This Row],[_Row]]+1):INDEX(Tasks[_LeafTotalWork],Tasks[[#This Row],[_Row]]+Tasks[[#This Row],[_Descendants]])),Tasks[[#This Row],[_LeafTotalWork]]))</f>
        <v/>
      </c>
      <c r="BF149" s="23" t="n"/>
      <c r="BG14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f>""</f>
        <v/>
      </c>
      <c r="BI149" s="85" t="n"/>
      <c r="BJ149" s="22" t="n"/>
      <c r="BK149" s="21">
        <f>IF(OR(Tasks[[#This Row],[Task Name]]="",Tasks[[#This Row],[Baseline Duration]]=""),"",Tasks[[#This Row],[_SpanDays]]-N(Tasks[[#This Row],[Baseline Duration]]))</f>
        <v/>
      </c>
      <c r="BL149" s="84">
        <f>IF(OR(Tasks[[#This Row],[Task Name]]="",Tasks[[#This Row],[Baseline Work]]=""),"",Tasks[[#This Row],[Work]]-N(Tasks[[#This Row],[Baseline Work]]))</f>
        <v/>
      </c>
      <c r="BM149" s="61">
        <f>IF(Tasks[[#This Row],[Task Name]]="","",IF(OR(TakeBaseline="Yes",N(Tasks[[#This Row],[Baseline Start]])=0),Tasks[[#This Row],[Start]],Tasks[[#This Row],[Baseline Start]]))</f>
        <v/>
      </c>
      <c r="BN149" s="61">
        <f>IF(Tasks[[#This Row],[Task Name]]="","",IF(OR(TakeBaseline="Yes",N(Tasks[[#This Row],[Baseline Finish]])=0),Tasks[[#This Row],[Finish]],Tasks[[#This Row],[Baseline Finish]]))</f>
        <v/>
      </c>
      <c r="BO149" s="21">
        <f>IF(Tasks[[#This Row],[Task Name]]="","",IF(OR(TakeBaseline="Yes",N(Tasks[[#This Row],[Baseline Duration]])=0),Tasks[[#This Row],[_SpanDays]],Tasks[[#This Row],[Baseline Duration]]))</f>
        <v/>
      </c>
      <c r="BP149" s="84">
        <f>IF(Tasks[[#This Row],[Task Name]]="","",IF(OR(TakeBaseline="Yes",N(Tasks[[#This Row],[Baseline Work]])=0),Tasks[[#This Row],[Work]],Tasks[[#This Row],[Baseline Work]]))</f>
        <v/>
      </c>
      <c r="BQ149" s="7" t="n"/>
      <c r="BR149" s="7" t="n"/>
      <c r="BS149" s="22" t="n"/>
      <c r="BT149" s="86" t="n"/>
      <c r="BU149" s="23" t="n"/>
      <c r="BV149" s="23" t="n"/>
      <c r="BW149" s="23" t="n"/>
      <c r="BX149" s="87">
        <f>IF(AND(Tasks[[#This Row],[_IsLeaf]]=1,ISNUMBER(Tasks[[#This Row],[Optimistic]]),ISNUMBER(Tasks[[#This Row],[Pessimistic]])),ROUND((Tasks[[#This Row],[Optimistic]]+4*N(Tasks[[#This Row],[_Days]])+Tasks[[#This Row],[Pessimistic]])/6,1),"")</f>
        <v/>
      </c>
      <c r="BY149" s="85" t="n"/>
      <c r="BZ149" s="85" t="n"/>
      <c r="CA149" s="22" t="n"/>
      <c r="CB149" s="42">
        <f>IF(Tasks[[#This Row],[Task Name]]="","",MAX(1,N(Tasks[[#This Row],[Level]])))</f>
        <v/>
      </c>
      <c r="CC149" s="42">
        <f>ROW()-ROW(Tasks[[#Headers],[ID]])</f>
        <v/>
      </c>
      <c r="CD149" s="42">
        <f>IF(OR(Tasks[[#This Row],[Task Name]]="",Tasks[[#This Row],[_Level]]&lt;=1),0,IFERROR(LOOKUP(2,1/(Tasks[[#Headers],[_Level]]:Tasks[[#This Row],[_Level]]=Tasks[[#This Row],[_Level]]-1),ROW(Tasks[[#Headers],[_Level]]:Tasks[[#This Row],[_Level]])),0))</f>
        <v/>
      </c>
      <c r="CE149" s="42">
        <f>IFERROR(N(INDEX(Tasks[_Level],Tasks[[#This Row],[_Row]]+1)),0)</f>
        <v/>
      </c>
      <c r="CF149" s="42">
        <f>AND(Tasks[[#This Row],[Task Name]]&lt;&gt;"",Tasks[[#This Row],[_NextLevel]]&gt;Tasks[[#This Row],[_Level]])</f>
        <v/>
      </c>
      <c r="CG149" s="42">
        <f>IF(Tasks[[#This Row],[_IsSummary]],COUNTIF(Tasks[WBS],Tasks[[#This Row],[WBS]]&amp;".*"),0)</f>
        <v/>
      </c>
      <c r="CH149" s="42">
        <f>IF(AND(Tasks[[#This Row],[Task Name]]&lt;&gt;"",NOT(Tasks[[#This Row],[_IsSummary]])),1,0)</f>
        <v/>
      </c>
      <c r="CI149" s="42">
        <f>IF(N(Tasks[[#This Row],[_Pred1UID]])=0,0,IFERROR(MATCH(Tasks[[#This Row],[_Pred1UID]],Tasks[UID],0),-1))</f>
        <v/>
      </c>
      <c r="CJ149" s="42">
        <f>IF(N(Tasks[[#This Row],[_Pred2UID]])=0,0,IFERROR(MATCH(Tasks[[#This Row],[_Pred2UID]],Tasks[UID],0),-1))</f>
        <v/>
      </c>
      <c r="CK149" s="42">
        <f>IF(N(Tasks[[#This Row],[_Pred3UID]])=0,0,IFERROR(MATCH(Tasks[[#This Row],[_Pred3UID]],Tasks[UID],0),-1))</f>
        <v/>
      </c>
      <c r="CL149" s="42">
        <f>IF(N(Tasks[[#This Row],[_Pred4UID]])=0,0,IFERROR(MATCH(Tasks[[#This Row],[_Pred4UID]],Tasks[UID],0),-1))</f>
        <v/>
      </c>
      <c r="CM14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9" s="88">
        <f>IF(N(Tasks[[#This Row],[Constraint Date]])=0,0,IF(AND(OR(Tasks[[#This Row],[_ConstraintCode]]=3,Tasks[[#This Row],[_ConstraintCode]]=6,Tasks[[#This Row],[_ConstraintCode]]=7),N(Tasks[[#This Row],[_Days]])&gt;1),WORKDAY.INTL(N(Tasks[[#This Row],[Constraint Date]]),-(N(Tasks[[#This Row],[_Days]])-1),WorkWeek,Holidays),N(Tasks[[#This Row],[Constraint Date]])))</f>
        <v/>
      </c>
      <c r="CO149" s="88">
        <f>IF(OR(Tasks[[#This Row],[_ConstraintCode]]=2,Tasks[[#This Row],[_ConstraintCode]]=3,Tasks[[#This Row],[_ConstraintCode]]=4,Tasks[[#This Row],[_ConstraintCode]]=6),Tasks[[#This Row],[_ConstraintStart]],0)</f>
        <v/>
      </c>
      <c r="CP149" s="88">
        <f>IF(OR(Tasks[[#This Row],[_ConstraintCode]]=2,Tasks[[#This Row],[_ConstraintCode]]=3,Tasks[[#This Row],[_ConstraintCode]]=5,Tasks[[#This Row],[_ConstraintCode]]=7),Tasks[[#This Row],[_ConstraintStart]],2958465)</f>
        <v/>
      </c>
      <c r="CQ14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9" s="88">
        <f>IF(NOT(Tasks[[#This Row],[_IsLeaf]]=1),"",IF(N(Tasks[[#This Row],[_Days]])&lt;=0,Tasks[[#This Row],[_LeafCalcStart]],WORKDAY.INTL(Tasks[[#This Row],[_LeafCalcStart]],Tasks[[#This Row],[_Days]]-1,WorkWeek,Holidays)))</f>
        <v/>
      </c>
      <c r="CS14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9" s="42">
        <f>IF(Tasks[[#This Row],[_Predecessors]]="","",TRIM(MID(SUBSTITUTE(SUBSTITUTE(SUBSTITUTE(UPPER(Tasks[[#This Row],[_Predecessors]]),";",",")," ",""),",",REPT(" ",99)),1,99)))</f>
        <v/>
      </c>
      <c r="CV149" s="42">
        <f>IF(Tasks[[#This Row],[_Pred1Text]]="","",IFERROR(VALUE(LEFT(Tasks[[#This Row],[_Pred1Text]],MIN(FIND("F",Tasks[[#This Row],[_Pred1Text]]&amp;"F"),FIND("S",Tasks[[#This Row],[_Pred1Text]]&amp;"S"),FIND("+",Tasks[[#This Row],[_Pred1Text]]&amp;"+"),FIND("-",Tasks[[#This Row],[_Pred1Text]]&amp;"-"))-1)),""))</f>
        <v/>
      </c>
      <c r="CW14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9" s="42">
        <f>IF(Tasks[[#This Row],[_Pred1Text]]="","",TRIM(MID(SUBSTITUTE(SUBSTITUTE(SUBSTITUTE(UPPER(Tasks[[#This Row],[_Predecessors]]),";",",")," ",""),",",REPT(" ",99)),100,99)))</f>
        <v/>
      </c>
      <c r="CZ149" s="42">
        <f>IF(Tasks[[#This Row],[_Pred2Text]]="","",IFERROR(VALUE(LEFT(Tasks[[#This Row],[_Pred2Text]],MIN(FIND("F",Tasks[[#This Row],[_Pred2Text]]&amp;"F"),FIND("S",Tasks[[#This Row],[_Pred2Text]]&amp;"S"),FIND("+",Tasks[[#This Row],[_Pred2Text]]&amp;"+"),FIND("-",Tasks[[#This Row],[_Pred2Text]]&amp;"-"))-1)),""))</f>
        <v/>
      </c>
      <c r="DA14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9" s="42">
        <f>IF(Tasks[[#This Row],[_Pred2Text]]="","",TRIM(MID(SUBSTITUTE(SUBSTITUTE(SUBSTITUTE(UPPER(Tasks[[#This Row],[_Predecessors]]),";",",")," ",""),",",REPT(" ",99)),199,99)))</f>
        <v/>
      </c>
      <c r="DD149" s="42">
        <f>IF(Tasks[[#This Row],[_Pred3Text]]="","",IFERROR(VALUE(LEFT(Tasks[[#This Row],[_Pred3Text]],MIN(FIND("F",Tasks[[#This Row],[_Pred3Text]]&amp;"F"),FIND("S",Tasks[[#This Row],[_Pred3Text]]&amp;"S"),FIND("+",Tasks[[#This Row],[_Pred3Text]]&amp;"+"),FIND("-",Tasks[[#This Row],[_Pred3Text]]&amp;"-"))-1)),""))</f>
        <v/>
      </c>
      <c r="DE14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9" s="42">
        <f>IF(Tasks[[#This Row],[_Pred3Text]]="","",TRIM(MID(SUBSTITUTE(SUBSTITUTE(SUBSTITUTE(UPPER(Tasks[[#This Row],[_Predecessors]]),";",",")," ",""),",",REPT(" ",99)),298,99)))</f>
        <v/>
      </c>
      <c r="DH149" s="42">
        <f>IF(Tasks[[#This Row],[_Pred4Text]]="","",IFERROR(VALUE(LEFT(Tasks[[#This Row],[_Pred4Text]],MIN(FIND("F",Tasks[[#This Row],[_Pred4Text]]&amp;"F"),FIND("S",Tasks[[#This Row],[_Pred4Text]]&amp;"S"),FIND("+",Tasks[[#This Row],[_Pred4Text]]&amp;"+"),FIND("-",Tasks[[#This Row],[_Pred4Text]]&amp;"-"))-1)),""))</f>
        <v/>
      </c>
      <c r="DI14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9" s="42">
        <f>IF(OR(Tasks[[#This Row],[Task Name]]="",Tasks[[#This Row],[_Resources]]=""),"",TRIM(MID(SUBSTITUTE(Tasks[[#This Row],[_Resources]],",",REPT(" ",99)),1,99)))</f>
        <v/>
      </c>
      <c r="DL149" s="42">
        <f>IF(Tasks[[#This Row],[_Res1Text]]="","",TRIM(MID(SUBSTITUTE(Tasks[[#This Row],[_Resources]],",",REPT(" ",99)),100,99)))</f>
        <v/>
      </c>
      <c r="DM149" s="42">
        <f>IF(Tasks[[#This Row],[_Res2Text]]="","",TRIM(MID(SUBSTITUTE(Tasks[[#This Row],[_Resources]],",",REPT(" ",99)),199,99)))</f>
        <v/>
      </c>
      <c r="DN149" s="42">
        <f>IF(Tasks[[#This Row],[_Res3Text]]="","",TRIM(MID(SUBSTITUTE(Tasks[[#This Row],[_Resources]],",",REPT(" ",99)),298,99)))</f>
        <v/>
      </c>
      <c r="DO149" s="42">
        <f>IF(Tasks[[#This Row],[_Res1Text]]="",0,IFERROR(MATCH(TRIM(LEFT(Tasks[[#This Row],[_Res1Text]],FIND("[",Tasks[[#This Row],[_Res1Text]]&amp;"[")-1)),res_Name,0),IFERROR(MATCH(TRIM(LEFT(Tasks[[#This Row],[_Res1Text]],FIND("[",Tasks[[#This Row],[_Res1Text]]&amp;"[")-1)),res_Initials,0),0)))</f>
        <v/>
      </c>
      <c r="DP149" s="42">
        <f>IF(Tasks[[#This Row],[_Res2Text]]="",0,IFERROR(MATCH(TRIM(LEFT(Tasks[[#This Row],[_Res2Text]],FIND("[",Tasks[[#This Row],[_Res2Text]]&amp;"[")-1)),res_Name,0),IFERROR(MATCH(TRIM(LEFT(Tasks[[#This Row],[_Res2Text]],FIND("[",Tasks[[#This Row],[_Res2Text]]&amp;"[")-1)),res_Initials,0),0)))</f>
        <v/>
      </c>
      <c r="DQ149" s="42">
        <f>IF(Tasks[[#This Row],[_Res3Text]]="",0,IFERROR(MATCH(TRIM(LEFT(Tasks[[#This Row],[_Res3Text]],FIND("[",Tasks[[#This Row],[_Res3Text]]&amp;"[")-1)),res_Name,0),IFERROR(MATCH(TRIM(LEFT(Tasks[[#This Row],[_Res3Text]],FIND("[",Tasks[[#This Row],[_Res3Text]]&amp;"[")-1)),res_Initials,0),0)))</f>
        <v/>
      </c>
      <c r="DR149" s="42">
        <f>IF(Tasks[[#This Row],[_Res4Text]]="",0,IFERROR(MATCH(TRIM(LEFT(Tasks[[#This Row],[_Res4Text]],FIND("[",Tasks[[#This Row],[_Res4Text]]&amp;"[")-1)),res_Name,0),IFERROR(MATCH(TRIM(LEFT(Tasks[[#This Row],[_Res4Text]],FIND("[",Tasks[[#This Row],[_Res4Text]]&amp;"[")-1)),res_Initials,0),0)))</f>
        <v/>
      </c>
      <c r="DS149" s="42">
        <f>IF(Tasks[[#This Row],[_Res1Text]]="","",IF(Tasks[[#This Row],[_Res1Row]]&gt;0,INDEX(res_Name,Tasks[[#This Row],[_Res1Row]]),TRIM(LEFT(Tasks[[#This Row],[_Res1Text]],FIND("[",Tasks[[#This Row],[_Res1Text]]&amp;"[")-1))))</f>
        <v/>
      </c>
      <c r="DT14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9" s="42">
        <f>IF(NOT(Tasks[[#This Row],[_IsLeaf]]=1),0,(Tasks[[#This Row],[_Resource1]]&lt;&gt;"")+(Tasks[[#This Row],[_Res2]]&lt;&gt;"")+(Tasks[[#This Row],[_Res3]]&lt;&gt;"")+(Tasks[[#This Row],[_Res4]]&lt;&gt;""))</f>
        <v/>
      </c>
      <c r="DV149" s="42">
        <f>IF(Tasks[[#This Row],[_Res2Text]]="","",IF(Tasks[[#This Row],[_Res2Row]]&gt;0,INDEX(res_Name,Tasks[[#This Row],[_Res2Row]]),TRIM(LEFT(Tasks[[#This Row],[_Res2Text]],FIND("[",Tasks[[#This Row],[_Res2Text]]&amp;"[")-1))))</f>
        <v/>
      </c>
      <c r="DW14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9" s="42">
        <f>IF(OR(NOT(Tasks[[#This Row],[_IsLeaf]]=1),Tasks[[#This Row],[_Res2Row]]=0),0,N(Tasks[[#This Row],[_Days]])*HoursPerDay*IF(Tasks[[#This Row],[_Res2Units]]="",DefaultUnits,Tasks[[#This Row],[_Res2Units]]))</f>
        <v/>
      </c>
      <c r="DY149" s="42">
        <f>IF(AND(AND(Tasks[[#This Row],[_IsLeaf]]=1,Tasks[[#This Row],[_LeafTotalWork]]&gt;0),Tasks[[#This Row],[_Res2Work]]&gt;0),Tasks[[#This Row],[_Res2Work]]/(Tasks[[#This Row],[_FinishWorkday]]-Tasks[[#This Row],[_StartWorkday]]+1),0)</f>
        <v/>
      </c>
      <c r="DZ149" s="42">
        <f>Tasks[[#This Row],[_Res2WorkPerWD]]*MAX(0,Tasks[[#This Row],[_StartWorkday]]-1)</f>
        <v/>
      </c>
      <c r="EA149" s="42">
        <f>Tasks[[#This Row],[_Res2Work]]*Tasks[[#This Row],[_LeafProgress]]</f>
        <v/>
      </c>
      <c r="EB149" s="42">
        <f>IF(Tasks[[#This Row],[_Res3Text]]="","",IF(Tasks[[#This Row],[_Res3Row]]&gt;0,INDEX(res_Name,Tasks[[#This Row],[_Res3Row]]),TRIM(LEFT(Tasks[[#This Row],[_Res3Text]],FIND("[",Tasks[[#This Row],[_Res3Text]]&amp;"[")-1))))</f>
        <v/>
      </c>
      <c r="EC14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9" s="42">
        <f>IF(OR(NOT(Tasks[[#This Row],[_IsLeaf]]=1),Tasks[[#This Row],[_Res3Row]]=0),0,N(Tasks[[#This Row],[_Days]])*HoursPerDay*IF(Tasks[[#This Row],[_Res3Units]]="",DefaultUnits,Tasks[[#This Row],[_Res3Units]]))</f>
        <v/>
      </c>
      <c r="EE149" s="42">
        <f>IF(AND(AND(Tasks[[#This Row],[_IsLeaf]]=1,Tasks[[#This Row],[_LeafTotalWork]]&gt;0),Tasks[[#This Row],[_Res3Work]]&gt;0),Tasks[[#This Row],[_Res3Work]]/(Tasks[[#This Row],[_FinishWorkday]]-Tasks[[#This Row],[_StartWorkday]]+1),0)</f>
        <v/>
      </c>
      <c r="EF149" s="42">
        <f>Tasks[[#This Row],[_Res3WorkPerWD]]*MAX(0,Tasks[[#This Row],[_StartWorkday]]-1)</f>
        <v/>
      </c>
      <c r="EG149" s="42">
        <f>Tasks[[#This Row],[_Res3Work]]*Tasks[[#This Row],[_LeafProgress]]</f>
        <v/>
      </c>
      <c r="EH149" s="42">
        <f>IF(Tasks[[#This Row],[_Res4Text]]="","",IF(Tasks[[#This Row],[_Res4Row]]&gt;0,INDEX(res_Name,Tasks[[#This Row],[_Res4Row]]),TRIM(LEFT(Tasks[[#This Row],[_Res4Text]],FIND("[",Tasks[[#This Row],[_Res4Text]]&amp;"[")-1))))</f>
        <v/>
      </c>
      <c r="EI14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9" s="42">
        <f>IF(OR(NOT(Tasks[[#This Row],[_IsLeaf]]=1),Tasks[[#This Row],[_Res4Row]]=0),0,N(Tasks[[#This Row],[_Days]])*HoursPerDay*IF(Tasks[[#This Row],[_Res4Units]]="",DefaultUnits,Tasks[[#This Row],[_Res4Units]]))</f>
        <v/>
      </c>
      <c r="EK149" s="42">
        <f>IF(AND(AND(Tasks[[#This Row],[_IsLeaf]]=1,Tasks[[#This Row],[_LeafTotalWork]]&gt;0),Tasks[[#This Row],[_Res4Work]]&gt;0),Tasks[[#This Row],[_Res4Work]]/(Tasks[[#This Row],[_FinishWorkday]]-Tasks[[#This Row],[_StartWorkday]]+1),0)</f>
        <v/>
      </c>
      <c r="EL149" s="42">
        <f>Tasks[[#This Row],[_Res4WorkPerWD]]*MAX(0,Tasks[[#This Row],[_StartWorkday]]-1)</f>
        <v/>
      </c>
      <c r="EM149" s="42">
        <f>Tasks[[#This Row],[_Res4Work]]*Tasks[[#This Row],[_LeafProgress]]</f>
        <v/>
      </c>
      <c r="EN149" s="42">
        <f>IF(ISNUMBER(Tasks[[#This Row],[% Complete]]),Tasks[[#This Row],[% Complete]],IF(Tasks[[#This Row],[Stage]]="",0,IFERROR(INDEX(stg_Pct,MATCH(Tasks[[#This Row],[Stage]],stg_Name,0)),0)))</f>
        <v/>
      </c>
      <c r="EO149" s="42">
        <f>IF(NOT(Tasks[[#This Row],[_IsLeaf]]=1),0,IF(N(Tasks[[#This Row],[Actual Finish]])&gt;0,1,MIN(1,Tasks[[#This Row],[_Pct]])))</f>
        <v/>
      </c>
      <c r="EP149" s="42">
        <f>IF(OR(NOT(Tasks[[#This Row],[_IsLeaf]]=1),Tasks[[#This Row],[_Res1Row]]=0),0,N(Tasks[[#This Row],[_Days]])*HoursPerDay*IF(Tasks[[#This Row],[_Units1]]="",DefaultUnits,Tasks[[#This Row],[_Units1]]))</f>
        <v/>
      </c>
      <c r="EQ149" s="42">
        <f>Tasks[[#This Row],[_LeafWork]]+Tasks[[#This Row],[_Res2Work]]+Tasks[[#This Row],[_Res3Work]]+Tasks[[#This Row],[_Res4Work]]</f>
        <v/>
      </c>
      <c r="ER14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9" s="42">
        <f>IF(NOT(Tasks[[#This Row],[_IsLeaf]]=1),0,MAX(_xlfn.MAXIFS(Tasks[_Row],Tasks[_Pred1UID],Tasks[[#This Row],[UID]]),_xlfn.MAXIFS(Tasks[_Row],Tasks[_Pred2UID],Tasks[[#This Row],[UID]]),_xlfn.MAXIFS(Tasks[_Row],Tasks[_Pred3UID],Tasks[[#This Row],[UID]]),_xlfn.MAXIFS(Tasks[_Row],Tasks[_Pred4UID],Tasks[[#This Row],[UID]])))</f>
        <v/>
      </c>
      <c r="FA14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9" s="88">
        <f>IF(NOT(Tasks[[#This Row],[_IsLeaf]]=1),"",IF(N(Tasks[[#This Row],[_Days]])&lt;=0,Tasks[[#This Row],[_LeafLateFinish]],WORKDAY.INTL(Tasks[[#This Row],[_LeafLateFinish]],-(Tasks[[#This Row],[_Days]]-1),WorkWeek,Holidays)))</f>
        <v/>
      </c>
      <c r="FD14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9" s="42">
        <f>AND(Tasks[[#This Row],[_IsLeaf]]=1,Tasks[[#This Row],[_LeafProgress]]&lt;1,N(Tasks[[#This Row],[_LeafTotalSlack]])&lt;=CriticalSlackDays)</f>
        <v/>
      </c>
      <c r="FF149" s="42">
        <f>IF(AND(Tasks[[#This Row],[_IsLeaf]]=1,Tasks[[#This Row],[_ConstraintCode]]=1,Tasks[[#This Row],[Mode]]&lt;&gt;"Manual",N(Tasks[[#This Row],[Actual Start]])=0),MAX(0,N(Tasks[[#This Row],[Free Slack]])),0)</f>
        <v/>
      </c>
      <c r="FG149" s="88">
        <f>IF(NOT(Tasks[[#This Row],[_IsLeaf]]=1),"",IF(Tasks[[#This Row],[_AlapShift]]=0,Tasks[[#This Row],[_LeafCalcStart]],WORKDAY.INTL(Tasks[[#This Row],[_LeafCalcStart]],Tasks[[#This Row],[_AlapShift]],WorkWeek,Holidays)))</f>
        <v/>
      </c>
      <c r="FH149" s="88">
        <f>IF(NOT(Tasks[[#This Row],[_IsLeaf]]=1),"",IF(Tasks[[#This Row],[_AlapShift]]=0,Tasks[[#This Row],[_LeafCalcFinish]],WORKDAY.INTL(Tasks[[#This Row],[_LeafCalcFinish]],Tasks[[#This Row],[_AlapShift]],WorkWeek,Holidays)))</f>
        <v/>
      </c>
      <c r="FI149" s="88">
        <f>IF(NOT(Tasks[[#This Row],[_IsLeaf]]=1),"",IF(Tasks[[#This Row],[_AlapShift]]=0,Tasks[[#This Row],[_LeafFcstStart]],WORKDAY.INTL(Tasks[[#This Row],[_LeafFcstStart]],Tasks[[#This Row],[_AlapShift]],WorkWeek,Holidays)))</f>
        <v/>
      </c>
      <c r="FJ149" s="88">
        <f>IF(NOT(Tasks[[#This Row],[_IsLeaf]]=1),"",IF(Tasks[[#This Row],[_AlapShift]]=0,Tasks[[#This Row],[_LeafFcstFinish]],WORKDAY.INTL(Tasks[[#This Row],[_LeafFcstFinish]],Tasks[[#This Row],[_AlapShift]],WorkWeek,Holidays)))</f>
        <v/>
      </c>
      <c r="FK149" s="88">
        <f>IF(Tasks[[#This Row],[Task Name]]="","",IF(Tasks[[#This Row],[_IsSummary]],MIN(INDEX(Tasks[_ShownCalcStart],Tasks[[#This Row],[_Row]]+1):INDEX(Tasks[_ShownCalcStart],Tasks[[#This Row],[_Row]]+Tasks[[#This Row],[_Descendants]])),Tasks[[#This Row],[_ShownCalcStart]]))</f>
        <v/>
      </c>
      <c r="FL149" s="88">
        <f>IF(Tasks[[#This Row],[Task Name]]="","",IF(Tasks[[#This Row],[_IsSummary]],MAX(INDEX(Tasks[_ShownCalcFinish],Tasks[[#This Row],[_Row]]+1):INDEX(Tasks[_ShownCalcFinish],Tasks[[#This Row],[_Row]]+Tasks[[#This Row],[_Descendants]])),Tasks[[#This Row],[_ShownCalcFinish]]))</f>
        <v/>
      </c>
      <c r="FM14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9" s="42">
        <f>IF(AND(Tasks[[#This Row],[_IsLeaf]]=1,Tasks[[#This Row],[_LeafTotalWork]]&gt;0),NETWORKDAYS.INTL(ProjectStart,Tasks[[#This Row],[_ShownFcstStart]],WorkWeek,Holidays),0)</f>
        <v/>
      </c>
      <c r="FZ149" s="42">
        <f>IF(AND(Tasks[[#This Row],[_IsLeaf]]=1,Tasks[[#This Row],[_LeafTotalWork]]&gt;0),MAX(Tasks[[#This Row],[_StartWorkday]],NETWORKDAYS.INTL(ProjectStart,Tasks[[#This Row],[_ShownFcstFinish]],WorkWeek,Holidays)),0)</f>
        <v/>
      </c>
      <c r="GA149" s="42">
        <f>IF(AND(Tasks[[#This Row],[_IsLeaf]]=1,Tasks[[#This Row],[_LeafTotalWork]]&gt;0),Tasks[[#This Row],[_LeafWork]]/(Tasks[[#This Row],[_FinishWorkday]]-Tasks[[#This Row],[_StartWorkday]]+1),0)</f>
        <v/>
      </c>
      <c r="GB149" s="42">
        <f>Tasks[[#This Row],[_WorkPerWorkday]]*(Tasks[[#This Row],[_StartWorkday]]-1)</f>
        <v/>
      </c>
      <c r="GC149" s="42">
        <f>IF(Tasks[[#This Row],[_IsLeaf]]=1,MAX(N(Tasks[[#This Row],[_Days]]),0.1),0)</f>
        <v/>
      </c>
      <c r="GD149" s="42">
        <f>Tasks[[#This Row],[_WeightDur]]*Tasks[[#This Row],[_LeafProgress]]</f>
        <v/>
      </c>
      <c r="GE149" s="42">
        <f>Tasks[[#This Row],[_WeightDur]]*Tasks[[#This Row],[_PlannedPct]]</f>
        <v/>
      </c>
      <c r="GF14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9" s="42">
        <f>IF(AND(Tasks[[#This Row],[_IsLeaf]]=1,N(Tasks[[#This Row],[_Days]])=0,Tasks[[#This Row],[_LeafProgress]]&lt;1),Tasks[[#This Row],[_ShownFcstFinish]]+Tasks[[#This Row],[_Row]]/100000,"")</f>
        <v/>
      </c>
      <c r="GH14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9" s="42">
        <f>IF(Tasks[[#This Row],[Task Name]]="","",LEFT(Tasks[[#This Row],[WBS]],FIND(".",Tasks[[#This Row],[WBS]]&amp;".")-1))</f>
        <v/>
      </c>
      <c r="GJ149" s="42">
        <f>IF(AND(Tasks[[#This Row],[Task Name]]&lt;&gt;"",Tasks[[#This Row],[_Level]]=1),Tasks[[#This Row],[_Row]],"")</f>
        <v/>
      </c>
      <c r="GK149" s="42">
        <f>IF(AND(Tasks[[#This Row],[_IsLeaf]]=1,N(Tasks[[#This Row],[_Days]])=0),Tasks[[#This Row],[Planned Finish]]+Tasks[[#This Row],[_Row]]/100000,"")</f>
        <v/>
      </c>
      <c r="GL149" s="42">
        <f>IF(AND(Tasks[[#This Row],[_IsLeaf]]=1,Tasks[[#This Row],[_LeafProgress]]&lt;1,OR(N(Tasks[[#This Row],[Finish Var]])&gt;0,Tasks[[#This Row],[Status]]="Late Start")),MAX(0,Tasks[[#This Row],[Finish Var]])+1-Tasks[[#This Row],[_Row]]/1000000,"")</f>
        <v/>
      </c>
      <c r="GM149" s="42">
        <f>IF(AND(Tasks[[#This Row],[_IsLeaf]]=1,N(Tasks[[#This Row],[Actual Start]])=0,Tasks[[#This Row],[_ShownFcstStart]]&gt;=StatusDate,Tasks[[#This Row],[_ShownFcstStart]]&lt;=LookaheadEnd),Tasks[[#This Row],[_ShownFcstStart]]+Tasks[[#This Row],[_Row]]/100000,"")</f>
        <v/>
      </c>
      <c r="GN149" s="42">
        <f>IF(AND(Tasks[[#This Row],[_IsLeaf]]=1,Tasks[[#This Row],[_LeafProgress]]&lt;1,Tasks[[#This Row],[_ShownFcstFinish]]&gt;=StatusDate,Tasks[[#This Row],[_ShownFcstFinish]]&lt;=LookaheadEnd),Tasks[[#This Row],[_ShownFcstFinish]]+Tasks[[#This Row],[_Row]]/100000,"")</f>
        <v/>
      </c>
      <c r="GO149" s="42">
        <f>IF(Tasks[[#This Row],[_LeafCritical]],Tasks[[#This Row],[_ShownFcstStart]]+Tasks[[#This Row],[_Row]]/100000,"")</f>
        <v/>
      </c>
      <c r="GP149" s="42">
        <f>Tasks[[#This Row],[_LeafWork]]*Tasks[[#This Row],[_LeafProgress]]</f>
        <v/>
      </c>
      <c r="GQ149" s="88">
        <f>IF(AND(Tasks[[#This Row],[_IsLeaf]]=1,Tasks[[#This Row],[_LeafProgress]]&gt;=1),IF(N(Tasks[[#This Row],[Actual Finish]])&gt;0,Tasks[[#This Row],[Actual Finish]],Tasks[[#This Row],[_ShownFcstFinish]]),"")</f>
        <v/>
      </c>
      <c r="GR149" s="42">
        <f>IF(Tasks[[#This Row],[_IsLeaf]]=1,N(Tasks[[#This Row],[Story Points]]),0)</f>
        <v/>
      </c>
      <c r="GS149" s="42">
        <f>""</f>
        <v/>
      </c>
      <c r="GT149" s="42">
        <f>IF(Tasks[[#This Row],[Task Name]]="",FALSE(),AND(Tasks[[#This Row],[_IsLeaf]]=1,N(Tasks[[#This Row],[_Days]])=0))</f>
        <v/>
      </c>
      <c r="GU149" s="88">
        <f>IF(Tasks[[#This Row],[Task Name]]="",0,IF(AND(Tasks[[#This Row],[_IsLeaf]]=1,NOT(Tasks[[#This Row],[_IsMilestone]]),N(Tasks[[#This Row],[Progress]])&gt;0),Tasks[[#This Row],[Start]],0))</f>
        <v/>
      </c>
      <c r="GV149" s="88">
        <f>IF(Tasks[[#This Row],[_DoneFrom]]=0,0,IF(Tasks[[#This Row],[Progress]]&gt;=1,Tasks[[#This Row],[Finish]],MAX(Tasks[[#This Row],[_DoneFrom]],Tasks[[#This Row],[Start]]+ROUND((Tasks[[#This Row],[Finish]]-Tasks[[#This Row],[Start]]+1)*Tasks[[#This Row],[Progress]],0)-1)))</f>
        <v/>
      </c>
      <c r="GW149" s="88">
        <f>IF(Tasks[[#This Row],[Task Name]]="",0,IF(OR(NOT(Tasks[[#This Row],[_IsLeaf]]=1),Tasks[[#This Row],[_IsMilestone]],N(Tasks[[#This Row],[Progress]])&gt;=1),0,IF(Tasks[[#This Row],[_DoneTo]]&gt;0,Tasks[[#This Row],[_DoneTo]]+1,Tasks[[#This Row],[Start]])))</f>
        <v/>
      </c>
      <c r="GX149" s="88">
        <f>IF(Tasks[[#This Row],[_RemFrom]]=0,0,Tasks[[#This Row],[Finish]])</f>
        <v/>
      </c>
      <c r="GY149" s="42">
        <f>IF(Tasks[[#This Row],[Task Name]]="",FALSE(),OR(NOT(BaselineSet),N(Tasks[[#This Row],[Baseline Start]])&gt;0))</f>
        <v/>
      </c>
      <c r="GZ149" s="42">
        <f>IF(AND(Sandbox="Yes",L_PARSE_DURATION(Tasks[[#This Row],[Sandbox Duration]])&lt;&gt;""),L_PARSE_DURATION(Tasks[[#This Row],[Sandbox Duration]]),L_PARSE_DURATION(Tasks[[#This Row],[Duration]]))</f>
        <v/>
      </c>
      <c r="HA14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4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9" s="42">
        <f>IF(Tasks[[#This Row],[_IsLeaf]]=1,Tasks[[#This Row],[_Row]],"")</f>
        <v/>
      </c>
      <c r="HD149" s="42">
        <f>IFERROR(INDEX(Tasks[UID],SMALL(Tasks[_PickKey],Tasks[[#This Row],[_Row]]))&amp;" "&amp;INDEX(Tasks[Task Name],SMALL(Tasks[_PickKey],Tasks[[#This Row],[_Row]])),"")</f>
        <v/>
      </c>
      <c r="HE149" s="42">
        <f>IF(Tasks[[#This Row],[Task Name]]="","",IF(Tasks[[#This Row],[_IsSummary]],NETWORKDAYS.INTL(Tasks[[#This Row],[Start]],Tasks[[#This Row],[Finish]],WorkWeek,Holidays),N(Tasks[[#This Row],[_Days]])))</f>
        <v/>
      </c>
      <c r="HF149" s="42">
        <f>IF(Tasks[[#This Row],[Expected]]="",0,((Tasks[[#This Row],[Pessimistic]]-Tasks[[#This Row],[Optimistic]])/6)^2)</f>
        <v/>
      </c>
      <c r="HG149" s="42">
        <f>IF(Tasks[[#This Row],[Expected]]="",0,Tasks[[#This Row],[Expected]]-N(Tasks[[#This Row],[_Days]]))</f>
        <v/>
      </c>
    </row>
    <row r="150">
      <c r="A150" s="21">
        <f>IF(Tasks[[#This Row],[Task Name]]="","",COUNTA(Tasks[[#Headers],[Task Name]]:Tasks[[#This Row],[Task Name]])-1)</f>
        <v/>
      </c>
      <c r="B150" s="22" t="n">
        <v>158</v>
      </c>
      <c r="C150" s="22" t="n"/>
      <c r="D150" s="23" t="n"/>
      <c r="E150" s="22" t="n"/>
      <c r="F150" s="23" t="n"/>
      <c r="G150" s="22" t="n"/>
      <c r="H150" s="22" t="n"/>
      <c r="I150" s="23" t="n"/>
      <c r="J150" s="22" t="n"/>
      <c r="K150" s="22" t="n"/>
      <c r="L150" s="23" t="n"/>
      <c r="M150" s="22" t="n"/>
      <c r="N150" s="22" t="n"/>
      <c r="O150" s="23" t="n"/>
      <c r="P150" s="22" t="n"/>
      <c r="Q150" s="22" t="n"/>
      <c r="R150" s="23" t="n"/>
      <c r="S150" s="23" t="n"/>
      <c r="T150" s="82" t="n"/>
      <c r="U150" s="23" t="n"/>
      <c r="V150" s="82" t="n"/>
      <c r="W150" s="23" t="n"/>
      <c r="X150" s="82" t="n"/>
      <c r="Y150" s="23" t="n"/>
      <c r="Z150" s="82" t="n"/>
      <c r="AA150" s="23" t="n"/>
      <c r="AB150" s="23" t="n"/>
      <c r="AC150" s="7" t="n"/>
      <c r="AD150" s="7" t="n"/>
      <c r="AE150" s="61">
        <f>IF(Tasks[[#This Row],[Task Name]]="","",IF(Tasks[[#This Row],[_IsSummary]],MIN(INDEX(Tasks[_ShownFcstStart],Tasks[[#This Row],[_Row]]+1):INDEX(Tasks[_ShownFcstStart],Tasks[[#This Row],[_Row]]+Tasks[[#This Row],[_Descendants]])),Tasks[[#This Row],[_ShownFcstStart]]))</f>
        <v/>
      </c>
      <c r="AF150" s="61">
        <f>IF(Tasks[[#This Row],[Task Name]]="","",IF(Tasks[[#This Row],[_IsSummary]],MAX(INDEX(Tasks[_ShownFcstFinish],Tasks[[#This Row],[_Row]]+1):INDEX(Tasks[_ShownFcstFinish],Tasks[[#This Row],[_Row]]+Tasks[[#This Row],[_Descendants]])),Tasks[[#This Row],[_ShownFcstFinish]]))</f>
        <v/>
      </c>
      <c r="AG150" s="21">
        <f>""</f>
        <v/>
      </c>
      <c r="AH150" s="23" t="n"/>
      <c r="AI15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0" s="7" t="n"/>
      <c r="AK150" s="22" t="n"/>
      <c r="AL150" s="23" t="n"/>
      <c r="AM150" s="7" t="n"/>
      <c r="AN150" s="21">
        <f>IF(Tasks[[#This Row],[Task Name]]="","",IF(Tasks[[#This Row],[Finish]]&gt;=Tasks[[#This Row],[Planned Finish]],NETWORKDAYS.INTL(Tasks[[#This Row],[Planned Finish]],Tasks[[#This Row],[Finish]],WorkWeek,Holidays)-1,1-NETWORKDAYS.INTL(Tasks[[#This Row],[Finish]],Tasks[[#This Row],[Planned Finish]],WorkWeek,Holidays)))</f>
        <v/>
      </c>
      <c r="AO150" s="21">
        <f>IF(Tasks[[#This Row],[Task Name]]="","",IF(Tasks[[#This Row],[Progress]]&gt;=1,"Complete",IF(OR(N(Tasks[[#This Row],[Actual Start]])&gt;0,Tasks[[#This Row],[Progress]]&gt;0),IF(Tasks[[#This Row],[Finish Var]]&gt;0,"Behind","In Progress"),IF(Tasks[[#This Row],[Planned Start]]&lt;StatusDate,"Late Start","Not Started"))))</f>
        <v/>
      </c>
      <c r="AP150" s="21">
        <f>IF(Tasks[[#This Row],[Task Name]]="","",IF(IF(Tasks[[#This Row],[_IsSummary]],COUNTIF(INDEX(Tasks[_LeafCritical],Tasks[[#This Row],[_Row]]+1):INDEX(Tasks[_LeafCritical],Tasks[[#This Row],[_Row]]+Tasks[[#This Row],[_Descendants]]),TRUE())&gt;0,Tasks[[#This Row],[_LeafCritical]]),"Yes",""))</f>
        <v/>
      </c>
      <c r="AQ150" s="61">
        <f>IF(Tasks[[#This Row],[Task Name]]="","",IF(N(Tasks[[#This Row],[Baseline Start]])&gt;0,Tasks[[#This Row],[Baseline Start]],Tasks[[#This Row],[_CalcStart]]))</f>
        <v/>
      </c>
      <c r="AR150" s="61">
        <f>IF(Tasks[[#This Row],[Task Name]]="","",IF(N(Tasks[[#This Row],[Baseline Finish]])&gt;0,Tasks[[#This Row],[Baseline Finish]],Tasks[[#This Row],[_CalcFinish]]))</f>
        <v/>
      </c>
      <c r="AS150" s="21">
        <f>IF(Tasks[[#This Row],[Task Name]]="","",IF(Tasks[[#This Row],[Start]]&gt;=Tasks[[#This Row],[Planned Start]],NETWORKDAYS.INTL(Tasks[[#This Row],[Planned Start]],Tasks[[#This Row],[Start]],WorkWeek,Holidays)-1,1-NETWORKDAYS.INTL(Tasks[[#This Row],[Start]],Tasks[[#This Row],[Planned Start]],WorkWeek,Holidays)))</f>
        <v/>
      </c>
      <c r="AT150" s="61">
        <f>IF(Tasks[[#This Row],[Task Name]]="","",IF(Tasks[[#This Row],[_IsSummary]],MIN(INDEX(Tasks[_LeafLateStart],Tasks[[#This Row],[_Row]]+1):INDEX(Tasks[_LeafLateStart],Tasks[[#This Row],[_Row]]+Tasks[[#This Row],[_Descendants]])),Tasks[[#This Row],[_LeafLateStart]]))</f>
        <v/>
      </c>
      <c r="AU150" s="61">
        <f>IF(Tasks[[#This Row],[Task Name]]="","",IF(Tasks[[#This Row],[_IsSummary]],MAX(INDEX(Tasks[_LeafLateFinish],Tasks[[#This Row],[_Row]]+1):INDEX(Tasks[_LeafLateFinish],Tasks[[#This Row],[_Row]]+Tasks[[#This Row],[_Descendants]])),Tasks[[#This Row],[_LeafLateFinish]]))</f>
        <v/>
      </c>
      <c r="AV150" s="21">
        <f>IF(Tasks[[#This Row],[Task Name]]="","",IF(Tasks[[#This Row],[_IsSummary]],MIN(INDEX(Tasks[_LeafTotalSlack],Tasks[[#This Row],[_Row]]+1):INDEX(Tasks[_LeafTotalSlack],Tasks[[#This Row],[_Row]]+Tasks[[#This Row],[_Descendants]])),Tasks[[#This Row],[_LeafTotalSlack]]))</f>
        <v/>
      </c>
      <c r="AW15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3" t="n"/>
      <c r="BA15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f>IF(Tasks[[#This Row],[Task Name]]="","",IF(Tasks[[#This Row],[_Level]]&lt;=OutlineShowLevel,"Yes","No"))</f>
        <v/>
      </c>
      <c r="BE150" s="84">
        <f>IF(Tasks[[#This Row],[Task Name]]="","",IF(Tasks[[#This Row],[_IsSummary]],SUM(INDEX(Tasks[_LeafTotalWork],Tasks[[#This Row],[_Row]]+1):INDEX(Tasks[_LeafTotalWork],Tasks[[#This Row],[_Row]]+Tasks[[#This Row],[_Descendants]])),Tasks[[#This Row],[_LeafTotalWork]]))</f>
        <v/>
      </c>
      <c r="BF150" s="23" t="n"/>
      <c r="BG15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f>""</f>
        <v/>
      </c>
      <c r="BI150" s="85" t="n"/>
      <c r="BJ150" s="22" t="n"/>
      <c r="BK150" s="21">
        <f>IF(OR(Tasks[[#This Row],[Task Name]]="",Tasks[[#This Row],[Baseline Duration]]=""),"",Tasks[[#This Row],[_SpanDays]]-N(Tasks[[#This Row],[Baseline Duration]]))</f>
        <v/>
      </c>
      <c r="BL150" s="84">
        <f>IF(OR(Tasks[[#This Row],[Task Name]]="",Tasks[[#This Row],[Baseline Work]]=""),"",Tasks[[#This Row],[Work]]-N(Tasks[[#This Row],[Baseline Work]]))</f>
        <v/>
      </c>
      <c r="BM150" s="61">
        <f>IF(Tasks[[#This Row],[Task Name]]="","",IF(OR(TakeBaseline="Yes",N(Tasks[[#This Row],[Baseline Start]])=0),Tasks[[#This Row],[Start]],Tasks[[#This Row],[Baseline Start]]))</f>
        <v/>
      </c>
      <c r="BN150" s="61">
        <f>IF(Tasks[[#This Row],[Task Name]]="","",IF(OR(TakeBaseline="Yes",N(Tasks[[#This Row],[Baseline Finish]])=0),Tasks[[#This Row],[Finish]],Tasks[[#This Row],[Baseline Finish]]))</f>
        <v/>
      </c>
      <c r="BO150" s="21">
        <f>IF(Tasks[[#This Row],[Task Name]]="","",IF(OR(TakeBaseline="Yes",N(Tasks[[#This Row],[Baseline Duration]])=0),Tasks[[#This Row],[_SpanDays]],Tasks[[#This Row],[Baseline Duration]]))</f>
        <v/>
      </c>
      <c r="BP150" s="84">
        <f>IF(Tasks[[#This Row],[Task Name]]="","",IF(OR(TakeBaseline="Yes",N(Tasks[[#This Row],[Baseline Work]])=0),Tasks[[#This Row],[Work]],Tasks[[#This Row],[Baseline Work]]))</f>
        <v/>
      </c>
      <c r="BQ150" s="7" t="n"/>
      <c r="BR150" s="7" t="n"/>
      <c r="BS150" s="22" t="n"/>
      <c r="BT150" s="86" t="n"/>
      <c r="BU150" s="23" t="n"/>
      <c r="BV150" s="23" t="n"/>
      <c r="BW150" s="23" t="n"/>
      <c r="BX150" s="87">
        <f>IF(AND(Tasks[[#This Row],[_IsLeaf]]=1,ISNUMBER(Tasks[[#This Row],[Optimistic]]),ISNUMBER(Tasks[[#This Row],[Pessimistic]])),ROUND((Tasks[[#This Row],[Optimistic]]+4*N(Tasks[[#This Row],[_Days]])+Tasks[[#This Row],[Pessimistic]])/6,1),"")</f>
        <v/>
      </c>
      <c r="BY150" s="85" t="n"/>
      <c r="BZ150" s="85" t="n"/>
      <c r="CA150" s="22" t="n"/>
      <c r="CB150" s="42">
        <f>IF(Tasks[[#This Row],[Task Name]]="","",MAX(1,N(Tasks[[#This Row],[Level]])))</f>
        <v/>
      </c>
      <c r="CC150" s="42">
        <f>ROW()-ROW(Tasks[[#Headers],[ID]])</f>
        <v/>
      </c>
      <c r="CD150" s="42">
        <f>IF(OR(Tasks[[#This Row],[Task Name]]="",Tasks[[#This Row],[_Level]]&lt;=1),0,IFERROR(LOOKUP(2,1/(Tasks[[#Headers],[_Level]]:Tasks[[#This Row],[_Level]]=Tasks[[#This Row],[_Level]]-1),ROW(Tasks[[#Headers],[_Level]]:Tasks[[#This Row],[_Level]])),0))</f>
        <v/>
      </c>
      <c r="CE150" s="42">
        <f>IFERROR(N(INDEX(Tasks[_Level],Tasks[[#This Row],[_Row]]+1)),0)</f>
        <v/>
      </c>
      <c r="CF150" s="42">
        <f>AND(Tasks[[#This Row],[Task Name]]&lt;&gt;"",Tasks[[#This Row],[_NextLevel]]&gt;Tasks[[#This Row],[_Level]])</f>
        <v/>
      </c>
      <c r="CG150" s="42">
        <f>IF(Tasks[[#This Row],[_IsSummary]],COUNTIF(Tasks[WBS],Tasks[[#This Row],[WBS]]&amp;".*"),0)</f>
        <v/>
      </c>
      <c r="CH150" s="42">
        <f>IF(AND(Tasks[[#This Row],[Task Name]]&lt;&gt;"",NOT(Tasks[[#This Row],[_IsSummary]])),1,0)</f>
        <v/>
      </c>
      <c r="CI150" s="42">
        <f>IF(N(Tasks[[#This Row],[_Pred1UID]])=0,0,IFERROR(MATCH(Tasks[[#This Row],[_Pred1UID]],Tasks[UID],0),-1))</f>
        <v/>
      </c>
      <c r="CJ150" s="42">
        <f>IF(N(Tasks[[#This Row],[_Pred2UID]])=0,0,IFERROR(MATCH(Tasks[[#This Row],[_Pred2UID]],Tasks[UID],0),-1))</f>
        <v/>
      </c>
      <c r="CK150" s="42">
        <f>IF(N(Tasks[[#This Row],[_Pred3UID]])=0,0,IFERROR(MATCH(Tasks[[#This Row],[_Pred3UID]],Tasks[UID],0),-1))</f>
        <v/>
      </c>
      <c r="CL150" s="42">
        <f>IF(N(Tasks[[#This Row],[_Pred4UID]])=0,0,IFERROR(MATCH(Tasks[[#This Row],[_Pred4UID]],Tasks[UID],0),-1))</f>
        <v/>
      </c>
      <c r="CM15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0" s="88">
        <f>IF(N(Tasks[[#This Row],[Constraint Date]])=0,0,IF(AND(OR(Tasks[[#This Row],[_ConstraintCode]]=3,Tasks[[#This Row],[_ConstraintCode]]=6,Tasks[[#This Row],[_ConstraintCode]]=7),N(Tasks[[#This Row],[_Days]])&gt;1),WORKDAY.INTL(N(Tasks[[#This Row],[Constraint Date]]),-(N(Tasks[[#This Row],[_Days]])-1),WorkWeek,Holidays),N(Tasks[[#This Row],[Constraint Date]])))</f>
        <v/>
      </c>
      <c r="CO150" s="88">
        <f>IF(OR(Tasks[[#This Row],[_ConstraintCode]]=2,Tasks[[#This Row],[_ConstraintCode]]=3,Tasks[[#This Row],[_ConstraintCode]]=4,Tasks[[#This Row],[_ConstraintCode]]=6),Tasks[[#This Row],[_ConstraintStart]],0)</f>
        <v/>
      </c>
      <c r="CP150" s="88">
        <f>IF(OR(Tasks[[#This Row],[_ConstraintCode]]=2,Tasks[[#This Row],[_ConstraintCode]]=3,Tasks[[#This Row],[_ConstraintCode]]=5,Tasks[[#This Row],[_ConstraintCode]]=7),Tasks[[#This Row],[_ConstraintStart]],2958465)</f>
        <v/>
      </c>
      <c r="CQ15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0" s="88">
        <f>IF(NOT(Tasks[[#This Row],[_IsLeaf]]=1),"",IF(N(Tasks[[#This Row],[_Days]])&lt;=0,Tasks[[#This Row],[_LeafCalcStart]],WORKDAY.INTL(Tasks[[#This Row],[_LeafCalcStart]],Tasks[[#This Row],[_Days]]-1,WorkWeek,Holidays)))</f>
        <v/>
      </c>
      <c r="CS15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0" s="42">
        <f>IF(Tasks[[#This Row],[_Predecessors]]="","",TRIM(MID(SUBSTITUTE(SUBSTITUTE(SUBSTITUTE(UPPER(Tasks[[#This Row],[_Predecessors]]),";",",")," ",""),",",REPT(" ",99)),1,99)))</f>
        <v/>
      </c>
      <c r="CV150" s="42">
        <f>IF(Tasks[[#This Row],[_Pred1Text]]="","",IFERROR(VALUE(LEFT(Tasks[[#This Row],[_Pred1Text]],MIN(FIND("F",Tasks[[#This Row],[_Pred1Text]]&amp;"F"),FIND("S",Tasks[[#This Row],[_Pred1Text]]&amp;"S"),FIND("+",Tasks[[#This Row],[_Pred1Text]]&amp;"+"),FIND("-",Tasks[[#This Row],[_Pred1Text]]&amp;"-"))-1)),""))</f>
        <v/>
      </c>
      <c r="CW15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0" s="42">
        <f>IF(Tasks[[#This Row],[_Pred1Text]]="","",TRIM(MID(SUBSTITUTE(SUBSTITUTE(SUBSTITUTE(UPPER(Tasks[[#This Row],[_Predecessors]]),";",",")," ",""),",",REPT(" ",99)),100,99)))</f>
        <v/>
      </c>
      <c r="CZ150" s="42">
        <f>IF(Tasks[[#This Row],[_Pred2Text]]="","",IFERROR(VALUE(LEFT(Tasks[[#This Row],[_Pred2Text]],MIN(FIND("F",Tasks[[#This Row],[_Pred2Text]]&amp;"F"),FIND("S",Tasks[[#This Row],[_Pred2Text]]&amp;"S"),FIND("+",Tasks[[#This Row],[_Pred2Text]]&amp;"+"),FIND("-",Tasks[[#This Row],[_Pred2Text]]&amp;"-"))-1)),""))</f>
        <v/>
      </c>
      <c r="DA15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0" s="42">
        <f>IF(Tasks[[#This Row],[_Pred2Text]]="","",TRIM(MID(SUBSTITUTE(SUBSTITUTE(SUBSTITUTE(UPPER(Tasks[[#This Row],[_Predecessors]]),";",",")," ",""),",",REPT(" ",99)),199,99)))</f>
        <v/>
      </c>
      <c r="DD150" s="42">
        <f>IF(Tasks[[#This Row],[_Pred3Text]]="","",IFERROR(VALUE(LEFT(Tasks[[#This Row],[_Pred3Text]],MIN(FIND("F",Tasks[[#This Row],[_Pred3Text]]&amp;"F"),FIND("S",Tasks[[#This Row],[_Pred3Text]]&amp;"S"),FIND("+",Tasks[[#This Row],[_Pred3Text]]&amp;"+"),FIND("-",Tasks[[#This Row],[_Pred3Text]]&amp;"-"))-1)),""))</f>
        <v/>
      </c>
      <c r="DE15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0" s="42">
        <f>IF(Tasks[[#This Row],[_Pred3Text]]="","",TRIM(MID(SUBSTITUTE(SUBSTITUTE(SUBSTITUTE(UPPER(Tasks[[#This Row],[_Predecessors]]),";",",")," ",""),",",REPT(" ",99)),298,99)))</f>
        <v/>
      </c>
      <c r="DH150" s="42">
        <f>IF(Tasks[[#This Row],[_Pred4Text]]="","",IFERROR(VALUE(LEFT(Tasks[[#This Row],[_Pred4Text]],MIN(FIND("F",Tasks[[#This Row],[_Pred4Text]]&amp;"F"),FIND("S",Tasks[[#This Row],[_Pred4Text]]&amp;"S"),FIND("+",Tasks[[#This Row],[_Pred4Text]]&amp;"+"),FIND("-",Tasks[[#This Row],[_Pred4Text]]&amp;"-"))-1)),""))</f>
        <v/>
      </c>
      <c r="DI15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0" s="42">
        <f>IF(OR(Tasks[[#This Row],[Task Name]]="",Tasks[[#This Row],[_Resources]]=""),"",TRIM(MID(SUBSTITUTE(Tasks[[#This Row],[_Resources]],",",REPT(" ",99)),1,99)))</f>
        <v/>
      </c>
      <c r="DL150" s="42">
        <f>IF(Tasks[[#This Row],[_Res1Text]]="","",TRIM(MID(SUBSTITUTE(Tasks[[#This Row],[_Resources]],",",REPT(" ",99)),100,99)))</f>
        <v/>
      </c>
      <c r="DM150" s="42">
        <f>IF(Tasks[[#This Row],[_Res2Text]]="","",TRIM(MID(SUBSTITUTE(Tasks[[#This Row],[_Resources]],",",REPT(" ",99)),199,99)))</f>
        <v/>
      </c>
      <c r="DN150" s="42">
        <f>IF(Tasks[[#This Row],[_Res3Text]]="","",TRIM(MID(SUBSTITUTE(Tasks[[#This Row],[_Resources]],",",REPT(" ",99)),298,99)))</f>
        <v/>
      </c>
      <c r="DO150" s="42">
        <f>IF(Tasks[[#This Row],[_Res1Text]]="",0,IFERROR(MATCH(TRIM(LEFT(Tasks[[#This Row],[_Res1Text]],FIND("[",Tasks[[#This Row],[_Res1Text]]&amp;"[")-1)),res_Name,0),IFERROR(MATCH(TRIM(LEFT(Tasks[[#This Row],[_Res1Text]],FIND("[",Tasks[[#This Row],[_Res1Text]]&amp;"[")-1)),res_Initials,0),0)))</f>
        <v/>
      </c>
      <c r="DP150" s="42">
        <f>IF(Tasks[[#This Row],[_Res2Text]]="",0,IFERROR(MATCH(TRIM(LEFT(Tasks[[#This Row],[_Res2Text]],FIND("[",Tasks[[#This Row],[_Res2Text]]&amp;"[")-1)),res_Name,0),IFERROR(MATCH(TRIM(LEFT(Tasks[[#This Row],[_Res2Text]],FIND("[",Tasks[[#This Row],[_Res2Text]]&amp;"[")-1)),res_Initials,0),0)))</f>
        <v/>
      </c>
      <c r="DQ150" s="42">
        <f>IF(Tasks[[#This Row],[_Res3Text]]="",0,IFERROR(MATCH(TRIM(LEFT(Tasks[[#This Row],[_Res3Text]],FIND("[",Tasks[[#This Row],[_Res3Text]]&amp;"[")-1)),res_Name,0),IFERROR(MATCH(TRIM(LEFT(Tasks[[#This Row],[_Res3Text]],FIND("[",Tasks[[#This Row],[_Res3Text]]&amp;"[")-1)),res_Initials,0),0)))</f>
        <v/>
      </c>
      <c r="DR150" s="42">
        <f>IF(Tasks[[#This Row],[_Res4Text]]="",0,IFERROR(MATCH(TRIM(LEFT(Tasks[[#This Row],[_Res4Text]],FIND("[",Tasks[[#This Row],[_Res4Text]]&amp;"[")-1)),res_Name,0),IFERROR(MATCH(TRIM(LEFT(Tasks[[#This Row],[_Res4Text]],FIND("[",Tasks[[#This Row],[_Res4Text]]&amp;"[")-1)),res_Initials,0),0)))</f>
        <v/>
      </c>
      <c r="DS150" s="42">
        <f>IF(Tasks[[#This Row],[_Res1Text]]="","",IF(Tasks[[#This Row],[_Res1Row]]&gt;0,INDEX(res_Name,Tasks[[#This Row],[_Res1Row]]),TRIM(LEFT(Tasks[[#This Row],[_Res1Text]],FIND("[",Tasks[[#This Row],[_Res1Text]]&amp;"[")-1))))</f>
        <v/>
      </c>
      <c r="DT15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0" s="42">
        <f>IF(NOT(Tasks[[#This Row],[_IsLeaf]]=1),0,(Tasks[[#This Row],[_Resource1]]&lt;&gt;"")+(Tasks[[#This Row],[_Res2]]&lt;&gt;"")+(Tasks[[#This Row],[_Res3]]&lt;&gt;"")+(Tasks[[#This Row],[_Res4]]&lt;&gt;""))</f>
        <v/>
      </c>
      <c r="DV150" s="42">
        <f>IF(Tasks[[#This Row],[_Res2Text]]="","",IF(Tasks[[#This Row],[_Res2Row]]&gt;0,INDEX(res_Name,Tasks[[#This Row],[_Res2Row]]),TRIM(LEFT(Tasks[[#This Row],[_Res2Text]],FIND("[",Tasks[[#This Row],[_Res2Text]]&amp;"[")-1))))</f>
        <v/>
      </c>
      <c r="DW15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0" s="42">
        <f>IF(OR(NOT(Tasks[[#This Row],[_IsLeaf]]=1),Tasks[[#This Row],[_Res2Row]]=0),0,N(Tasks[[#This Row],[_Days]])*HoursPerDay*IF(Tasks[[#This Row],[_Res2Units]]="",DefaultUnits,Tasks[[#This Row],[_Res2Units]]))</f>
        <v/>
      </c>
      <c r="DY150" s="42">
        <f>IF(AND(AND(Tasks[[#This Row],[_IsLeaf]]=1,Tasks[[#This Row],[_LeafTotalWork]]&gt;0),Tasks[[#This Row],[_Res2Work]]&gt;0),Tasks[[#This Row],[_Res2Work]]/(Tasks[[#This Row],[_FinishWorkday]]-Tasks[[#This Row],[_StartWorkday]]+1),0)</f>
        <v/>
      </c>
      <c r="DZ150" s="42">
        <f>Tasks[[#This Row],[_Res2WorkPerWD]]*MAX(0,Tasks[[#This Row],[_StartWorkday]]-1)</f>
        <v/>
      </c>
      <c r="EA150" s="42">
        <f>Tasks[[#This Row],[_Res2Work]]*Tasks[[#This Row],[_LeafProgress]]</f>
        <v/>
      </c>
      <c r="EB150" s="42">
        <f>IF(Tasks[[#This Row],[_Res3Text]]="","",IF(Tasks[[#This Row],[_Res3Row]]&gt;0,INDEX(res_Name,Tasks[[#This Row],[_Res3Row]]),TRIM(LEFT(Tasks[[#This Row],[_Res3Text]],FIND("[",Tasks[[#This Row],[_Res3Text]]&amp;"[")-1))))</f>
        <v/>
      </c>
      <c r="EC15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0" s="42">
        <f>IF(OR(NOT(Tasks[[#This Row],[_IsLeaf]]=1),Tasks[[#This Row],[_Res3Row]]=0),0,N(Tasks[[#This Row],[_Days]])*HoursPerDay*IF(Tasks[[#This Row],[_Res3Units]]="",DefaultUnits,Tasks[[#This Row],[_Res3Units]]))</f>
        <v/>
      </c>
      <c r="EE150" s="42">
        <f>IF(AND(AND(Tasks[[#This Row],[_IsLeaf]]=1,Tasks[[#This Row],[_LeafTotalWork]]&gt;0),Tasks[[#This Row],[_Res3Work]]&gt;0),Tasks[[#This Row],[_Res3Work]]/(Tasks[[#This Row],[_FinishWorkday]]-Tasks[[#This Row],[_StartWorkday]]+1),0)</f>
        <v/>
      </c>
      <c r="EF150" s="42">
        <f>Tasks[[#This Row],[_Res3WorkPerWD]]*MAX(0,Tasks[[#This Row],[_StartWorkday]]-1)</f>
        <v/>
      </c>
      <c r="EG150" s="42">
        <f>Tasks[[#This Row],[_Res3Work]]*Tasks[[#This Row],[_LeafProgress]]</f>
        <v/>
      </c>
      <c r="EH150" s="42">
        <f>IF(Tasks[[#This Row],[_Res4Text]]="","",IF(Tasks[[#This Row],[_Res4Row]]&gt;0,INDEX(res_Name,Tasks[[#This Row],[_Res4Row]]),TRIM(LEFT(Tasks[[#This Row],[_Res4Text]],FIND("[",Tasks[[#This Row],[_Res4Text]]&amp;"[")-1))))</f>
        <v/>
      </c>
      <c r="EI15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0" s="42">
        <f>IF(OR(NOT(Tasks[[#This Row],[_IsLeaf]]=1),Tasks[[#This Row],[_Res4Row]]=0),0,N(Tasks[[#This Row],[_Days]])*HoursPerDay*IF(Tasks[[#This Row],[_Res4Units]]="",DefaultUnits,Tasks[[#This Row],[_Res4Units]]))</f>
        <v/>
      </c>
      <c r="EK150" s="42">
        <f>IF(AND(AND(Tasks[[#This Row],[_IsLeaf]]=1,Tasks[[#This Row],[_LeafTotalWork]]&gt;0),Tasks[[#This Row],[_Res4Work]]&gt;0),Tasks[[#This Row],[_Res4Work]]/(Tasks[[#This Row],[_FinishWorkday]]-Tasks[[#This Row],[_StartWorkday]]+1),0)</f>
        <v/>
      </c>
      <c r="EL150" s="42">
        <f>Tasks[[#This Row],[_Res4WorkPerWD]]*MAX(0,Tasks[[#This Row],[_StartWorkday]]-1)</f>
        <v/>
      </c>
      <c r="EM150" s="42">
        <f>Tasks[[#This Row],[_Res4Work]]*Tasks[[#This Row],[_LeafProgress]]</f>
        <v/>
      </c>
      <c r="EN150" s="42">
        <f>IF(ISNUMBER(Tasks[[#This Row],[% Complete]]),Tasks[[#This Row],[% Complete]],IF(Tasks[[#This Row],[Stage]]="",0,IFERROR(INDEX(stg_Pct,MATCH(Tasks[[#This Row],[Stage]],stg_Name,0)),0)))</f>
        <v/>
      </c>
      <c r="EO150" s="42">
        <f>IF(NOT(Tasks[[#This Row],[_IsLeaf]]=1),0,IF(N(Tasks[[#This Row],[Actual Finish]])&gt;0,1,MIN(1,Tasks[[#This Row],[_Pct]])))</f>
        <v/>
      </c>
      <c r="EP150" s="42">
        <f>IF(OR(NOT(Tasks[[#This Row],[_IsLeaf]]=1),Tasks[[#This Row],[_Res1Row]]=0),0,N(Tasks[[#This Row],[_Days]])*HoursPerDay*IF(Tasks[[#This Row],[_Units1]]="",DefaultUnits,Tasks[[#This Row],[_Units1]]))</f>
        <v/>
      </c>
      <c r="EQ150" s="42">
        <f>Tasks[[#This Row],[_LeafWork]]+Tasks[[#This Row],[_Res2Work]]+Tasks[[#This Row],[_Res3Work]]+Tasks[[#This Row],[_Res4Work]]</f>
        <v/>
      </c>
      <c r="ER15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0" s="42">
        <f>IF(NOT(Tasks[[#This Row],[_IsLeaf]]=1),0,MAX(_xlfn.MAXIFS(Tasks[_Row],Tasks[_Pred1UID],Tasks[[#This Row],[UID]]),_xlfn.MAXIFS(Tasks[_Row],Tasks[_Pred2UID],Tasks[[#This Row],[UID]]),_xlfn.MAXIFS(Tasks[_Row],Tasks[_Pred3UID],Tasks[[#This Row],[UID]]),_xlfn.MAXIFS(Tasks[_Row],Tasks[_Pred4UID],Tasks[[#This Row],[UID]])))</f>
        <v/>
      </c>
      <c r="FA15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0" s="88">
        <f>IF(NOT(Tasks[[#This Row],[_IsLeaf]]=1),"",IF(N(Tasks[[#This Row],[_Days]])&lt;=0,Tasks[[#This Row],[_LeafLateFinish]],WORKDAY.INTL(Tasks[[#This Row],[_LeafLateFinish]],-(Tasks[[#This Row],[_Days]]-1),WorkWeek,Holidays)))</f>
        <v/>
      </c>
      <c r="FD15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0" s="42">
        <f>AND(Tasks[[#This Row],[_IsLeaf]]=1,Tasks[[#This Row],[_LeafProgress]]&lt;1,N(Tasks[[#This Row],[_LeafTotalSlack]])&lt;=CriticalSlackDays)</f>
        <v/>
      </c>
      <c r="FF150" s="42">
        <f>IF(AND(Tasks[[#This Row],[_IsLeaf]]=1,Tasks[[#This Row],[_ConstraintCode]]=1,Tasks[[#This Row],[Mode]]&lt;&gt;"Manual",N(Tasks[[#This Row],[Actual Start]])=0),MAX(0,N(Tasks[[#This Row],[Free Slack]])),0)</f>
        <v/>
      </c>
      <c r="FG150" s="88">
        <f>IF(NOT(Tasks[[#This Row],[_IsLeaf]]=1),"",IF(Tasks[[#This Row],[_AlapShift]]=0,Tasks[[#This Row],[_LeafCalcStart]],WORKDAY.INTL(Tasks[[#This Row],[_LeafCalcStart]],Tasks[[#This Row],[_AlapShift]],WorkWeek,Holidays)))</f>
        <v/>
      </c>
      <c r="FH150" s="88">
        <f>IF(NOT(Tasks[[#This Row],[_IsLeaf]]=1),"",IF(Tasks[[#This Row],[_AlapShift]]=0,Tasks[[#This Row],[_LeafCalcFinish]],WORKDAY.INTL(Tasks[[#This Row],[_LeafCalcFinish]],Tasks[[#This Row],[_AlapShift]],WorkWeek,Holidays)))</f>
        <v/>
      </c>
      <c r="FI150" s="88">
        <f>IF(NOT(Tasks[[#This Row],[_IsLeaf]]=1),"",IF(Tasks[[#This Row],[_AlapShift]]=0,Tasks[[#This Row],[_LeafFcstStart]],WORKDAY.INTL(Tasks[[#This Row],[_LeafFcstStart]],Tasks[[#This Row],[_AlapShift]],WorkWeek,Holidays)))</f>
        <v/>
      </c>
      <c r="FJ150" s="88">
        <f>IF(NOT(Tasks[[#This Row],[_IsLeaf]]=1),"",IF(Tasks[[#This Row],[_AlapShift]]=0,Tasks[[#This Row],[_LeafFcstFinish]],WORKDAY.INTL(Tasks[[#This Row],[_LeafFcstFinish]],Tasks[[#This Row],[_AlapShift]],WorkWeek,Holidays)))</f>
        <v/>
      </c>
      <c r="FK150" s="88">
        <f>IF(Tasks[[#This Row],[Task Name]]="","",IF(Tasks[[#This Row],[_IsSummary]],MIN(INDEX(Tasks[_ShownCalcStart],Tasks[[#This Row],[_Row]]+1):INDEX(Tasks[_ShownCalcStart],Tasks[[#This Row],[_Row]]+Tasks[[#This Row],[_Descendants]])),Tasks[[#This Row],[_ShownCalcStart]]))</f>
        <v/>
      </c>
      <c r="FL150" s="88">
        <f>IF(Tasks[[#This Row],[Task Name]]="","",IF(Tasks[[#This Row],[_IsSummary]],MAX(INDEX(Tasks[_ShownCalcFinish],Tasks[[#This Row],[_Row]]+1):INDEX(Tasks[_ShownCalcFinish],Tasks[[#This Row],[_Row]]+Tasks[[#This Row],[_Descendants]])),Tasks[[#This Row],[_ShownCalcFinish]]))</f>
        <v/>
      </c>
      <c r="FM15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0" s="42">
        <f>IF(AND(Tasks[[#This Row],[_IsLeaf]]=1,Tasks[[#This Row],[_LeafTotalWork]]&gt;0),NETWORKDAYS.INTL(ProjectStart,Tasks[[#This Row],[_ShownFcstStart]],WorkWeek,Holidays),0)</f>
        <v/>
      </c>
      <c r="FZ150" s="42">
        <f>IF(AND(Tasks[[#This Row],[_IsLeaf]]=1,Tasks[[#This Row],[_LeafTotalWork]]&gt;0),MAX(Tasks[[#This Row],[_StartWorkday]],NETWORKDAYS.INTL(ProjectStart,Tasks[[#This Row],[_ShownFcstFinish]],WorkWeek,Holidays)),0)</f>
        <v/>
      </c>
      <c r="GA150" s="42">
        <f>IF(AND(Tasks[[#This Row],[_IsLeaf]]=1,Tasks[[#This Row],[_LeafTotalWork]]&gt;0),Tasks[[#This Row],[_LeafWork]]/(Tasks[[#This Row],[_FinishWorkday]]-Tasks[[#This Row],[_StartWorkday]]+1),0)</f>
        <v/>
      </c>
      <c r="GB150" s="42">
        <f>Tasks[[#This Row],[_WorkPerWorkday]]*(Tasks[[#This Row],[_StartWorkday]]-1)</f>
        <v/>
      </c>
      <c r="GC150" s="42">
        <f>IF(Tasks[[#This Row],[_IsLeaf]]=1,MAX(N(Tasks[[#This Row],[_Days]]),0.1),0)</f>
        <v/>
      </c>
      <c r="GD150" s="42">
        <f>Tasks[[#This Row],[_WeightDur]]*Tasks[[#This Row],[_LeafProgress]]</f>
        <v/>
      </c>
      <c r="GE150" s="42">
        <f>Tasks[[#This Row],[_WeightDur]]*Tasks[[#This Row],[_PlannedPct]]</f>
        <v/>
      </c>
      <c r="GF15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0" s="42">
        <f>IF(AND(Tasks[[#This Row],[_IsLeaf]]=1,N(Tasks[[#This Row],[_Days]])=0,Tasks[[#This Row],[_LeafProgress]]&lt;1),Tasks[[#This Row],[_ShownFcstFinish]]+Tasks[[#This Row],[_Row]]/100000,"")</f>
        <v/>
      </c>
      <c r="GH15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0" s="42">
        <f>IF(Tasks[[#This Row],[Task Name]]="","",LEFT(Tasks[[#This Row],[WBS]],FIND(".",Tasks[[#This Row],[WBS]]&amp;".")-1))</f>
        <v/>
      </c>
      <c r="GJ150" s="42">
        <f>IF(AND(Tasks[[#This Row],[Task Name]]&lt;&gt;"",Tasks[[#This Row],[_Level]]=1),Tasks[[#This Row],[_Row]],"")</f>
        <v/>
      </c>
      <c r="GK150" s="42">
        <f>IF(AND(Tasks[[#This Row],[_IsLeaf]]=1,N(Tasks[[#This Row],[_Days]])=0),Tasks[[#This Row],[Planned Finish]]+Tasks[[#This Row],[_Row]]/100000,"")</f>
        <v/>
      </c>
      <c r="GL150" s="42">
        <f>IF(AND(Tasks[[#This Row],[_IsLeaf]]=1,Tasks[[#This Row],[_LeafProgress]]&lt;1,OR(N(Tasks[[#This Row],[Finish Var]])&gt;0,Tasks[[#This Row],[Status]]="Late Start")),MAX(0,Tasks[[#This Row],[Finish Var]])+1-Tasks[[#This Row],[_Row]]/1000000,"")</f>
        <v/>
      </c>
      <c r="GM150" s="42">
        <f>IF(AND(Tasks[[#This Row],[_IsLeaf]]=1,N(Tasks[[#This Row],[Actual Start]])=0,Tasks[[#This Row],[_ShownFcstStart]]&gt;=StatusDate,Tasks[[#This Row],[_ShownFcstStart]]&lt;=LookaheadEnd),Tasks[[#This Row],[_ShownFcstStart]]+Tasks[[#This Row],[_Row]]/100000,"")</f>
        <v/>
      </c>
      <c r="GN150" s="42">
        <f>IF(AND(Tasks[[#This Row],[_IsLeaf]]=1,Tasks[[#This Row],[_LeafProgress]]&lt;1,Tasks[[#This Row],[_ShownFcstFinish]]&gt;=StatusDate,Tasks[[#This Row],[_ShownFcstFinish]]&lt;=LookaheadEnd),Tasks[[#This Row],[_ShownFcstFinish]]+Tasks[[#This Row],[_Row]]/100000,"")</f>
        <v/>
      </c>
      <c r="GO150" s="42">
        <f>IF(Tasks[[#This Row],[_LeafCritical]],Tasks[[#This Row],[_ShownFcstStart]]+Tasks[[#This Row],[_Row]]/100000,"")</f>
        <v/>
      </c>
      <c r="GP150" s="42">
        <f>Tasks[[#This Row],[_LeafWork]]*Tasks[[#This Row],[_LeafProgress]]</f>
        <v/>
      </c>
      <c r="GQ150" s="88">
        <f>IF(AND(Tasks[[#This Row],[_IsLeaf]]=1,Tasks[[#This Row],[_LeafProgress]]&gt;=1),IF(N(Tasks[[#This Row],[Actual Finish]])&gt;0,Tasks[[#This Row],[Actual Finish]],Tasks[[#This Row],[_ShownFcstFinish]]),"")</f>
        <v/>
      </c>
      <c r="GR150" s="42">
        <f>IF(Tasks[[#This Row],[_IsLeaf]]=1,N(Tasks[[#This Row],[Story Points]]),0)</f>
        <v/>
      </c>
      <c r="GS150" s="42">
        <f>""</f>
        <v/>
      </c>
      <c r="GT150" s="42">
        <f>IF(Tasks[[#This Row],[Task Name]]="",FALSE(),AND(Tasks[[#This Row],[_IsLeaf]]=1,N(Tasks[[#This Row],[_Days]])=0))</f>
        <v/>
      </c>
      <c r="GU150" s="88">
        <f>IF(Tasks[[#This Row],[Task Name]]="",0,IF(AND(Tasks[[#This Row],[_IsLeaf]]=1,NOT(Tasks[[#This Row],[_IsMilestone]]),N(Tasks[[#This Row],[Progress]])&gt;0),Tasks[[#This Row],[Start]],0))</f>
        <v/>
      </c>
      <c r="GV150" s="88">
        <f>IF(Tasks[[#This Row],[_DoneFrom]]=0,0,IF(Tasks[[#This Row],[Progress]]&gt;=1,Tasks[[#This Row],[Finish]],MAX(Tasks[[#This Row],[_DoneFrom]],Tasks[[#This Row],[Start]]+ROUND((Tasks[[#This Row],[Finish]]-Tasks[[#This Row],[Start]]+1)*Tasks[[#This Row],[Progress]],0)-1)))</f>
        <v/>
      </c>
      <c r="GW150" s="88">
        <f>IF(Tasks[[#This Row],[Task Name]]="",0,IF(OR(NOT(Tasks[[#This Row],[_IsLeaf]]=1),Tasks[[#This Row],[_IsMilestone]],N(Tasks[[#This Row],[Progress]])&gt;=1),0,IF(Tasks[[#This Row],[_DoneTo]]&gt;0,Tasks[[#This Row],[_DoneTo]]+1,Tasks[[#This Row],[Start]])))</f>
        <v/>
      </c>
      <c r="GX150" s="88">
        <f>IF(Tasks[[#This Row],[_RemFrom]]=0,0,Tasks[[#This Row],[Finish]])</f>
        <v/>
      </c>
      <c r="GY150" s="42">
        <f>IF(Tasks[[#This Row],[Task Name]]="",FALSE(),OR(NOT(BaselineSet),N(Tasks[[#This Row],[Baseline Start]])&gt;0))</f>
        <v/>
      </c>
      <c r="GZ150" s="42">
        <f>IF(AND(Sandbox="Yes",L_PARSE_DURATION(Tasks[[#This Row],[Sandbox Duration]])&lt;&gt;""),L_PARSE_DURATION(Tasks[[#This Row],[Sandbox Duration]]),L_PARSE_DURATION(Tasks[[#This Row],[Duration]]))</f>
        <v/>
      </c>
      <c r="HA15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0" s="42">
        <f>IF(Tasks[[#This Row],[_IsLeaf]]=1,Tasks[[#This Row],[_Row]],"")</f>
        <v/>
      </c>
      <c r="HD150" s="42">
        <f>IFERROR(INDEX(Tasks[UID],SMALL(Tasks[_PickKey],Tasks[[#This Row],[_Row]]))&amp;" "&amp;INDEX(Tasks[Task Name],SMALL(Tasks[_PickKey],Tasks[[#This Row],[_Row]])),"")</f>
        <v/>
      </c>
      <c r="HE150" s="42">
        <f>IF(Tasks[[#This Row],[Task Name]]="","",IF(Tasks[[#This Row],[_IsSummary]],NETWORKDAYS.INTL(Tasks[[#This Row],[Start]],Tasks[[#This Row],[Finish]],WorkWeek,Holidays),N(Tasks[[#This Row],[_Days]])))</f>
        <v/>
      </c>
      <c r="HF150" s="42">
        <f>IF(Tasks[[#This Row],[Expected]]="",0,((Tasks[[#This Row],[Pessimistic]]-Tasks[[#This Row],[Optimistic]])/6)^2)</f>
        <v/>
      </c>
      <c r="HG150" s="42">
        <f>IF(Tasks[[#This Row],[Expected]]="",0,Tasks[[#This Row],[Expected]]-N(Tasks[[#This Row],[_Days]]))</f>
        <v/>
      </c>
    </row>
    <row r="151">
      <c r="A151" s="21">
        <f>IF(Tasks[[#This Row],[Task Name]]="","",COUNTA(Tasks[[#Headers],[Task Name]]:Tasks[[#This Row],[Task Name]])-1)</f>
        <v/>
      </c>
      <c r="B151" s="22" t="n">
        <v>159</v>
      </c>
      <c r="C151" s="22" t="n"/>
      <c r="D151" s="23" t="n"/>
      <c r="E151" s="22" t="n"/>
      <c r="F151" s="23" t="n"/>
      <c r="G151" s="22" t="n"/>
      <c r="H151" s="22" t="n"/>
      <c r="I151" s="23" t="n"/>
      <c r="J151" s="22" t="n"/>
      <c r="K151" s="22" t="n"/>
      <c r="L151" s="23" t="n"/>
      <c r="M151" s="22" t="n"/>
      <c r="N151" s="22" t="n"/>
      <c r="O151" s="23" t="n"/>
      <c r="P151" s="22" t="n"/>
      <c r="Q151" s="22" t="n"/>
      <c r="R151" s="23" t="n"/>
      <c r="S151" s="23" t="n"/>
      <c r="T151" s="82" t="n"/>
      <c r="U151" s="23" t="n"/>
      <c r="V151" s="82" t="n"/>
      <c r="W151" s="23" t="n"/>
      <c r="X151" s="82" t="n"/>
      <c r="Y151" s="23" t="n"/>
      <c r="Z151" s="82" t="n"/>
      <c r="AA151" s="23" t="n"/>
      <c r="AB151" s="23" t="n"/>
      <c r="AC151" s="7" t="n"/>
      <c r="AD151" s="7" t="n"/>
      <c r="AE151" s="61">
        <f>IF(Tasks[[#This Row],[Task Name]]="","",IF(Tasks[[#This Row],[_IsSummary]],MIN(INDEX(Tasks[_ShownFcstStart],Tasks[[#This Row],[_Row]]+1):INDEX(Tasks[_ShownFcstStart],Tasks[[#This Row],[_Row]]+Tasks[[#This Row],[_Descendants]])),Tasks[[#This Row],[_ShownFcstStart]]))</f>
        <v/>
      </c>
      <c r="AF151" s="61">
        <f>IF(Tasks[[#This Row],[Task Name]]="","",IF(Tasks[[#This Row],[_IsSummary]],MAX(INDEX(Tasks[_ShownFcstFinish],Tasks[[#This Row],[_Row]]+1):INDEX(Tasks[_ShownFcstFinish],Tasks[[#This Row],[_Row]]+Tasks[[#This Row],[_Descendants]])),Tasks[[#This Row],[_ShownFcstFinish]]))</f>
        <v/>
      </c>
      <c r="AG151" s="21">
        <f>""</f>
        <v/>
      </c>
      <c r="AH151" s="23" t="n"/>
      <c r="AI15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1" s="7" t="n"/>
      <c r="AK151" s="22" t="n"/>
      <c r="AL151" s="23" t="n"/>
      <c r="AM151" s="7" t="n"/>
      <c r="AN151" s="21">
        <f>IF(Tasks[[#This Row],[Task Name]]="","",IF(Tasks[[#This Row],[Finish]]&gt;=Tasks[[#This Row],[Planned Finish]],NETWORKDAYS.INTL(Tasks[[#This Row],[Planned Finish]],Tasks[[#This Row],[Finish]],WorkWeek,Holidays)-1,1-NETWORKDAYS.INTL(Tasks[[#This Row],[Finish]],Tasks[[#This Row],[Planned Finish]],WorkWeek,Holidays)))</f>
        <v/>
      </c>
      <c r="AO151" s="21">
        <f>IF(Tasks[[#This Row],[Task Name]]="","",IF(Tasks[[#This Row],[Progress]]&gt;=1,"Complete",IF(OR(N(Tasks[[#This Row],[Actual Start]])&gt;0,Tasks[[#This Row],[Progress]]&gt;0),IF(Tasks[[#This Row],[Finish Var]]&gt;0,"Behind","In Progress"),IF(Tasks[[#This Row],[Planned Start]]&lt;StatusDate,"Late Start","Not Started"))))</f>
        <v/>
      </c>
      <c r="AP151" s="21">
        <f>IF(Tasks[[#This Row],[Task Name]]="","",IF(IF(Tasks[[#This Row],[_IsSummary]],COUNTIF(INDEX(Tasks[_LeafCritical],Tasks[[#This Row],[_Row]]+1):INDEX(Tasks[_LeafCritical],Tasks[[#This Row],[_Row]]+Tasks[[#This Row],[_Descendants]]),TRUE())&gt;0,Tasks[[#This Row],[_LeafCritical]]),"Yes",""))</f>
        <v/>
      </c>
      <c r="AQ151" s="61">
        <f>IF(Tasks[[#This Row],[Task Name]]="","",IF(N(Tasks[[#This Row],[Baseline Start]])&gt;0,Tasks[[#This Row],[Baseline Start]],Tasks[[#This Row],[_CalcStart]]))</f>
        <v/>
      </c>
      <c r="AR151" s="61">
        <f>IF(Tasks[[#This Row],[Task Name]]="","",IF(N(Tasks[[#This Row],[Baseline Finish]])&gt;0,Tasks[[#This Row],[Baseline Finish]],Tasks[[#This Row],[_CalcFinish]]))</f>
        <v/>
      </c>
      <c r="AS151" s="21">
        <f>IF(Tasks[[#This Row],[Task Name]]="","",IF(Tasks[[#This Row],[Start]]&gt;=Tasks[[#This Row],[Planned Start]],NETWORKDAYS.INTL(Tasks[[#This Row],[Planned Start]],Tasks[[#This Row],[Start]],WorkWeek,Holidays)-1,1-NETWORKDAYS.INTL(Tasks[[#This Row],[Start]],Tasks[[#This Row],[Planned Start]],WorkWeek,Holidays)))</f>
        <v/>
      </c>
      <c r="AT151" s="61">
        <f>IF(Tasks[[#This Row],[Task Name]]="","",IF(Tasks[[#This Row],[_IsSummary]],MIN(INDEX(Tasks[_LeafLateStart],Tasks[[#This Row],[_Row]]+1):INDEX(Tasks[_LeafLateStart],Tasks[[#This Row],[_Row]]+Tasks[[#This Row],[_Descendants]])),Tasks[[#This Row],[_LeafLateStart]]))</f>
        <v/>
      </c>
      <c r="AU151" s="61">
        <f>IF(Tasks[[#This Row],[Task Name]]="","",IF(Tasks[[#This Row],[_IsSummary]],MAX(INDEX(Tasks[_LeafLateFinish],Tasks[[#This Row],[_Row]]+1):INDEX(Tasks[_LeafLateFinish],Tasks[[#This Row],[_Row]]+Tasks[[#This Row],[_Descendants]])),Tasks[[#This Row],[_LeafLateFinish]]))</f>
        <v/>
      </c>
      <c r="AV151" s="21">
        <f>IF(Tasks[[#This Row],[Task Name]]="","",IF(Tasks[[#This Row],[_IsSummary]],MIN(INDEX(Tasks[_LeafTotalSlack],Tasks[[#This Row],[_Row]]+1):INDEX(Tasks[_LeafTotalSlack],Tasks[[#This Row],[_Row]]+Tasks[[#This Row],[_Descendants]])),Tasks[[#This Row],[_LeafTotalSlack]]))</f>
        <v/>
      </c>
      <c r="AW15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3" t="n"/>
      <c r="BA15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f>IF(Tasks[[#This Row],[Task Name]]="","",IF(Tasks[[#This Row],[_Level]]&lt;=OutlineShowLevel,"Yes","No"))</f>
        <v/>
      </c>
      <c r="BE151" s="84">
        <f>IF(Tasks[[#This Row],[Task Name]]="","",IF(Tasks[[#This Row],[_IsSummary]],SUM(INDEX(Tasks[_LeafTotalWork],Tasks[[#This Row],[_Row]]+1):INDEX(Tasks[_LeafTotalWork],Tasks[[#This Row],[_Row]]+Tasks[[#This Row],[_Descendants]])),Tasks[[#This Row],[_LeafTotalWork]]))</f>
        <v/>
      </c>
      <c r="BF151" s="23" t="n"/>
      <c r="BG15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f>""</f>
        <v/>
      </c>
      <c r="BI151" s="85" t="n"/>
      <c r="BJ151" s="22" t="n"/>
      <c r="BK151" s="21">
        <f>IF(OR(Tasks[[#This Row],[Task Name]]="",Tasks[[#This Row],[Baseline Duration]]=""),"",Tasks[[#This Row],[_SpanDays]]-N(Tasks[[#This Row],[Baseline Duration]]))</f>
        <v/>
      </c>
      <c r="BL151" s="84">
        <f>IF(OR(Tasks[[#This Row],[Task Name]]="",Tasks[[#This Row],[Baseline Work]]=""),"",Tasks[[#This Row],[Work]]-N(Tasks[[#This Row],[Baseline Work]]))</f>
        <v/>
      </c>
      <c r="BM151" s="61">
        <f>IF(Tasks[[#This Row],[Task Name]]="","",IF(OR(TakeBaseline="Yes",N(Tasks[[#This Row],[Baseline Start]])=0),Tasks[[#This Row],[Start]],Tasks[[#This Row],[Baseline Start]]))</f>
        <v/>
      </c>
      <c r="BN151" s="61">
        <f>IF(Tasks[[#This Row],[Task Name]]="","",IF(OR(TakeBaseline="Yes",N(Tasks[[#This Row],[Baseline Finish]])=0),Tasks[[#This Row],[Finish]],Tasks[[#This Row],[Baseline Finish]]))</f>
        <v/>
      </c>
      <c r="BO151" s="21">
        <f>IF(Tasks[[#This Row],[Task Name]]="","",IF(OR(TakeBaseline="Yes",N(Tasks[[#This Row],[Baseline Duration]])=0),Tasks[[#This Row],[_SpanDays]],Tasks[[#This Row],[Baseline Duration]]))</f>
        <v/>
      </c>
      <c r="BP151" s="84">
        <f>IF(Tasks[[#This Row],[Task Name]]="","",IF(OR(TakeBaseline="Yes",N(Tasks[[#This Row],[Baseline Work]])=0),Tasks[[#This Row],[Work]],Tasks[[#This Row],[Baseline Work]]))</f>
        <v/>
      </c>
      <c r="BQ151" s="7" t="n"/>
      <c r="BR151" s="7" t="n"/>
      <c r="BS151" s="22" t="n"/>
      <c r="BT151" s="86" t="n"/>
      <c r="BU151" s="23" t="n"/>
      <c r="BV151" s="23" t="n"/>
      <c r="BW151" s="23" t="n"/>
      <c r="BX151" s="87">
        <f>IF(AND(Tasks[[#This Row],[_IsLeaf]]=1,ISNUMBER(Tasks[[#This Row],[Optimistic]]),ISNUMBER(Tasks[[#This Row],[Pessimistic]])),ROUND((Tasks[[#This Row],[Optimistic]]+4*N(Tasks[[#This Row],[_Days]])+Tasks[[#This Row],[Pessimistic]])/6,1),"")</f>
        <v/>
      </c>
      <c r="BY151" s="85" t="n"/>
      <c r="BZ151" s="85" t="n"/>
      <c r="CA151" s="22" t="n"/>
      <c r="CB151" s="42">
        <f>IF(Tasks[[#This Row],[Task Name]]="","",MAX(1,N(Tasks[[#This Row],[Level]])))</f>
        <v/>
      </c>
      <c r="CC151" s="42">
        <f>ROW()-ROW(Tasks[[#Headers],[ID]])</f>
        <v/>
      </c>
      <c r="CD151" s="42">
        <f>IF(OR(Tasks[[#This Row],[Task Name]]="",Tasks[[#This Row],[_Level]]&lt;=1),0,IFERROR(LOOKUP(2,1/(Tasks[[#Headers],[_Level]]:Tasks[[#This Row],[_Level]]=Tasks[[#This Row],[_Level]]-1),ROW(Tasks[[#Headers],[_Level]]:Tasks[[#This Row],[_Level]])),0))</f>
        <v/>
      </c>
      <c r="CE151" s="42">
        <f>IFERROR(N(INDEX(Tasks[_Level],Tasks[[#This Row],[_Row]]+1)),0)</f>
        <v/>
      </c>
      <c r="CF151" s="42">
        <f>AND(Tasks[[#This Row],[Task Name]]&lt;&gt;"",Tasks[[#This Row],[_NextLevel]]&gt;Tasks[[#This Row],[_Level]])</f>
        <v/>
      </c>
      <c r="CG151" s="42">
        <f>IF(Tasks[[#This Row],[_IsSummary]],COUNTIF(Tasks[WBS],Tasks[[#This Row],[WBS]]&amp;".*"),0)</f>
        <v/>
      </c>
      <c r="CH151" s="42">
        <f>IF(AND(Tasks[[#This Row],[Task Name]]&lt;&gt;"",NOT(Tasks[[#This Row],[_IsSummary]])),1,0)</f>
        <v/>
      </c>
      <c r="CI151" s="42">
        <f>IF(N(Tasks[[#This Row],[_Pred1UID]])=0,0,IFERROR(MATCH(Tasks[[#This Row],[_Pred1UID]],Tasks[UID],0),-1))</f>
        <v/>
      </c>
      <c r="CJ151" s="42">
        <f>IF(N(Tasks[[#This Row],[_Pred2UID]])=0,0,IFERROR(MATCH(Tasks[[#This Row],[_Pred2UID]],Tasks[UID],0),-1))</f>
        <v/>
      </c>
      <c r="CK151" s="42">
        <f>IF(N(Tasks[[#This Row],[_Pred3UID]])=0,0,IFERROR(MATCH(Tasks[[#This Row],[_Pred3UID]],Tasks[UID],0),-1))</f>
        <v/>
      </c>
      <c r="CL151" s="42">
        <f>IF(N(Tasks[[#This Row],[_Pred4UID]])=0,0,IFERROR(MATCH(Tasks[[#This Row],[_Pred4UID]],Tasks[UID],0),-1))</f>
        <v/>
      </c>
      <c r="CM15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1" s="88">
        <f>IF(N(Tasks[[#This Row],[Constraint Date]])=0,0,IF(AND(OR(Tasks[[#This Row],[_ConstraintCode]]=3,Tasks[[#This Row],[_ConstraintCode]]=6,Tasks[[#This Row],[_ConstraintCode]]=7),N(Tasks[[#This Row],[_Days]])&gt;1),WORKDAY.INTL(N(Tasks[[#This Row],[Constraint Date]]),-(N(Tasks[[#This Row],[_Days]])-1),WorkWeek,Holidays),N(Tasks[[#This Row],[Constraint Date]])))</f>
        <v/>
      </c>
      <c r="CO151" s="88">
        <f>IF(OR(Tasks[[#This Row],[_ConstraintCode]]=2,Tasks[[#This Row],[_ConstraintCode]]=3,Tasks[[#This Row],[_ConstraintCode]]=4,Tasks[[#This Row],[_ConstraintCode]]=6),Tasks[[#This Row],[_ConstraintStart]],0)</f>
        <v/>
      </c>
      <c r="CP151" s="88">
        <f>IF(OR(Tasks[[#This Row],[_ConstraintCode]]=2,Tasks[[#This Row],[_ConstraintCode]]=3,Tasks[[#This Row],[_ConstraintCode]]=5,Tasks[[#This Row],[_ConstraintCode]]=7),Tasks[[#This Row],[_ConstraintStart]],2958465)</f>
        <v/>
      </c>
      <c r="CQ15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1" s="88">
        <f>IF(NOT(Tasks[[#This Row],[_IsLeaf]]=1),"",IF(N(Tasks[[#This Row],[_Days]])&lt;=0,Tasks[[#This Row],[_LeafCalcStart]],WORKDAY.INTL(Tasks[[#This Row],[_LeafCalcStart]],Tasks[[#This Row],[_Days]]-1,WorkWeek,Holidays)))</f>
        <v/>
      </c>
      <c r="CS15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1" s="42">
        <f>IF(Tasks[[#This Row],[_Predecessors]]="","",TRIM(MID(SUBSTITUTE(SUBSTITUTE(SUBSTITUTE(UPPER(Tasks[[#This Row],[_Predecessors]]),";",",")," ",""),",",REPT(" ",99)),1,99)))</f>
        <v/>
      </c>
      <c r="CV151" s="42">
        <f>IF(Tasks[[#This Row],[_Pred1Text]]="","",IFERROR(VALUE(LEFT(Tasks[[#This Row],[_Pred1Text]],MIN(FIND("F",Tasks[[#This Row],[_Pred1Text]]&amp;"F"),FIND("S",Tasks[[#This Row],[_Pred1Text]]&amp;"S"),FIND("+",Tasks[[#This Row],[_Pred1Text]]&amp;"+"),FIND("-",Tasks[[#This Row],[_Pred1Text]]&amp;"-"))-1)),""))</f>
        <v/>
      </c>
      <c r="CW15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1" s="42">
        <f>IF(Tasks[[#This Row],[_Pred1Text]]="","",TRIM(MID(SUBSTITUTE(SUBSTITUTE(SUBSTITUTE(UPPER(Tasks[[#This Row],[_Predecessors]]),";",",")," ",""),",",REPT(" ",99)),100,99)))</f>
        <v/>
      </c>
      <c r="CZ151" s="42">
        <f>IF(Tasks[[#This Row],[_Pred2Text]]="","",IFERROR(VALUE(LEFT(Tasks[[#This Row],[_Pred2Text]],MIN(FIND("F",Tasks[[#This Row],[_Pred2Text]]&amp;"F"),FIND("S",Tasks[[#This Row],[_Pred2Text]]&amp;"S"),FIND("+",Tasks[[#This Row],[_Pred2Text]]&amp;"+"),FIND("-",Tasks[[#This Row],[_Pred2Text]]&amp;"-"))-1)),""))</f>
        <v/>
      </c>
      <c r="DA15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1" s="42">
        <f>IF(Tasks[[#This Row],[_Pred2Text]]="","",TRIM(MID(SUBSTITUTE(SUBSTITUTE(SUBSTITUTE(UPPER(Tasks[[#This Row],[_Predecessors]]),";",",")," ",""),",",REPT(" ",99)),199,99)))</f>
        <v/>
      </c>
      <c r="DD151" s="42">
        <f>IF(Tasks[[#This Row],[_Pred3Text]]="","",IFERROR(VALUE(LEFT(Tasks[[#This Row],[_Pred3Text]],MIN(FIND("F",Tasks[[#This Row],[_Pred3Text]]&amp;"F"),FIND("S",Tasks[[#This Row],[_Pred3Text]]&amp;"S"),FIND("+",Tasks[[#This Row],[_Pred3Text]]&amp;"+"),FIND("-",Tasks[[#This Row],[_Pred3Text]]&amp;"-"))-1)),""))</f>
        <v/>
      </c>
      <c r="DE15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1" s="42">
        <f>IF(Tasks[[#This Row],[_Pred3Text]]="","",TRIM(MID(SUBSTITUTE(SUBSTITUTE(SUBSTITUTE(UPPER(Tasks[[#This Row],[_Predecessors]]),";",",")," ",""),",",REPT(" ",99)),298,99)))</f>
        <v/>
      </c>
      <c r="DH151" s="42">
        <f>IF(Tasks[[#This Row],[_Pred4Text]]="","",IFERROR(VALUE(LEFT(Tasks[[#This Row],[_Pred4Text]],MIN(FIND("F",Tasks[[#This Row],[_Pred4Text]]&amp;"F"),FIND("S",Tasks[[#This Row],[_Pred4Text]]&amp;"S"),FIND("+",Tasks[[#This Row],[_Pred4Text]]&amp;"+"),FIND("-",Tasks[[#This Row],[_Pred4Text]]&amp;"-"))-1)),""))</f>
        <v/>
      </c>
      <c r="DI15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1" s="42">
        <f>IF(OR(Tasks[[#This Row],[Task Name]]="",Tasks[[#This Row],[_Resources]]=""),"",TRIM(MID(SUBSTITUTE(Tasks[[#This Row],[_Resources]],",",REPT(" ",99)),1,99)))</f>
        <v/>
      </c>
      <c r="DL151" s="42">
        <f>IF(Tasks[[#This Row],[_Res1Text]]="","",TRIM(MID(SUBSTITUTE(Tasks[[#This Row],[_Resources]],",",REPT(" ",99)),100,99)))</f>
        <v/>
      </c>
      <c r="DM151" s="42">
        <f>IF(Tasks[[#This Row],[_Res2Text]]="","",TRIM(MID(SUBSTITUTE(Tasks[[#This Row],[_Resources]],",",REPT(" ",99)),199,99)))</f>
        <v/>
      </c>
      <c r="DN151" s="42">
        <f>IF(Tasks[[#This Row],[_Res3Text]]="","",TRIM(MID(SUBSTITUTE(Tasks[[#This Row],[_Resources]],",",REPT(" ",99)),298,99)))</f>
        <v/>
      </c>
      <c r="DO151" s="42">
        <f>IF(Tasks[[#This Row],[_Res1Text]]="",0,IFERROR(MATCH(TRIM(LEFT(Tasks[[#This Row],[_Res1Text]],FIND("[",Tasks[[#This Row],[_Res1Text]]&amp;"[")-1)),res_Name,0),IFERROR(MATCH(TRIM(LEFT(Tasks[[#This Row],[_Res1Text]],FIND("[",Tasks[[#This Row],[_Res1Text]]&amp;"[")-1)),res_Initials,0),0)))</f>
        <v/>
      </c>
      <c r="DP151" s="42">
        <f>IF(Tasks[[#This Row],[_Res2Text]]="",0,IFERROR(MATCH(TRIM(LEFT(Tasks[[#This Row],[_Res2Text]],FIND("[",Tasks[[#This Row],[_Res2Text]]&amp;"[")-1)),res_Name,0),IFERROR(MATCH(TRIM(LEFT(Tasks[[#This Row],[_Res2Text]],FIND("[",Tasks[[#This Row],[_Res2Text]]&amp;"[")-1)),res_Initials,0),0)))</f>
        <v/>
      </c>
      <c r="DQ151" s="42">
        <f>IF(Tasks[[#This Row],[_Res3Text]]="",0,IFERROR(MATCH(TRIM(LEFT(Tasks[[#This Row],[_Res3Text]],FIND("[",Tasks[[#This Row],[_Res3Text]]&amp;"[")-1)),res_Name,0),IFERROR(MATCH(TRIM(LEFT(Tasks[[#This Row],[_Res3Text]],FIND("[",Tasks[[#This Row],[_Res3Text]]&amp;"[")-1)),res_Initials,0),0)))</f>
        <v/>
      </c>
      <c r="DR151" s="42">
        <f>IF(Tasks[[#This Row],[_Res4Text]]="",0,IFERROR(MATCH(TRIM(LEFT(Tasks[[#This Row],[_Res4Text]],FIND("[",Tasks[[#This Row],[_Res4Text]]&amp;"[")-1)),res_Name,0),IFERROR(MATCH(TRIM(LEFT(Tasks[[#This Row],[_Res4Text]],FIND("[",Tasks[[#This Row],[_Res4Text]]&amp;"[")-1)),res_Initials,0),0)))</f>
        <v/>
      </c>
      <c r="DS151" s="42">
        <f>IF(Tasks[[#This Row],[_Res1Text]]="","",IF(Tasks[[#This Row],[_Res1Row]]&gt;0,INDEX(res_Name,Tasks[[#This Row],[_Res1Row]]),TRIM(LEFT(Tasks[[#This Row],[_Res1Text]],FIND("[",Tasks[[#This Row],[_Res1Text]]&amp;"[")-1))))</f>
        <v/>
      </c>
      <c r="DT15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1" s="42">
        <f>IF(NOT(Tasks[[#This Row],[_IsLeaf]]=1),0,(Tasks[[#This Row],[_Resource1]]&lt;&gt;"")+(Tasks[[#This Row],[_Res2]]&lt;&gt;"")+(Tasks[[#This Row],[_Res3]]&lt;&gt;"")+(Tasks[[#This Row],[_Res4]]&lt;&gt;""))</f>
        <v/>
      </c>
      <c r="DV151" s="42">
        <f>IF(Tasks[[#This Row],[_Res2Text]]="","",IF(Tasks[[#This Row],[_Res2Row]]&gt;0,INDEX(res_Name,Tasks[[#This Row],[_Res2Row]]),TRIM(LEFT(Tasks[[#This Row],[_Res2Text]],FIND("[",Tasks[[#This Row],[_Res2Text]]&amp;"[")-1))))</f>
        <v/>
      </c>
      <c r="DW15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1" s="42">
        <f>IF(OR(NOT(Tasks[[#This Row],[_IsLeaf]]=1),Tasks[[#This Row],[_Res2Row]]=0),0,N(Tasks[[#This Row],[_Days]])*HoursPerDay*IF(Tasks[[#This Row],[_Res2Units]]="",DefaultUnits,Tasks[[#This Row],[_Res2Units]]))</f>
        <v/>
      </c>
      <c r="DY151" s="42">
        <f>IF(AND(AND(Tasks[[#This Row],[_IsLeaf]]=1,Tasks[[#This Row],[_LeafTotalWork]]&gt;0),Tasks[[#This Row],[_Res2Work]]&gt;0),Tasks[[#This Row],[_Res2Work]]/(Tasks[[#This Row],[_FinishWorkday]]-Tasks[[#This Row],[_StartWorkday]]+1),0)</f>
        <v/>
      </c>
      <c r="DZ151" s="42">
        <f>Tasks[[#This Row],[_Res2WorkPerWD]]*MAX(0,Tasks[[#This Row],[_StartWorkday]]-1)</f>
        <v/>
      </c>
      <c r="EA151" s="42">
        <f>Tasks[[#This Row],[_Res2Work]]*Tasks[[#This Row],[_LeafProgress]]</f>
        <v/>
      </c>
      <c r="EB151" s="42">
        <f>IF(Tasks[[#This Row],[_Res3Text]]="","",IF(Tasks[[#This Row],[_Res3Row]]&gt;0,INDEX(res_Name,Tasks[[#This Row],[_Res3Row]]),TRIM(LEFT(Tasks[[#This Row],[_Res3Text]],FIND("[",Tasks[[#This Row],[_Res3Text]]&amp;"[")-1))))</f>
        <v/>
      </c>
      <c r="EC15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1" s="42">
        <f>IF(OR(NOT(Tasks[[#This Row],[_IsLeaf]]=1),Tasks[[#This Row],[_Res3Row]]=0),0,N(Tasks[[#This Row],[_Days]])*HoursPerDay*IF(Tasks[[#This Row],[_Res3Units]]="",DefaultUnits,Tasks[[#This Row],[_Res3Units]]))</f>
        <v/>
      </c>
      <c r="EE151" s="42">
        <f>IF(AND(AND(Tasks[[#This Row],[_IsLeaf]]=1,Tasks[[#This Row],[_LeafTotalWork]]&gt;0),Tasks[[#This Row],[_Res3Work]]&gt;0),Tasks[[#This Row],[_Res3Work]]/(Tasks[[#This Row],[_FinishWorkday]]-Tasks[[#This Row],[_StartWorkday]]+1),0)</f>
        <v/>
      </c>
      <c r="EF151" s="42">
        <f>Tasks[[#This Row],[_Res3WorkPerWD]]*MAX(0,Tasks[[#This Row],[_StartWorkday]]-1)</f>
        <v/>
      </c>
      <c r="EG151" s="42">
        <f>Tasks[[#This Row],[_Res3Work]]*Tasks[[#This Row],[_LeafProgress]]</f>
        <v/>
      </c>
      <c r="EH151" s="42">
        <f>IF(Tasks[[#This Row],[_Res4Text]]="","",IF(Tasks[[#This Row],[_Res4Row]]&gt;0,INDEX(res_Name,Tasks[[#This Row],[_Res4Row]]),TRIM(LEFT(Tasks[[#This Row],[_Res4Text]],FIND("[",Tasks[[#This Row],[_Res4Text]]&amp;"[")-1))))</f>
        <v/>
      </c>
      <c r="EI15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1" s="42">
        <f>IF(OR(NOT(Tasks[[#This Row],[_IsLeaf]]=1),Tasks[[#This Row],[_Res4Row]]=0),0,N(Tasks[[#This Row],[_Days]])*HoursPerDay*IF(Tasks[[#This Row],[_Res4Units]]="",DefaultUnits,Tasks[[#This Row],[_Res4Units]]))</f>
        <v/>
      </c>
      <c r="EK151" s="42">
        <f>IF(AND(AND(Tasks[[#This Row],[_IsLeaf]]=1,Tasks[[#This Row],[_LeafTotalWork]]&gt;0),Tasks[[#This Row],[_Res4Work]]&gt;0),Tasks[[#This Row],[_Res4Work]]/(Tasks[[#This Row],[_FinishWorkday]]-Tasks[[#This Row],[_StartWorkday]]+1),0)</f>
        <v/>
      </c>
      <c r="EL151" s="42">
        <f>Tasks[[#This Row],[_Res4WorkPerWD]]*MAX(0,Tasks[[#This Row],[_StartWorkday]]-1)</f>
        <v/>
      </c>
      <c r="EM151" s="42">
        <f>Tasks[[#This Row],[_Res4Work]]*Tasks[[#This Row],[_LeafProgress]]</f>
        <v/>
      </c>
      <c r="EN151" s="42">
        <f>IF(ISNUMBER(Tasks[[#This Row],[% Complete]]),Tasks[[#This Row],[% Complete]],IF(Tasks[[#This Row],[Stage]]="",0,IFERROR(INDEX(stg_Pct,MATCH(Tasks[[#This Row],[Stage]],stg_Name,0)),0)))</f>
        <v/>
      </c>
      <c r="EO151" s="42">
        <f>IF(NOT(Tasks[[#This Row],[_IsLeaf]]=1),0,IF(N(Tasks[[#This Row],[Actual Finish]])&gt;0,1,MIN(1,Tasks[[#This Row],[_Pct]])))</f>
        <v/>
      </c>
      <c r="EP151" s="42">
        <f>IF(OR(NOT(Tasks[[#This Row],[_IsLeaf]]=1),Tasks[[#This Row],[_Res1Row]]=0),0,N(Tasks[[#This Row],[_Days]])*HoursPerDay*IF(Tasks[[#This Row],[_Units1]]="",DefaultUnits,Tasks[[#This Row],[_Units1]]))</f>
        <v/>
      </c>
      <c r="EQ151" s="42">
        <f>Tasks[[#This Row],[_LeafWork]]+Tasks[[#This Row],[_Res2Work]]+Tasks[[#This Row],[_Res3Work]]+Tasks[[#This Row],[_Res4Work]]</f>
        <v/>
      </c>
      <c r="ER15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1" s="42">
        <f>IF(NOT(Tasks[[#This Row],[_IsLeaf]]=1),0,MAX(_xlfn.MAXIFS(Tasks[_Row],Tasks[_Pred1UID],Tasks[[#This Row],[UID]]),_xlfn.MAXIFS(Tasks[_Row],Tasks[_Pred2UID],Tasks[[#This Row],[UID]]),_xlfn.MAXIFS(Tasks[_Row],Tasks[_Pred3UID],Tasks[[#This Row],[UID]]),_xlfn.MAXIFS(Tasks[_Row],Tasks[_Pred4UID],Tasks[[#This Row],[UID]])))</f>
        <v/>
      </c>
      <c r="FA15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1" s="88">
        <f>IF(NOT(Tasks[[#This Row],[_IsLeaf]]=1),"",IF(N(Tasks[[#This Row],[_Days]])&lt;=0,Tasks[[#This Row],[_LeafLateFinish]],WORKDAY.INTL(Tasks[[#This Row],[_LeafLateFinish]],-(Tasks[[#This Row],[_Days]]-1),WorkWeek,Holidays)))</f>
        <v/>
      </c>
      <c r="FD15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1" s="42">
        <f>AND(Tasks[[#This Row],[_IsLeaf]]=1,Tasks[[#This Row],[_LeafProgress]]&lt;1,N(Tasks[[#This Row],[_LeafTotalSlack]])&lt;=CriticalSlackDays)</f>
        <v/>
      </c>
      <c r="FF151" s="42">
        <f>IF(AND(Tasks[[#This Row],[_IsLeaf]]=1,Tasks[[#This Row],[_ConstraintCode]]=1,Tasks[[#This Row],[Mode]]&lt;&gt;"Manual",N(Tasks[[#This Row],[Actual Start]])=0),MAX(0,N(Tasks[[#This Row],[Free Slack]])),0)</f>
        <v/>
      </c>
      <c r="FG151" s="88">
        <f>IF(NOT(Tasks[[#This Row],[_IsLeaf]]=1),"",IF(Tasks[[#This Row],[_AlapShift]]=0,Tasks[[#This Row],[_LeafCalcStart]],WORKDAY.INTL(Tasks[[#This Row],[_LeafCalcStart]],Tasks[[#This Row],[_AlapShift]],WorkWeek,Holidays)))</f>
        <v/>
      </c>
      <c r="FH151" s="88">
        <f>IF(NOT(Tasks[[#This Row],[_IsLeaf]]=1),"",IF(Tasks[[#This Row],[_AlapShift]]=0,Tasks[[#This Row],[_LeafCalcFinish]],WORKDAY.INTL(Tasks[[#This Row],[_LeafCalcFinish]],Tasks[[#This Row],[_AlapShift]],WorkWeek,Holidays)))</f>
        <v/>
      </c>
      <c r="FI151" s="88">
        <f>IF(NOT(Tasks[[#This Row],[_IsLeaf]]=1),"",IF(Tasks[[#This Row],[_AlapShift]]=0,Tasks[[#This Row],[_LeafFcstStart]],WORKDAY.INTL(Tasks[[#This Row],[_LeafFcstStart]],Tasks[[#This Row],[_AlapShift]],WorkWeek,Holidays)))</f>
        <v/>
      </c>
      <c r="FJ151" s="88">
        <f>IF(NOT(Tasks[[#This Row],[_IsLeaf]]=1),"",IF(Tasks[[#This Row],[_AlapShift]]=0,Tasks[[#This Row],[_LeafFcstFinish]],WORKDAY.INTL(Tasks[[#This Row],[_LeafFcstFinish]],Tasks[[#This Row],[_AlapShift]],WorkWeek,Holidays)))</f>
        <v/>
      </c>
      <c r="FK151" s="88">
        <f>IF(Tasks[[#This Row],[Task Name]]="","",IF(Tasks[[#This Row],[_IsSummary]],MIN(INDEX(Tasks[_ShownCalcStart],Tasks[[#This Row],[_Row]]+1):INDEX(Tasks[_ShownCalcStart],Tasks[[#This Row],[_Row]]+Tasks[[#This Row],[_Descendants]])),Tasks[[#This Row],[_ShownCalcStart]]))</f>
        <v/>
      </c>
      <c r="FL151" s="88">
        <f>IF(Tasks[[#This Row],[Task Name]]="","",IF(Tasks[[#This Row],[_IsSummary]],MAX(INDEX(Tasks[_ShownCalcFinish],Tasks[[#This Row],[_Row]]+1):INDEX(Tasks[_ShownCalcFinish],Tasks[[#This Row],[_Row]]+Tasks[[#This Row],[_Descendants]])),Tasks[[#This Row],[_ShownCalcFinish]]))</f>
        <v/>
      </c>
      <c r="FM15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1" s="42">
        <f>IF(AND(Tasks[[#This Row],[_IsLeaf]]=1,Tasks[[#This Row],[_LeafTotalWork]]&gt;0),NETWORKDAYS.INTL(ProjectStart,Tasks[[#This Row],[_ShownFcstStart]],WorkWeek,Holidays),0)</f>
        <v/>
      </c>
      <c r="FZ151" s="42">
        <f>IF(AND(Tasks[[#This Row],[_IsLeaf]]=1,Tasks[[#This Row],[_LeafTotalWork]]&gt;0),MAX(Tasks[[#This Row],[_StartWorkday]],NETWORKDAYS.INTL(ProjectStart,Tasks[[#This Row],[_ShownFcstFinish]],WorkWeek,Holidays)),0)</f>
        <v/>
      </c>
      <c r="GA151" s="42">
        <f>IF(AND(Tasks[[#This Row],[_IsLeaf]]=1,Tasks[[#This Row],[_LeafTotalWork]]&gt;0),Tasks[[#This Row],[_LeafWork]]/(Tasks[[#This Row],[_FinishWorkday]]-Tasks[[#This Row],[_StartWorkday]]+1),0)</f>
        <v/>
      </c>
      <c r="GB151" s="42">
        <f>Tasks[[#This Row],[_WorkPerWorkday]]*(Tasks[[#This Row],[_StartWorkday]]-1)</f>
        <v/>
      </c>
      <c r="GC151" s="42">
        <f>IF(Tasks[[#This Row],[_IsLeaf]]=1,MAX(N(Tasks[[#This Row],[_Days]]),0.1),0)</f>
        <v/>
      </c>
      <c r="GD151" s="42">
        <f>Tasks[[#This Row],[_WeightDur]]*Tasks[[#This Row],[_LeafProgress]]</f>
        <v/>
      </c>
      <c r="GE151" s="42">
        <f>Tasks[[#This Row],[_WeightDur]]*Tasks[[#This Row],[_PlannedPct]]</f>
        <v/>
      </c>
      <c r="GF15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1" s="42">
        <f>IF(AND(Tasks[[#This Row],[_IsLeaf]]=1,N(Tasks[[#This Row],[_Days]])=0,Tasks[[#This Row],[_LeafProgress]]&lt;1),Tasks[[#This Row],[_ShownFcstFinish]]+Tasks[[#This Row],[_Row]]/100000,"")</f>
        <v/>
      </c>
      <c r="GH15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1" s="42">
        <f>IF(Tasks[[#This Row],[Task Name]]="","",LEFT(Tasks[[#This Row],[WBS]],FIND(".",Tasks[[#This Row],[WBS]]&amp;".")-1))</f>
        <v/>
      </c>
      <c r="GJ151" s="42">
        <f>IF(AND(Tasks[[#This Row],[Task Name]]&lt;&gt;"",Tasks[[#This Row],[_Level]]=1),Tasks[[#This Row],[_Row]],"")</f>
        <v/>
      </c>
      <c r="GK151" s="42">
        <f>IF(AND(Tasks[[#This Row],[_IsLeaf]]=1,N(Tasks[[#This Row],[_Days]])=0),Tasks[[#This Row],[Planned Finish]]+Tasks[[#This Row],[_Row]]/100000,"")</f>
        <v/>
      </c>
      <c r="GL151" s="42">
        <f>IF(AND(Tasks[[#This Row],[_IsLeaf]]=1,Tasks[[#This Row],[_LeafProgress]]&lt;1,OR(N(Tasks[[#This Row],[Finish Var]])&gt;0,Tasks[[#This Row],[Status]]="Late Start")),MAX(0,Tasks[[#This Row],[Finish Var]])+1-Tasks[[#This Row],[_Row]]/1000000,"")</f>
        <v/>
      </c>
      <c r="GM151" s="42">
        <f>IF(AND(Tasks[[#This Row],[_IsLeaf]]=1,N(Tasks[[#This Row],[Actual Start]])=0,Tasks[[#This Row],[_ShownFcstStart]]&gt;=StatusDate,Tasks[[#This Row],[_ShownFcstStart]]&lt;=LookaheadEnd),Tasks[[#This Row],[_ShownFcstStart]]+Tasks[[#This Row],[_Row]]/100000,"")</f>
        <v/>
      </c>
      <c r="GN151" s="42">
        <f>IF(AND(Tasks[[#This Row],[_IsLeaf]]=1,Tasks[[#This Row],[_LeafProgress]]&lt;1,Tasks[[#This Row],[_ShownFcstFinish]]&gt;=StatusDate,Tasks[[#This Row],[_ShownFcstFinish]]&lt;=LookaheadEnd),Tasks[[#This Row],[_ShownFcstFinish]]+Tasks[[#This Row],[_Row]]/100000,"")</f>
        <v/>
      </c>
      <c r="GO151" s="42">
        <f>IF(Tasks[[#This Row],[_LeafCritical]],Tasks[[#This Row],[_ShownFcstStart]]+Tasks[[#This Row],[_Row]]/100000,"")</f>
        <v/>
      </c>
      <c r="GP151" s="42">
        <f>Tasks[[#This Row],[_LeafWork]]*Tasks[[#This Row],[_LeafProgress]]</f>
        <v/>
      </c>
      <c r="GQ151" s="88">
        <f>IF(AND(Tasks[[#This Row],[_IsLeaf]]=1,Tasks[[#This Row],[_LeafProgress]]&gt;=1),IF(N(Tasks[[#This Row],[Actual Finish]])&gt;0,Tasks[[#This Row],[Actual Finish]],Tasks[[#This Row],[_ShownFcstFinish]]),"")</f>
        <v/>
      </c>
      <c r="GR151" s="42">
        <f>IF(Tasks[[#This Row],[_IsLeaf]]=1,N(Tasks[[#This Row],[Story Points]]),0)</f>
        <v/>
      </c>
      <c r="GS151" s="42">
        <f>""</f>
        <v/>
      </c>
      <c r="GT151" s="42">
        <f>IF(Tasks[[#This Row],[Task Name]]="",FALSE(),AND(Tasks[[#This Row],[_IsLeaf]]=1,N(Tasks[[#This Row],[_Days]])=0))</f>
        <v/>
      </c>
      <c r="GU151" s="88">
        <f>IF(Tasks[[#This Row],[Task Name]]="",0,IF(AND(Tasks[[#This Row],[_IsLeaf]]=1,NOT(Tasks[[#This Row],[_IsMilestone]]),N(Tasks[[#This Row],[Progress]])&gt;0),Tasks[[#This Row],[Start]],0))</f>
        <v/>
      </c>
      <c r="GV151" s="88">
        <f>IF(Tasks[[#This Row],[_DoneFrom]]=0,0,IF(Tasks[[#This Row],[Progress]]&gt;=1,Tasks[[#This Row],[Finish]],MAX(Tasks[[#This Row],[_DoneFrom]],Tasks[[#This Row],[Start]]+ROUND((Tasks[[#This Row],[Finish]]-Tasks[[#This Row],[Start]]+1)*Tasks[[#This Row],[Progress]],0)-1)))</f>
        <v/>
      </c>
      <c r="GW151" s="88">
        <f>IF(Tasks[[#This Row],[Task Name]]="",0,IF(OR(NOT(Tasks[[#This Row],[_IsLeaf]]=1),Tasks[[#This Row],[_IsMilestone]],N(Tasks[[#This Row],[Progress]])&gt;=1),0,IF(Tasks[[#This Row],[_DoneTo]]&gt;0,Tasks[[#This Row],[_DoneTo]]+1,Tasks[[#This Row],[Start]])))</f>
        <v/>
      </c>
      <c r="GX151" s="88">
        <f>IF(Tasks[[#This Row],[_RemFrom]]=0,0,Tasks[[#This Row],[Finish]])</f>
        <v/>
      </c>
      <c r="GY151" s="42">
        <f>IF(Tasks[[#This Row],[Task Name]]="",FALSE(),OR(NOT(BaselineSet),N(Tasks[[#This Row],[Baseline Start]])&gt;0))</f>
        <v/>
      </c>
      <c r="GZ151" s="42">
        <f>IF(AND(Sandbox="Yes",L_PARSE_DURATION(Tasks[[#This Row],[Sandbox Duration]])&lt;&gt;""),L_PARSE_DURATION(Tasks[[#This Row],[Sandbox Duration]]),L_PARSE_DURATION(Tasks[[#This Row],[Duration]]))</f>
        <v/>
      </c>
      <c r="HA15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1" s="42">
        <f>IF(Tasks[[#This Row],[_IsLeaf]]=1,Tasks[[#This Row],[_Row]],"")</f>
        <v/>
      </c>
      <c r="HD151" s="42">
        <f>IFERROR(INDEX(Tasks[UID],SMALL(Tasks[_PickKey],Tasks[[#This Row],[_Row]]))&amp;" "&amp;INDEX(Tasks[Task Name],SMALL(Tasks[_PickKey],Tasks[[#This Row],[_Row]])),"")</f>
        <v/>
      </c>
      <c r="HE151" s="42">
        <f>IF(Tasks[[#This Row],[Task Name]]="","",IF(Tasks[[#This Row],[_IsSummary]],NETWORKDAYS.INTL(Tasks[[#This Row],[Start]],Tasks[[#This Row],[Finish]],WorkWeek,Holidays),N(Tasks[[#This Row],[_Days]])))</f>
        <v/>
      </c>
      <c r="HF151" s="42">
        <f>IF(Tasks[[#This Row],[Expected]]="",0,((Tasks[[#This Row],[Pessimistic]]-Tasks[[#This Row],[Optimistic]])/6)^2)</f>
        <v/>
      </c>
      <c r="HG151" s="42">
        <f>IF(Tasks[[#This Row],[Expected]]="",0,Tasks[[#This Row],[Expected]]-N(Tasks[[#This Row],[_Days]]))</f>
        <v/>
      </c>
    </row>
    <row r="152">
      <c r="A152" s="21">
        <f>IF(Tasks[[#This Row],[Task Name]]="","",COUNTA(Tasks[[#Headers],[Task Name]]:Tasks[[#This Row],[Task Name]])-1)</f>
        <v/>
      </c>
      <c r="B152" s="22" t="n">
        <v>160</v>
      </c>
      <c r="C152" s="22" t="n"/>
      <c r="D152" s="23" t="n"/>
      <c r="E152" s="22" t="n"/>
      <c r="F152" s="23" t="n"/>
      <c r="G152" s="22" t="n"/>
      <c r="H152" s="22" t="n"/>
      <c r="I152" s="23" t="n"/>
      <c r="J152" s="22" t="n"/>
      <c r="K152" s="22" t="n"/>
      <c r="L152" s="23" t="n"/>
      <c r="M152" s="22" t="n"/>
      <c r="N152" s="22" t="n"/>
      <c r="O152" s="23" t="n"/>
      <c r="P152" s="22" t="n"/>
      <c r="Q152" s="22" t="n"/>
      <c r="R152" s="23" t="n"/>
      <c r="S152" s="23" t="n"/>
      <c r="T152" s="82" t="n"/>
      <c r="U152" s="23" t="n"/>
      <c r="V152" s="82" t="n"/>
      <c r="W152" s="23" t="n"/>
      <c r="X152" s="82" t="n"/>
      <c r="Y152" s="23" t="n"/>
      <c r="Z152" s="82" t="n"/>
      <c r="AA152" s="23" t="n"/>
      <c r="AB152" s="23" t="n"/>
      <c r="AC152" s="7" t="n"/>
      <c r="AD152" s="7" t="n"/>
      <c r="AE152" s="61">
        <f>IF(Tasks[[#This Row],[Task Name]]="","",IF(Tasks[[#This Row],[_IsSummary]],MIN(INDEX(Tasks[_ShownFcstStart],Tasks[[#This Row],[_Row]]+1):INDEX(Tasks[_ShownFcstStart],Tasks[[#This Row],[_Row]]+Tasks[[#This Row],[_Descendants]])),Tasks[[#This Row],[_ShownFcstStart]]))</f>
        <v/>
      </c>
      <c r="AF152" s="61">
        <f>IF(Tasks[[#This Row],[Task Name]]="","",IF(Tasks[[#This Row],[_IsSummary]],MAX(INDEX(Tasks[_ShownFcstFinish],Tasks[[#This Row],[_Row]]+1):INDEX(Tasks[_ShownFcstFinish],Tasks[[#This Row],[_Row]]+Tasks[[#This Row],[_Descendants]])),Tasks[[#This Row],[_ShownFcstFinish]]))</f>
        <v/>
      </c>
      <c r="AG152" s="21">
        <f>""</f>
        <v/>
      </c>
      <c r="AH152" s="23" t="n"/>
      <c r="AI15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2" s="7" t="n"/>
      <c r="AK152" s="22" t="n"/>
      <c r="AL152" s="23" t="n"/>
      <c r="AM152" s="7" t="n"/>
      <c r="AN152" s="21">
        <f>IF(Tasks[[#This Row],[Task Name]]="","",IF(Tasks[[#This Row],[Finish]]&gt;=Tasks[[#This Row],[Planned Finish]],NETWORKDAYS.INTL(Tasks[[#This Row],[Planned Finish]],Tasks[[#This Row],[Finish]],WorkWeek,Holidays)-1,1-NETWORKDAYS.INTL(Tasks[[#This Row],[Finish]],Tasks[[#This Row],[Planned Finish]],WorkWeek,Holidays)))</f>
        <v/>
      </c>
      <c r="AO152" s="21">
        <f>IF(Tasks[[#This Row],[Task Name]]="","",IF(Tasks[[#This Row],[Progress]]&gt;=1,"Complete",IF(OR(N(Tasks[[#This Row],[Actual Start]])&gt;0,Tasks[[#This Row],[Progress]]&gt;0),IF(Tasks[[#This Row],[Finish Var]]&gt;0,"Behind","In Progress"),IF(Tasks[[#This Row],[Planned Start]]&lt;StatusDate,"Late Start","Not Started"))))</f>
        <v/>
      </c>
      <c r="AP152" s="21">
        <f>IF(Tasks[[#This Row],[Task Name]]="","",IF(IF(Tasks[[#This Row],[_IsSummary]],COUNTIF(INDEX(Tasks[_LeafCritical],Tasks[[#This Row],[_Row]]+1):INDEX(Tasks[_LeafCritical],Tasks[[#This Row],[_Row]]+Tasks[[#This Row],[_Descendants]]),TRUE())&gt;0,Tasks[[#This Row],[_LeafCritical]]),"Yes",""))</f>
        <v/>
      </c>
      <c r="AQ152" s="61">
        <f>IF(Tasks[[#This Row],[Task Name]]="","",IF(N(Tasks[[#This Row],[Baseline Start]])&gt;0,Tasks[[#This Row],[Baseline Start]],Tasks[[#This Row],[_CalcStart]]))</f>
        <v/>
      </c>
      <c r="AR152" s="61">
        <f>IF(Tasks[[#This Row],[Task Name]]="","",IF(N(Tasks[[#This Row],[Baseline Finish]])&gt;0,Tasks[[#This Row],[Baseline Finish]],Tasks[[#This Row],[_CalcFinish]]))</f>
        <v/>
      </c>
      <c r="AS152" s="21">
        <f>IF(Tasks[[#This Row],[Task Name]]="","",IF(Tasks[[#This Row],[Start]]&gt;=Tasks[[#This Row],[Planned Start]],NETWORKDAYS.INTL(Tasks[[#This Row],[Planned Start]],Tasks[[#This Row],[Start]],WorkWeek,Holidays)-1,1-NETWORKDAYS.INTL(Tasks[[#This Row],[Start]],Tasks[[#This Row],[Planned Start]],WorkWeek,Holidays)))</f>
        <v/>
      </c>
      <c r="AT152" s="61">
        <f>IF(Tasks[[#This Row],[Task Name]]="","",IF(Tasks[[#This Row],[_IsSummary]],MIN(INDEX(Tasks[_LeafLateStart],Tasks[[#This Row],[_Row]]+1):INDEX(Tasks[_LeafLateStart],Tasks[[#This Row],[_Row]]+Tasks[[#This Row],[_Descendants]])),Tasks[[#This Row],[_LeafLateStart]]))</f>
        <v/>
      </c>
      <c r="AU152" s="61">
        <f>IF(Tasks[[#This Row],[Task Name]]="","",IF(Tasks[[#This Row],[_IsSummary]],MAX(INDEX(Tasks[_LeafLateFinish],Tasks[[#This Row],[_Row]]+1):INDEX(Tasks[_LeafLateFinish],Tasks[[#This Row],[_Row]]+Tasks[[#This Row],[_Descendants]])),Tasks[[#This Row],[_LeafLateFinish]]))</f>
        <v/>
      </c>
      <c r="AV152" s="21">
        <f>IF(Tasks[[#This Row],[Task Name]]="","",IF(Tasks[[#This Row],[_IsSummary]],MIN(INDEX(Tasks[_LeafTotalSlack],Tasks[[#This Row],[_Row]]+1):INDEX(Tasks[_LeafTotalSlack],Tasks[[#This Row],[_Row]]+Tasks[[#This Row],[_Descendants]])),Tasks[[#This Row],[_LeafTotalSlack]]))</f>
        <v/>
      </c>
      <c r="AW15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3" t="n"/>
      <c r="BA15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f>IF(Tasks[[#This Row],[Task Name]]="","",IF(Tasks[[#This Row],[_Level]]&lt;=OutlineShowLevel,"Yes","No"))</f>
        <v/>
      </c>
      <c r="BE152" s="84">
        <f>IF(Tasks[[#This Row],[Task Name]]="","",IF(Tasks[[#This Row],[_IsSummary]],SUM(INDEX(Tasks[_LeafTotalWork],Tasks[[#This Row],[_Row]]+1):INDEX(Tasks[_LeafTotalWork],Tasks[[#This Row],[_Row]]+Tasks[[#This Row],[_Descendants]])),Tasks[[#This Row],[_LeafTotalWork]]))</f>
        <v/>
      </c>
      <c r="BF152" s="23" t="n"/>
      <c r="BG15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f>""</f>
        <v/>
      </c>
      <c r="BI152" s="85" t="n"/>
      <c r="BJ152" s="22" t="n"/>
      <c r="BK152" s="21">
        <f>IF(OR(Tasks[[#This Row],[Task Name]]="",Tasks[[#This Row],[Baseline Duration]]=""),"",Tasks[[#This Row],[_SpanDays]]-N(Tasks[[#This Row],[Baseline Duration]]))</f>
        <v/>
      </c>
      <c r="BL152" s="84">
        <f>IF(OR(Tasks[[#This Row],[Task Name]]="",Tasks[[#This Row],[Baseline Work]]=""),"",Tasks[[#This Row],[Work]]-N(Tasks[[#This Row],[Baseline Work]]))</f>
        <v/>
      </c>
      <c r="BM152" s="61">
        <f>IF(Tasks[[#This Row],[Task Name]]="","",IF(OR(TakeBaseline="Yes",N(Tasks[[#This Row],[Baseline Start]])=0),Tasks[[#This Row],[Start]],Tasks[[#This Row],[Baseline Start]]))</f>
        <v/>
      </c>
      <c r="BN152" s="61">
        <f>IF(Tasks[[#This Row],[Task Name]]="","",IF(OR(TakeBaseline="Yes",N(Tasks[[#This Row],[Baseline Finish]])=0),Tasks[[#This Row],[Finish]],Tasks[[#This Row],[Baseline Finish]]))</f>
        <v/>
      </c>
      <c r="BO152" s="21">
        <f>IF(Tasks[[#This Row],[Task Name]]="","",IF(OR(TakeBaseline="Yes",N(Tasks[[#This Row],[Baseline Duration]])=0),Tasks[[#This Row],[_SpanDays]],Tasks[[#This Row],[Baseline Duration]]))</f>
        <v/>
      </c>
      <c r="BP152" s="84">
        <f>IF(Tasks[[#This Row],[Task Name]]="","",IF(OR(TakeBaseline="Yes",N(Tasks[[#This Row],[Baseline Work]])=0),Tasks[[#This Row],[Work]],Tasks[[#This Row],[Baseline Work]]))</f>
        <v/>
      </c>
      <c r="BQ152" s="7" t="n"/>
      <c r="BR152" s="7" t="n"/>
      <c r="BS152" s="22" t="n"/>
      <c r="BT152" s="86" t="n"/>
      <c r="BU152" s="23" t="n"/>
      <c r="BV152" s="23" t="n"/>
      <c r="BW152" s="23" t="n"/>
      <c r="BX152" s="87">
        <f>IF(AND(Tasks[[#This Row],[_IsLeaf]]=1,ISNUMBER(Tasks[[#This Row],[Optimistic]]),ISNUMBER(Tasks[[#This Row],[Pessimistic]])),ROUND((Tasks[[#This Row],[Optimistic]]+4*N(Tasks[[#This Row],[_Days]])+Tasks[[#This Row],[Pessimistic]])/6,1),"")</f>
        <v/>
      </c>
      <c r="BY152" s="85" t="n"/>
      <c r="BZ152" s="85" t="n"/>
      <c r="CA152" s="22" t="n"/>
      <c r="CB152" s="42">
        <f>IF(Tasks[[#This Row],[Task Name]]="","",MAX(1,N(Tasks[[#This Row],[Level]])))</f>
        <v/>
      </c>
      <c r="CC152" s="42">
        <f>ROW()-ROW(Tasks[[#Headers],[ID]])</f>
        <v/>
      </c>
      <c r="CD152" s="42">
        <f>IF(OR(Tasks[[#This Row],[Task Name]]="",Tasks[[#This Row],[_Level]]&lt;=1),0,IFERROR(LOOKUP(2,1/(Tasks[[#Headers],[_Level]]:Tasks[[#This Row],[_Level]]=Tasks[[#This Row],[_Level]]-1),ROW(Tasks[[#Headers],[_Level]]:Tasks[[#This Row],[_Level]])),0))</f>
        <v/>
      </c>
      <c r="CE152" s="42">
        <f>IFERROR(N(INDEX(Tasks[_Level],Tasks[[#This Row],[_Row]]+1)),0)</f>
        <v/>
      </c>
      <c r="CF152" s="42">
        <f>AND(Tasks[[#This Row],[Task Name]]&lt;&gt;"",Tasks[[#This Row],[_NextLevel]]&gt;Tasks[[#This Row],[_Level]])</f>
        <v/>
      </c>
      <c r="CG152" s="42">
        <f>IF(Tasks[[#This Row],[_IsSummary]],COUNTIF(Tasks[WBS],Tasks[[#This Row],[WBS]]&amp;".*"),0)</f>
        <v/>
      </c>
      <c r="CH152" s="42">
        <f>IF(AND(Tasks[[#This Row],[Task Name]]&lt;&gt;"",NOT(Tasks[[#This Row],[_IsSummary]])),1,0)</f>
        <v/>
      </c>
      <c r="CI152" s="42">
        <f>IF(N(Tasks[[#This Row],[_Pred1UID]])=0,0,IFERROR(MATCH(Tasks[[#This Row],[_Pred1UID]],Tasks[UID],0),-1))</f>
        <v/>
      </c>
      <c r="CJ152" s="42">
        <f>IF(N(Tasks[[#This Row],[_Pred2UID]])=0,0,IFERROR(MATCH(Tasks[[#This Row],[_Pred2UID]],Tasks[UID],0),-1))</f>
        <v/>
      </c>
      <c r="CK152" s="42">
        <f>IF(N(Tasks[[#This Row],[_Pred3UID]])=0,0,IFERROR(MATCH(Tasks[[#This Row],[_Pred3UID]],Tasks[UID],0),-1))</f>
        <v/>
      </c>
      <c r="CL152" s="42">
        <f>IF(N(Tasks[[#This Row],[_Pred4UID]])=0,0,IFERROR(MATCH(Tasks[[#This Row],[_Pred4UID]],Tasks[UID],0),-1))</f>
        <v/>
      </c>
      <c r="CM15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2" s="88">
        <f>IF(N(Tasks[[#This Row],[Constraint Date]])=0,0,IF(AND(OR(Tasks[[#This Row],[_ConstraintCode]]=3,Tasks[[#This Row],[_ConstraintCode]]=6,Tasks[[#This Row],[_ConstraintCode]]=7),N(Tasks[[#This Row],[_Days]])&gt;1),WORKDAY.INTL(N(Tasks[[#This Row],[Constraint Date]]),-(N(Tasks[[#This Row],[_Days]])-1),WorkWeek,Holidays),N(Tasks[[#This Row],[Constraint Date]])))</f>
        <v/>
      </c>
      <c r="CO152" s="88">
        <f>IF(OR(Tasks[[#This Row],[_ConstraintCode]]=2,Tasks[[#This Row],[_ConstraintCode]]=3,Tasks[[#This Row],[_ConstraintCode]]=4,Tasks[[#This Row],[_ConstraintCode]]=6),Tasks[[#This Row],[_ConstraintStart]],0)</f>
        <v/>
      </c>
      <c r="CP152" s="88">
        <f>IF(OR(Tasks[[#This Row],[_ConstraintCode]]=2,Tasks[[#This Row],[_ConstraintCode]]=3,Tasks[[#This Row],[_ConstraintCode]]=5,Tasks[[#This Row],[_ConstraintCode]]=7),Tasks[[#This Row],[_ConstraintStart]],2958465)</f>
        <v/>
      </c>
      <c r="CQ15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2" s="88">
        <f>IF(NOT(Tasks[[#This Row],[_IsLeaf]]=1),"",IF(N(Tasks[[#This Row],[_Days]])&lt;=0,Tasks[[#This Row],[_LeafCalcStart]],WORKDAY.INTL(Tasks[[#This Row],[_LeafCalcStart]],Tasks[[#This Row],[_Days]]-1,WorkWeek,Holidays)))</f>
        <v/>
      </c>
      <c r="CS15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2" s="42">
        <f>IF(Tasks[[#This Row],[_Predecessors]]="","",TRIM(MID(SUBSTITUTE(SUBSTITUTE(SUBSTITUTE(UPPER(Tasks[[#This Row],[_Predecessors]]),";",",")," ",""),",",REPT(" ",99)),1,99)))</f>
        <v/>
      </c>
      <c r="CV152" s="42">
        <f>IF(Tasks[[#This Row],[_Pred1Text]]="","",IFERROR(VALUE(LEFT(Tasks[[#This Row],[_Pred1Text]],MIN(FIND("F",Tasks[[#This Row],[_Pred1Text]]&amp;"F"),FIND("S",Tasks[[#This Row],[_Pred1Text]]&amp;"S"),FIND("+",Tasks[[#This Row],[_Pred1Text]]&amp;"+"),FIND("-",Tasks[[#This Row],[_Pred1Text]]&amp;"-"))-1)),""))</f>
        <v/>
      </c>
      <c r="CW15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2" s="42">
        <f>IF(Tasks[[#This Row],[_Pred1Text]]="","",TRIM(MID(SUBSTITUTE(SUBSTITUTE(SUBSTITUTE(UPPER(Tasks[[#This Row],[_Predecessors]]),";",",")," ",""),",",REPT(" ",99)),100,99)))</f>
        <v/>
      </c>
      <c r="CZ152" s="42">
        <f>IF(Tasks[[#This Row],[_Pred2Text]]="","",IFERROR(VALUE(LEFT(Tasks[[#This Row],[_Pred2Text]],MIN(FIND("F",Tasks[[#This Row],[_Pred2Text]]&amp;"F"),FIND("S",Tasks[[#This Row],[_Pred2Text]]&amp;"S"),FIND("+",Tasks[[#This Row],[_Pred2Text]]&amp;"+"),FIND("-",Tasks[[#This Row],[_Pred2Text]]&amp;"-"))-1)),""))</f>
        <v/>
      </c>
      <c r="DA15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2" s="42">
        <f>IF(Tasks[[#This Row],[_Pred2Text]]="","",TRIM(MID(SUBSTITUTE(SUBSTITUTE(SUBSTITUTE(UPPER(Tasks[[#This Row],[_Predecessors]]),";",",")," ",""),",",REPT(" ",99)),199,99)))</f>
        <v/>
      </c>
      <c r="DD152" s="42">
        <f>IF(Tasks[[#This Row],[_Pred3Text]]="","",IFERROR(VALUE(LEFT(Tasks[[#This Row],[_Pred3Text]],MIN(FIND("F",Tasks[[#This Row],[_Pred3Text]]&amp;"F"),FIND("S",Tasks[[#This Row],[_Pred3Text]]&amp;"S"),FIND("+",Tasks[[#This Row],[_Pred3Text]]&amp;"+"),FIND("-",Tasks[[#This Row],[_Pred3Text]]&amp;"-"))-1)),""))</f>
        <v/>
      </c>
      <c r="DE15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2" s="42">
        <f>IF(Tasks[[#This Row],[_Pred3Text]]="","",TRIM(MID(SUBSTITUTE(SUBSTITUTE(SUBSTITUTE(UPPER(Tasks[[#This Row],[_Predecessors]]),";",",")," ",""),",",REPT(" ",99)),298,99)))</f>
        <v/>
      </c>
      <c r="DH152" s="42">
        <f>IF(Tasks[[#This Row],[_Pred4Text]]="","",IFERROR(VALUE(LEFT(Tasks[[#This Row],[_Pred4Text]],MIN(FIND("F",Tasks[[#This Row],[_Pred4Text]]&amp;"F"),FIND("S",Tasks[[#This Row],[_Pred4Text]]&amp;"S"),FIND("+",Tasks[[#This Row],[_Pred4Text]]&amp;"+"),FIND("-",Tasks[[#This Row],[_Pred4Text]]&amp;"-"))-1)),""))</f>
        <v/>
      </c>
      <c r="DI15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2" s="42">
        <f>IF(OR(Tasks[[#This Row],[Task Name]]="",Tasks[[#This Row],[_Resources]]=""),"",TRIM(MID(SUBSTITUTE(Tasks[[#This Row],[_Resources]],",",REPT(" ",99)),1,99)))</f>
        <v/>
      </c>
      <c r="DL152" s="42">
        <f>IF(Tasks[[#This Row],[_Res1Text]]="","",TRIM(MID(SUBSTITUTE(Tasks[[#This Row],[_Resources]],",",REPT(" ",99)),100,99)))</f>
        <v/>
      </c>
      <c r="DM152" s="42">
        <f>IF(Tasks[[#This Row],[_Res2Text]]="","",TRIM(MID(SUBSTITUTE(Tasks[[#This Row],[_Resources]],",",REPT(" ",99)),199,99)))</f>
        <v/>
      </c>
      <c r="DN152" s="42">
        <f>IF(Tasks[[#This Row],[_Res3Text]]="","",TRIM(MID(SUBSTITUTE(Tasks[[#This Row],[_Resources]],",",REPT(" ",99)),298,99)))</f>
        <v/>
      </c>
      <c r="DO152" s="42">
        <f>IF(Tasks[[#This Row],[_Res1Text]]="",0,IFERROR(MATCH(TRIM(LEFT(Tasks[[#This Row],[_Res1Text]],FIND("[",Tasks[[#This Row],[_Res1Text]]&amp;"[")-1)),res_Name,0),IFERROR(MATCH(TRIM(LEFT(Tasks[[#This Row],[_Res1Text]],FIND("[",Tasks[[#This Row],[_Res1Text]]&amp;"[")-1)),res_Initials,0),0)))</f>
        <v/>
      </c>
      <c r="DP152" s="42">
        <f>IF(Tasks[[#This Row],[_Res2Text]]="",0,IFERROR(MATCH(TRIM(LEFT(Tasks[[#This Row],[_Res2Text]],FIND("[",Tasks[[#This Row],[_Res2Text]]&amp;"[")-1)),res_Name,0),IFERROR(MATCH(TRIM(LEFT(Tasks[[#This Row],[_Res2Text]],FIND("[",Tasks[[#This Row],[_Res2Text]]&amp;"[")-1)),res_Initials,0),0)))</f>
        <v/>
      </c>
      <c r="DQ152" s="42">
        <f>IF(Tasks[[#This Row],[_Res3Text]]="",0,IFERROR(MATCH(TRIM(LEFT(Tasks[[#This Row],[_Res3Text]],FIND("[",Tasks[[#This Row],[_Res3Text]]&amp;"[")-1)),res_Name,0),IFERROR(MATCH(TRIM(LEFT(Tasks[[#This Row],[_Res3Text]],FIND("[",Tasks[[#This Row],[_Res3Text]]&amp;"[")-1)),res_Initials,0),0)))</f>
        <v/>
      </c>
      <c r="DR152" s="42">
        <f>IF(Tasks[[#This Row],[_Res4Text]]="",0,IFERROR(MATCH(TRIM(LEFT(Tasks[[#This Row],[_Res4Text]],FIND("[",Tasks[[#This Row],[_Res4Text]]&amp;"[")-1)),res_Name,0),IFERROR(MATCH(TRIM(LEFT(Tasks[[#This Row],[_Res4Text]],FIND("[",Tasks[[#This Row],[_Res4Text]]&amp;"[")-1)),res_Initials,0),0)))</f>
        <v/>
      </c>
      <c r="DS152" s="42">
        <f>IF(Tasks[[#This Row],[_Res1Text]]="","",IF(Tasks[[#This Row],[_Res1Row]]&gt;0,INDEX(res_Name,Tasks[[#This Row],[_Res1Row]]),TRIM(LEFT(Tasks[[#This Row],[_Res1Text]],FIND("[",Tasks[[#This Row],[_Res1Text]]&amp;"[")-1))))</f>
        <v/>
      </c>
      <c r="DT15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2" s="42">
        <f>IF(NOT(Tasks[[#This Row],[_IsLeaf]]=1),0,(Tasks[[#This Row],[_Resource1]]&lt;&gt;"")+(Tasks[[#This Row],[_Res2]]&lt;&gt;"")+(Tasks[[#This Row],[_Res3]]&lt;&gt;"")+(Tasks[[#This Row],[_Res4]]&lt;&gt;""))</f>
        <v/>
      </c>
      <c r="DV152" s="42">
        <f>IF(Tasks[[#This Row],[_Res2Text]]="","",IF(Tasks[[#This Row],[_Res2Row]]&gt;0,INDEX(res_Name,Tasks[[#This Row],[_Res2Row]]),TRIM(LEFT(Tasks[[#This Row],[_Res2Text]],FIND("[",Tasks[[#This Row],[_Res2Text]]&amp;"[")-1))))</f>
        <v/>
      </c>
      <c r="DW15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2" s="42">
        <f>IF(OR(NOT(Tasks[[#This Row],[_IsLeaf]]=1),Tasks[[#This Row],[_Res2Row]]=0),0,N(Tasks[[#This Row],[_Days]])*HoursPerDay*IF(Tasks[[#This Row],[_Res2Units]]="",DefaultUnits,Tasks[[#This Row],[_Res2Units]]))</f>
        <v/>
      </c>
      <c r="DY152" s="42">
        <f>IF(AND(AND(Tasks[[#This Row],[_IsLeaf]]=1,Tasks[[#This Row],[_LeafTotalWork]]&gt;0),Tasks[[#This Row],[_Res2Work]]&gt;0),Tasks[[#This Row],[_Res2Work]]/(Tasks[[#This Row],[_FinishWorkday]]-Tasks[[#This Row],[_StartWorkday]]+1),0)</f>
        <v/>
      </c>
      <c r="DZ152" s="42">
        <f>Tasks[[#This Row],[_Res2WorkPerWD]]*MAX(0,Tasks[[#This Row],[_StartWorkday]]-1)</f>
        <v/>
      </c>
      <c r="EA152" s="42">
        <f>Tasks[[#This Row],[_Res2Work]]*Tasks[[#This Row],[_LeafProgress]]</f>
        <v/>
      </c>
      <c r="EB152" s="42">
        <f>IF(Tasks[[#This Row],[_Res3Text]]="","",IF(Tasks[[#This Row],[_Res3Row]]&gt;0,INDEX(res_Name,Tasks[[#This Row],[_Res3Row]]),TRIM(LEFT(Tasks[[#This Row],[_Res3Text]],FIND("[",Tasks[[#This Row],[_Res3Text]]&amp;"[")-1))))</f>
        <v/>
      </c>
      <c r="EC15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2" s="42">
        <f>IF(OR(NOT(Tasks[[#This Row],[_IsLeaf]]=1),Tasks[[#This Row],[_Res3Row]]=0),0,N(Tasks[[#This Row],[_Days]])*HoursPerDay*IF(Tasks[[#This Row],[_Res3Units]]="",DefaultUnits,Tasks[[#This Row],[_Res3Units]]))</f>
        <v/>
      </c>
      <c r="EE152" s="42">
        <f>IF(AND(AND(Tasks[[#This Row],[_IsLeaf]]=1,Tasks[[#This Row],[_LeafTotalWork]]&gt;0),Tasks[[#This Row],[_Res3Work]]&gt;0),Tasks[[#This Row],[_Res3Work]]/(Tasks[[#This Row],[_FinishWorkday]]-Tasks[[#This Row],[_StartWorkday]]+1),0)</f>
        <v/>
      </c>
      <c r="EF152" s="42">
        <f>Tasks[[#This Row],[_Res3WorkPerWD]]*MAX(0,Tasks[[#This Row],[_StartWorkday]]-1)</f>
        <v/>
      </c>
      <c r="EG152" s="42">
        <f>Tasks[[#This Row],[_Res3Work]]*Tasks[[#This Row],[_LeafProgress]]</f>
        <v/>
      </c>
      <c r="EH152" s="42">
        <f>IF(Tasks[[#This Row],[_Res4Text]]="","",IF(Tasks[[#This Row],[_Res4Row]]&gt;0,INDEX(res_Name,Tasks[[#This Row],[_Res4Row]]),TRIM(LEFT(Tasks[[#This Row],[_Res4Text]],FIND("[",Tasks[[#This Row],[_Res4Text]]&amp;"[")-1))))</f>
        <v/>
      </c>
      <c r="EI15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2" s="42">
        <f>IF(OR(NOT(Tasks[[#This Row],[_IsLeaf]]=1),Tasks[[#This Row],[_Res4Row]]=0),0,N(Tasks[[#This Row],[_Days]])*HoursPerDay*IF(Tasks[[#This Row],[_Res4Units]]="",DefaultUnits,Tasks[[#This Row],[_Res4Units]]))</f>
        <v/>
      </c>
      <c r="EK152" s="42">
        <f>IF(AND(AND(Tasks[[#This Row],[_IsLeaf]]=1,Tasks[[#This Row],[_LeafTotalWork]]&gt;0),Tasks[[#This Row],[_Res4Work]]&gt;0),Tasks[[#This Row],[_Res4Work]]/(Tasks[[#This Row],[_FinishWorkday]]-Tasks[[#This Row],[_StartWorkday]]+1),0)</f>
        <v/>
      </c>
      <c r="EL152" s="42">
        <f>Tasks[[#This Row],[_Res4WorkPerWD]]*MAX(0,Tasks[[#This Row],[_StartWorkday]]-1)</f>
        <v/>
      </c>
      <c r="EM152" s="42">
        <f>Tasks[[#This Row],[_Res4Work]]*Tasks[[#This Row],[_LeafProgress]]</f>
        <v/>
      </c>
      <c r="EN152" s="42">
        <f>IF(ISNUMBER(Tasks[[#This Row],[% Complete]]),Tasks[[#This Row],[% Complete]],IF(Tasks[[#This Row],[Stage]]="",0,IFERROR(INDEX(stg_Pct,MATCH(Tasks[[#This Row],[Stage]],stg_Name,0)),0)))</f>
        <v/>
      </c>
      <c r="EO152" s="42">
        <f>IF(NOT(Tasks[[#This Row],[_IsLeaf]]=1),0,IF(N(Tasks[[#This Row],[Actual Finish]])&gt;0,1,MIN(1,Tasks[[#This Row],[_Pct]])))</f>
        <v/>
      </c>
      <c r="EP152" s="42">
        <f>IF(OR(NOT(Tasks[[#This Row],[_IsLeaf]]=1),Tasks[[#This Row],[_Res1Row]]=0),0,N(Tasks[[#This Row],[_Days]])*HoursPerDay*IF(Tasks[[#This Row],[_Units1]]="",DefaultUnits,Tasks[[#This Row],[_Units1]]))</f>
        <v/>
      </c>
      <c r="EQ152" s="42">
        <f>Tasks[[#This Row],[_LeafWork]]+Tasks[[#This Row],[_Res2Work]]+Tasks[[#This Row],[_Res3Work]]+Tasks[[#This Row],[_Res4Work]]</f>
        <v/>
      </c>
      <c r="ER15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2" s="42">
        <f>IF(NOT(Tasks[[#This Row],[_IsLeaf]]=1),0,MAX(_xlfn.MAXIFS(Tasks[_Row],Tasks[_Pred1UID],Tasks[[#This Row],[UID]]),_xlfn.MAXIFS(Tasks[_Row],Tasks[_Pred2UID],Tasks[[#This Row],[UID]]),_xlfn.MAXIFS(Tasks[_Row],Tasks[_Pred3UID],Tasks[[#This Row],[UID]]),_xlfn.MAXIFS(Tasks[_Row],Tasks[_Pred4UID],Tasks[[#This Row],[UID]])))</f>
        <v/>
      </c>
      <c r="FA15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2" s="88">
        <f>IF(NOT(Tasks[[#This Row],[_IsLeaf]]=1),"",IF(N(Tasks[[#This Row],[_Days]])&lt;=0,Tasks[[#This Row],[_LeafLateFinish]],WORKDAY.INTL(Tasks[[#This Row],[_LeafLateFinish]],-(Tasks[[#This Row],[_Days]]-1),WorkWeek,Holidays)))</f>
        <v/>
      </c>
      <c r="FD15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2" s="42">
        <f>AND(Tasks[[#This Row],[_IsLeaf]]=1,Tasks[[#This Row],[_LeafProgress]]&lt;1,N(Tasks[[#This Row],[_LeafTotalSlack]])&lt;=CriticalSlackDays)</f>
        <v/>
      </c>
      <c r="FF152" s="42">
        <f>IF(AND(Tasks[[#This Row],[_IsLeaf]]=1,Tasks[[#This Row],[_ConstraintCode]]=1,Tasks[[#This Row],[Mode]]&lt;&gt;"Manual",N(Tasks[[#This Row],[Actual Start]])=0),MAX(0,N(Tasks[[#This Row],[Free Slack]])),0)</f>
        <v/>
      </c>
      <c r="FG152" s="88">
        <f>IF(NOT(Tasks[[#This Row],[_IsLeaf]]=1),"",IF(Tasks[[#This Row],[_AlapShift]]=0,Tasks[[#This Row],[_LeafCalcStart]],WORKDAY.INTL(Tasks[[#This Row],[_LeafCalcStart]],Tasks[[#This Row],[_AlapShift]],WorkWeek,Holidays)))</f>
        <v/>
      </c>
      <c r="FH152" s="88">
        <f>IF(NOT(Tasks[[#This Row],[_IsLeaf]]=1),"",IF(Tasks[[#This Row],[_AlapShift]]=0,Tasks[[#This Row],[_LeafCalcFinish]],WORKDAY.INTL(Tasks[[#This Row],[_LeafCalcFinish]],Tasks[[#This Row],[_AlapShift]],WorkWeek,Holidays)))</f>
        <v/>
      </c>
      <c r="FI152" s="88">
        <f>IF(NOT(Tasks[[#This Row],[_IsLeaf]]=1),"",IF(Tasks[[#This Row],[_AlapShift]]=0,Tasks[[#This Row],[_LeafFcstStart]],WORKDAY.INTL(Tasks[[#This Row],[_LeafFcstStart]],Tasks[[#This Row],[_AlapShift]],WorkWeek,Holidays)))</f>
        <v/>
      </c>
      <c r="FJ152" s="88">
        <f>IF(NOT(Tasks[[#This Row],[_IsLeaf]]=1),"",IF(Tasks[[#This Row],[_AlapShift]]=0,Tasks[[#This Row],[_LeafFcstFinish]],WORKDAY.INTL(Tasks[[#This Row],[_LeafFcstFinish]],Tasks[[#This Row],[_AlapShift]],WorkWeek,Holidays)))</f>
        <v/>
      </c>
      <c r="FK152" s="88">
        <f>IF(Tasks[[#This Row],[Task Name]]="","",IF(Tasks[[#This Row],[_IsSummary]],MIN(INDEX(Tasks[_ShownCalcStart],Tasks[[#This Row],[_Row]]+1):INDEX(Tasks[_ShownCalcStart],Tasks[[#This Row],[_Row]]+Tasks[[#This Row],[_Descendants]])),Tasks[[#This Row],[_ShownCalcStart]]))</f>
        <v/>
      </c>
      <c r="FL152" s="88">
        <f>IF(Tasks[[#This Row],[Task Name]]="","",IF(Tasks[[#This Row],[_IsSummary]],MAX(INDEX(Tasks[_ShownCalcFinish],Tasks[[#This Row],[_Row]]+1):INDEX(Tasks[_ShownCalcFinish],Tasks[[#This Row],[_Row]]+Tasks[[#This Row],[_Descendants]])),Tasks[[#This Row],[_ShownCalcFinish]]))</f>
        <v/>
      </c>
      <c r="FM15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2" s="42">
        <f>IF(AND(Tasks[[#This Row],[_IsLeaf]]=1,Tasks[[#This Row],[_LeafTotalWork]]&gt;0),NETWORKDAYS.INTL(ProjectStart,Tasks[[#This Row],[_ShownFcstStart]],WorkWeek,Holidays),0)</f>
        <v/>
      </c>
      <c r="FZ152" s="42">
        <f>IF(AND(Tasks[[#This Row],[_IsLeaf]]=1,Tasks[[#This Row],[_LeafTotalWork]]&gt;0),MAX(Tasks[[#This Row],[_StartWorkday]],NETWORKDAYS.INTL(ProjectStart,Tasks[[#This Row],[_ShownFcstFinish]],WorkWeek,Holidays)),0)</f>
        <v/>
      </c>
      <c r="GA152" s="42">
        <f>IF(AND(Tasks[[#This Row],[_IsLeaf]]=1,Tasks[[#This Row],[_LeafTotalWork]]&gt;0),Tasks[[#This Row],[_LeafWork]]/(Tasks[[#This Row],[_FinishWorkday]]-Tasks[[#This Row],[_StartWorkday]]+1),0)</f>
        <v/>
      </c>
      <c r="GB152" s="42">
        <f>Tasks[[#This Row],[_WorkPerWorkday]]*(Tasks[[#This Row],[_StartWorkday]]-1)</f>
        <v/>
      </c>
      <c r="GC152" s="42">
        <f>IF(Tasks[[#This Row],[_IsLeaf]]=1,MAX(N(Tasks[[#This Row],[_Days]]),0.1),0)</f>
        <v/>
      </c>
      <c r="GD152" s="42">
        <f>Tasks[[#This Row],[_WeightDur]]*Tasks[[#This Row],[_LeafProgress]]</f>
        <v/>
      </c>
      <c r="GE152" s="42">
        <f>Tasks[[#This Row],[_WeightDur]]*Tasks[[#This Row],[_PlannedPct]]</f>
        <v/>
      </c>
      <c r="GF15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2" s="42">
        <f>IF(AND(Tasks[[#This Row],[_IsLeaf]]=1,N(Tasks[[#This Row],[_Days]])=0,Tasks[[#This Row],[_LeafProgress]]&lt;1),Tasks[[#This Row],[_ShownFcstFinish]]+Tasks[[#This Row],[_Row]]/100000,"")</f>
        <v/>
      </c>
      <c r="GH15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2" s="42">
        <f>IF(Tasks[[#This Row],[Task Name]]="","",LEFT(Tasks[[#This Row],[WBS]],FIND(".",Tasks[[#This Row],[WBS]]&amp;".")-1))</f>
        <v/>
      </c>
      <c r="GJ152" s="42">
        <f>IF(AND(Tasks[[#This Row],[Task Name]]&lt;&gt;"",Tasks[[#This Row],[_Level]]=1),Tasks[[#This Row],[_Row]],"")</f>
        <v/>
      </c>
      <c r="GK152" s="42">
        <f>IF(AND(Tasks[[#This Row],[_IsLeaf]]=1,N(Tasks[[#This Row],[_Days]])=0),Tasks[[#This Row],[Planned Finish]]+Tasks[[#This Row],[_Row]]/100000,"")</f>
        <v/>
      </c>
      <c r="GL152" s="42">
        <f>IF(AND(Tasks[[#This Row],[_IsLeaf]]=1,Tasks[[#This Row],[_LeafProgress]]&lt;1,OR(N(Tasks[[#This Row],[Finish Var]])&gt;0,Tasks[[#This Row],[Status]]="Late Start")),MAX(0,Tasks[[#This Row],[Finish Var]])+1-Tasks[[#This Row],[_Row]]/1000000,"")</f>
        <v/>
      </c>
      <c r="GM152" s="42">
        <f>IF(AND(Tasks[[#This Row],[_IsLeaf]]=1,N(Tasks[[#This Row],[Actual Start]])=0,Tasks[[#This Row],[_ShownFcstStart]]&gt;=StatusDate,Tasks[[#This Row],[_ShownFcstStart]]&lt;=LookaheadEnd),Tasks[[#This Row],[_ShownFcstStart]]+Tasks[[#This Row],[_Row]]/100000,"")</f>
        <v/>
      </c>
      <c r="GN152" s="42">
        <f>IF(AND(Tasks[[#This Row],[_IsLeaf]]=1,Tasks[[#This Row],[_LeafProgress]]&lt;1,Tasks[[#This Row],[_ShownFcstFinish]]&gt;=StatusDate,Tasks[[#This Row],[_ShownFcstFinish]]&lt;=LookaheadEnd),Tasks[[#This Row],[_ShownFcstFinish]]+Tasks[[#This Row],[_Row]]/100000,"")</f>
        <v/>
      </c>
      <c r="GO152" s="42">
        <f>IF(Tasks[[#This Row],[_LeafCritical]],Tasks[[#This Row],[_ShownFcstStart]]+Tasks[[#This Row],[_Row]]/100000,"")</f>
        <v/>
      </c>
      <c r="GP152" s="42">
        <f>Tasks[[#This Row],[_LeafWork]]*Tasks[[#This Row],[_LeafProgress]]</f>
        <v/>
      </c>
      <c r="GQ152" s="88">
        <f>IF(AND(Tasks[[#This Row],[_IsLeaf]]=1,Tasks[[#This Row],[_LeafProgress]]&gt;=1),IF(N(Tasks[[#This Row],[Actual Finish]])&gt;0,Tasks[[#This Row],[Actual Finish]],Tasks[[#This Row],[_ShownFcstFinish]]),"")</f>
        <v/>
      </c>
      <c r="GR152" s="42">
        <f>IF(Tasks[[#This Row],[_IsLeaf]]=1,N(Tasks[[#This Row],[Story Points]]),0)</f>
        <v/>
      </c>
      <c r="GS152" s="42">
        <f>""</f>
        <v/>
      </c>
      <c r="GT152" s="42">
        <f>IF(Tasks[[#This Row],[Task Name]]="",FALSE(),AND(Tasks[[#This Row],[_IsLeaf]]=1,N(Tasks[[#This Row],[_Days]])=0))</f>
        <v/>
      </c>
      <c r="GU152" s="88">
        <f>IF(Tasks[[#This Row],[Task Name]]="",0,IF(AND(Tasks[[#This Row],[_IsLeaf]]=1,NOT(Tasks[[#This Row],[_IsMilestone]]),N(Tasks[[#This Row],[Progress]])&gt;0),Tasks[[#This Row],[Start]],0))</f>
        <v/>
      </c>
      <c r="GV152" s="88">
        <f>IF(Tasks[[#This Row],[_DoneFrom]]=0,0,IF(Tasks[[#This Row],[Progress]]&gt;=1,Tasks[[#This Row],[Finish]],MAX(Tasks[[#This Row],[_DoneFrom]],Tasks[[#This Row],[Start]]+ROUND((Tasks[[#This Row],[Finish]]-Tasks[[#This Row],[Start]]+1)*Tasks[[#This Row],[Progress]],0)-1)))</f>
        <v/>
      </c>
      <c r="GW152" s="88">
        <f>IF(Tasks[[#This Row],[Task Name]]="",0,IF(OR(NOT(Tasks[[#This Row],[_IsLeaf]]=1),Tasks[[#This Row],[_IsMilestone]],N(Tasks[[#This Row],[Progress]])&gt;=1),0,IF(Tasks[[#This Row],[_DoneTo]]&gt;0,Tasks[[#This Row],[_DoneTo]]+1,Tasks[[#This Row],[Start]])))</f>
        <v/>
      </c>
      <c r="GX152" s="88">
        <f>IF(Tasks[[#This Row],[_RemFrom]]=0,0,Tasks[[#This Row],[Finish]])</f>
        <v/>
      </c>
      <c r="GY152" s="42">
        <f>IF(Tasks[[#This Row],[Task Name]]="",FALSE(),OR(NOT(BaselineSet),N(Tasks[[#This Row],[Baseline Start]])&gt;0))</f>
        <v/>
      </c>
      <c r="GZ152" s="42">
        <f>IF(AND(Sandbox="Yes",L_PARSE_DURATION(Tasks[[#This Row],[Sandbox Duration]])&lt;&gt;""),L_PARSE_DURATION(Tasks[[#This Row],[Sandbox Duration]]),L_PARSE_DURATION(Tasks[[#This Row],[Duration]]))</f>
        <v/>
      </c>
      <c r="HA15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2" s="42">
        <f>IF(Tasks[[#This Row],[_IsLeaf]]=1,Tasks[[#This Row],[_Row]],"")</f>
        <v/>
      </c>
      <c r="HD152" s="42">
        <f>IFERROR(INDEX(Tasks[UID],SMALL(Tasks[_PickKey],Tasks[[#This Row],[_Row]]))&amp;" "&amp;INDEX(Tasks[Task Name],SMALL(Tasks[_PickKey],Tasks[[#This Row],[_Row]])),"")</f>
        <v/>
      </c>
      <c r="HE152" s="42">
        <f>IF(Tasks[[#This Row],[Task Name]]="","",IF(Tasks[[#This Row],[_IsSummary]],NETWORKDAYS.INTL(Tasks[[#This Row],[Start]],Tasks[[#This Row],[Finish]],WorkWeek,Holidays),N(Tasks[[#This Row],[_Days]])))</f>
        <v/>
      </c>
      <c r="HF152" s="42">
        <f>IF(Tasks[[#This Row],[Expected]]="",0,((Tasks[[#This Row],[Pessimistic]]-Tasks[[#This Row],[Optimistic]])/6)^2)</f>
        <v/>
      </c>
      <c r="HG152" s="42">
        <f>IF(Tasks[[#This Row],[Expected]]="",0,Tasks[[#This Row],[Expected]]-N(Tasks[[#This Row],[_Days]]))</f>
        <v/>
      </c>
    </row>
    <row r="153">
      <c r="A153" s="21">
        <f>IF(Tasks[[#This Row],[Task Name]]="","",COUNTA(Tasks[[#Headers],[Task Name]]:Tasks[[#This Row],[Task Name]])-1)</f>
        <v/>
      </c>
      <c r="B153" s="22" t="n">
        <v>161</v>
      </c>
      <c r="C153" s="22" t="n"/>
      <c r="D153" s="23" t="n"/>
      <c r="E153" s="22" t="n"/>
      <c r="F153" s="23" t="n"/>
      <c r="G153" s="22" t="n"/>
      <c r="H153" s="22" t="n"/>
      <c r="I153" s="23" t="n"/>
      <c r="J153" s="22" t="n"/>
      <c r="K153" s="22" t="n"/>
      <c r="L153" s="23" t="n"/>
      <c r="M153" s="22" t="n"/>
      <c r="N153" s="22" t="n"/>
      <c r="O153" s="23" t="n"/>
      <c r="P153" s="22" t="n"/>
      <c r="Q153" s="22" t="n"/>
      <c r="R153" s="23" t="n"/>
      <c r="S153" s="23" t="n"/>
      <c r="T153" s="82" t="n"/>
      <c r="U153" s="23" t="n"/>
      <c r="V153" s="82" t="n"/>
      <c r="W153" s="23" t="n"/>
      <c r="X153" s="82" t="n"/>
      <c r="Y153" s="23" t="n"/>
      <c r="Z153" s="82" t="n"/>
      <c r="AA153" s="23" t="n"/>
      <c r="AB153" s="23" t="n"/>
      <c r="AC153" s="7" t="n"/>
      <c r="AD153" s="7" t="n"/>
      <c r="AE153" s="61">
        <f>IF(Tasks[[#This Row],[Task Name]]="","",IF(Tasks[[#This Row],[_IsSummary]],MIN(INDEX(Tasks[_ShownFcstStart],Tasks[[#This Row],[_Row]]+1):INDEX(Tasks[_ShownFcstStart],Tasks[[#This Row],[_Row]]+Tasks[[#This Row],[_Descendants]])),Tasks[[#This Row],[_ShownFcstStart]]))</f>
        <v/>
      </c>
      <c r="AF153" s="61">
        <f>IF(Tasks[[#This Row],[Task Name]]="","",IF(Tasks[[#This Row],[_IsSummary]],MAX(INDEX(Tasks[_ShownFcstFinish],Tasks[[#This Row],[_Row]]+1):INDEX(Tasks[_ShownFcstFinish],Tasks[[#This Row],[_Row]]+Tasks[[#This Row],[_Descendants]])),Tasks[[#This Row],[_ShownFcstFinish]]))</f>
        <v/>
      </c>
      <c r="AG153" s="21">
        <f>""</f>
        <v/>
      </c>
      <c r="AH153" s="23" t="n"/>
      <c r="AI15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3" s="7" t="n"/>
      <c r="AK153" s="22" t="n"/>
      <c r="AL153" s="23" t="n"/>
      <c r="AM153" s="7" t="n"/>
      <c r="AN153" s="21">
        <f>IF(Tasks[[#This Row],[Task Name]]="","",IF(Tasks[[#This Row],[Finish]]&gt;=Tasks[[#This Row],[Planned Finish]],NETWORKDAYS.INTL(Tasks[[#This Row],[Planned Finish]],Tasks[[#This Row],[Finish]],WorkWeek,Holidays)-1,1-NETWORKDAYS.INTL(Tasks[[#This Row],[Finish]],Tasks[[#This Row],[Planned Finish]],WorkWeek,Holidays)))</f>
        <v/>
      </c>
      <c r="AO153" s="21">
        <f>IF(Tasks[[#This Row],[Task Name]]="","",IF(Tasks[[#This Row],[Progress]]&gt;=1,"Complete",IF(OR(N(Tasks[[#This Row],[Actual Start]])&gt;0,Tasks[[#This Row],[Progress]]&gt;0),IF(Tasks[[#This Row],[Finish Var]]&gt;0,"Behind","In Progress"),IF(Tasks[[#This Row],[Planned Start]]&lt;StatusDate,"Late Start","Not Started"))))</f>
        <v/>
      </c>
      <c r="AP153" s="21">
        <f>IF(Tasks[[#This Row],[Task Name]]="","",IF(IF(Tasks[[#This Row],[_IsSummary]],COUNTIF(INDEX(Tasks[_LeafCritical],Tasks[[#This Row],[_Row]]+1):INDEX(Tasks[_LeafCritical],Tasks[[#This Row],[_Row]]+Tasks[[#This Row],[_Descendants]]),TRUE())&gt;0,Tasks[[#This Row],[_LeafCritical]]),"Yes",""))</f>
        <v/>
      </c>
      <c r="AQ153" s="61">
        <f>IF(Tasks[[#This Row],[Task Name]]="","",IF(N(Tasks[[#This Row],[Baseline Start]])&gt;0,Tasks[[#This Row],[Baseline Start]],Tasks[[#This Row],[_CalcStart]]))</f>
        <v/>
      </c>
      <c r="AR153" s="61">
        <f>IF(Tasks[[#This Row],[Task Name]]="","",IF(N(Tasks[[#This Row],[Baseline Finish]])&gt;0,Tasks[[#This Row],[Baseline Finish]],Tasks[[#This Row],[_CalcFinish]]))</f>
        <v/>
      </c>
      <c r="AS153" s="21">
        <f>IF(Tasks[[#This Row],[Task Name]]="","",IF(Tasks[[#This Row],[Start]]&gt;=Tasks[[#This Row],[Planned Start]],NETWORKDAYS.INTL(Tasks[[#This Row],[Planned Start]],Tasks[[#This Row],[Start]],WorkWeek,Holidays)-1,1-NETWORKDAYS.INTL(Tasks[[#This Row],[Start]],Tasks[[#This Row],[Planned Start]],WorkWeek,Holidays)))</f>
        <v/>
      </c>
      <c r="AT153" s="61">
        <f>IF(Tasks[[#This Row],[Task Name]]="","",IF(Tasks[[#This Row],[_IsSummary]],MIN(INDEX(Tasks[_LeafLateStart],Tasks[[#This Row],[_Row]]+1):INDEX(Tasks[_LeafLateStart],Tasks[[#This Row],[_Row]]+Tasks[[#This Row],[_Descendants]])),Tasks[[#This Row],[_LeafLateStart]]))</f>
        <v/>
      </c>
      <c r="AU153" s="61">
        <f>IF(Tasks[[#This Row],[Task Name]]="","",IF(Tasks[[#This Row],[_IsSummary]],MAX(INDEX(Tasks[_LeafLateFinish],Tasks[[#This Row],[_Row]]+1):INDEX(Tasks[_LeafLateFinish],Tasks[[#This Row],[_Row]]+Tasks[[#This Row],[_Descendants]])),Tasks[[#This Row],[_LeafLateFinish]]))</f>
        <v/>
      </c>
      <c r="AV153" s="21">
        <f>IF(Tasks[[#This Row],[Task Name]]="","",IF(Tasks[[#This Row],[_IsSummary]],MIN(INDEX(Tasks[_LeafTotalSlack],Tasks[[#This Row],[_Row]]+1):INDEX(Tasks[_LeafTotalSlack],Tasks[[#This Row],[_Row]]+Tasks[[#This Row],[_Descendants]])),Tasks[[#This Row],[_LeafTotalSlack]]))</f>
        <v/>
      </c>
      <c r="AW15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3" t="n"/>
      <c r="BA15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f>IF(Tasks[[#This Row],[Task Name]]="","",IF(Tasks[[#This Row],[_Level]]&lt;=OutlineShowLevel,"Yes","No"))</f>
        <v/>
      </c>
      <c r="BE153" s="84">
        <f>IF(Tasks[[#This Row],[Task Name]]="","",IF(Tasks[[#This Row],[_IsSummary]],SUM(INDEX(Tasks[_LeafTotalWork],Tasks[[#This Row],[_Row]]+1):INDEX(Tasks[_LeafTotalWork],Tasks[[#This Row],[_Row]]+Tasks[[#This Row],[_Descendants]])),Tasks[[#This Row],[_LeafTotalWork]]))</f>
        <v/>
      </c>
      <c r="BF153" s="23" t="n"/>
      <c r="BG15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f>""</f>
        <v/>
      </c>
      <c r="BI153" s="85" t="n"/>
      <c r="BJ153" s="22" t="n"/>
      <c r="BK153" s="21">
        <f>IF(OR(Tasks[[#This Row],[Task Name]]="",Tasks[[#This Row],[Baseline Duration]]=""),"",Tasks[[#This Row],[_SpanDays]]-N(Tasks[[#This Row],[Baseline Duration]]))</f>
        <v/>
      </c>
      <c r="BL153" s="84">
        <f>IF(OR(Tasks[[#This Row],[Task Name]]="",Tasks[[#This Row],[Baseline Work]]=""),"",Tasks[[#This Row],[Work]]-N(Tasks[[#This Row],[Baseline Work]]))</f>
        <v/>
      </c>
      <c r="BM153" s="61">
        <f>IF(Tasks[[#This Row],[Task Name]]="","",IF(OR(TakeBaseline="Yes",N(Tasks[[#This Row],[Baseline Start]])=0),Tasks[[#This Row],[Start]],Tasks[[#This Row],[Baseline Start]]))</f>
        <v/>
      </c>
      <c r="BN153" s="61">
        <f>IF(Tasks[[#This Row],[Task Name]]="","",IF(OR(TakeBaseline="Yes",N(Tasks[[#This Row],[Baseline Finish]])=0),Tasks[[#This Row],[Finish]],Tasks[[#This Row],[Baseline Finish]]))</f>
        <v/>
      </c>
      <c r="BO153" s="21">
        <f>IF(Tasks[[#This Row],[Task Name]]="","",IF(OR(TakeBaseline="Yes",N(Tasks[[#This Row],[Baseline Duration]])=0),Tasks[[#This Row],[_SpanDays]],Tasks[[#This Row],[Baseline Duration]]))</f>
        <v/>
      </c>
      <c r="BP153" s="84">
        <f>IF(Tasks[[#This Row],[Task Name]]="","",IF(OR(TakeBaseline="Yes",N(Tasks[[#This Row],[Baseline Work]])=0),Tasks[[#This Row],[Work]],Tasks[[#This Row],[Baseline Work]]))</f>
        <v/>
      </c>
      <c r="BQ153" s="7" t="n"/>
      <c r="BR153" s="7" t="n"/>
      <c r="BS153" s="22" t="n"/>
      <c r="BT153" s="86" t="n"/>
      <c r="BU153" s="23" t="n"/>
      <c r="BV153" s="23" t="n"/>
      <c r="BW153" s="23" t="n"/>
      <c r="BX153" s="87">
        <f>IF(AND(Tasks[[#This Row],[_IsLeaf]]=1,ISNUMBER(Tasks[[#This Row],[Optimistic]]),ISNUMBER(Tasks[[#This Row],[Pessimistic]])),ROUND((Tasks[[#This Row],[Optimistic]]+4*N(Tasks[[#This Row],[_Days]])+Tasks[[#This Row],[Pessimistic]])/6,1),"")</f>
        <v/>
      </c>
      <c r="BY153" s="85" t="n"/>
      <c r="BZ153" s="85" t="n"/>
      <c r="CA153" s="22" t="n"/>
      <c r="CB153" s="42">
        <f>IF(Tasks[[#This Row],[Task Name]]="","",MAX(1,N(Tasks[[#This Row],[Level]])))</f>
        <v/>
      </c>
      <c r="CC153" s="42">
        <f>ROW()-ROW(Tasks[[#Headers],[ID]])</f>
        <v/>
      </c>
      <c r="CD153" s="42">
        <f>IF(OR(Tasks[[#This Row],[Task Name]]="",Tasks[[#This Row],[_Level]]&lt;=1),0,IFERROR(LOOKUP(2,1/(Tasks[[#Headers],[_Level]]:Tasks[[#This Row],[_Level]]=Tasks[[#This Row],[_Level]]-1),ROW(Tasks[[#Headers],[_Level]]:Tasks[[#This Row],[_Level]])),0))</f>
        <v/>
      </c>
      <c r="CE153" s="42">
        <f>IFERROR(N(INDEX(Tasks[_Level],Tasks[[#This Row],[_Row]]+1)),0)</f>
        <v/>
      </c>
      <c r="CF153" s="42">
        <f>AND(Tasks[[#This Row],[Task Name]]&lt;&gt;"",Tasks[[#This Row],[_NextLevel]]&gt;Tasks[[#This Row],[_Level]])</f>
        <v/>
      </c>
      <c r="CG153" s="42">
        <f>IF(Tasks[[#This Row],[_IsSummary]],COUNTIF(Tasks[WBS],Tasks[[#This Row],[WBS]]&amp;".*"),0)</f>
        <v/>
      </c>
      <c r="CH153" s="42">
        <f>IF(AND(Tasks[[#This Row],[Task Name]]&lt;&gt;"",NOT(Tasks[[#This Row],[_IsSummary]])),1,0)</f>
        <v/>
      </c>
      <c r="CI153" s="42">
        <f>IF(N(Tasks[[#This Row],[_Pred1UID]])=0,0,IFERROR(MATCH(Tasks[[#This Row],[_Pred1UID]],Tasks[UID],0),-1))</f>
        <v/>
      </c>
      <c r="CJ153" s="42">
        <f>IF(N(Tasks[[#This Row],[_Pred2UID]])=0,0,IFERROR(MATCH(Tasks[[#This Row],[_Pred2UID]],Tasks[UID],0),-1))</f>
        <v/>
      </c>
      <c r="CK153" s="42">
        <f>IF(N(Tasks[[#This Row],[_Pred3UID]])=0,0,IFERROR(MATCH(Tasks[[#This Row],[_Pred3UID]],Tasks[UID],0),-1))</f>
        <v/>
      </c>
      <c r="CL153" s="42">
        <f>IF(N(Tasks[[#This Row],[_Pred4UID]])=0,0,IFERROR(MATCH(Tasks[[#This Row],[_Pred4UID]],Tasks[UID],0),-1))</f>
        <v/>
      </c>
      <c r="CM15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3" s="88">
        <f>IF(N(Tasks[[#This Row],[Constraint Date]])=0,0,IF(AND(OR(Tasks[[#This Row],[_ConstraintCode]]=3,Tasks[[#This Row],[_ConstraintCode]]=6,Tasks[[#This Row],[_ConstraintCode]]=7),N(Tasks[[#This Row],[_Days]])&gt;1),WORKDAY.INTL(N(Tasks[[#This Row],[Constraint Date]]),-(N(Tasks[[#This Row],[_Days]])-1),WorkWeek,Holidays),N(Tasks[[#This Row],[Constraint Date]])))</f>
        <v/>
      </c>
      <c r="CO153" s="88">
        <f>IF(OR(Tasks[[#This Row],[_ConstraintCode]]=2,Tasks[[#This Row],[_ConstraintCode]]=3,Tasks[[#This Row],[_ConstraintCode]]=4,Tasks[[#This Row],[_ConstraintCode]]=6),Tasks[[#This Row],[_ConstraintStart]],0)</f>
        <v/>
      </c>
      <c r="CP153" s="88">
        <f>IF(OR(Tasks[[#This Row],[_ConstraintCode]]=2,Tasks[[#This Row],[_ConstraintCode]]=3,Tasks[[#This Row],[_ConstraintCode]]=5,Tasks[[#This Row],[_ConstraintCode]]=7),Tasks[[#This Row],[_ConstraintStart]],2958465)</f>
        <v/>
      </c>
      <c r="CQ15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3" s="88">
        <f>IF(NOT(Tasks[[#This Row],[_IsLeaf]]=1),"",IF(N(Tasks[[#This Row],[_Days]])&lt;=0,Tasks[[#This Row],[_LeafCalcStart]],WORKDAY.INTL(Tasks[[#This Row],[_LeafCalcStart]],Tasks[[#This Row],[_Days]]-1,WorkWeek,Holidays)))</f>
        <v/>
      </c>
      <c r="CS15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3" s="42">
        <f>IF(Tasks[[#This Row],[_Predecessors]]="","",TRIM(MID(SUBSTITUTE(SUBSTITUTE(SUBSTITUTE(UPPER(Tasks[[#This Row],[_Predecessors]]),";",",")," ",""),",",REPT(" ",99)),1,99)))</f>
        <v/>
      </c>
      <c r="CV153" s="42">
        <f>IF(Tasks[[#This Row],[_Pred1Text]]="","",IFERROR(VALUE(LEFT(Tasks[[#This Row],[_Pred1Text]],MIN(FIND("F",Tasks[[#This Row],[_Pred1Text]]&amp;"F"),FIND("S",Tasks[[#This Row],[_Pred1Text]]&amp;"S"),FIND("+",Tasks[[#This Row],[_Pred1Text]]&amp;"+"),FIND("-",Tasks[[#This Row],[_Pred1Text]]&amp;"-"))-1)),""))</f>
        <v/>
      </c>
      <c r="CW15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3" s="42">
        <f>IF(Tasks[[#This Row],[_Pred1Text]]="","",TRIM(MID(SUBSTITUTE(SUBSTITUTE(SUBSTITUTE(UPPER(Tasks[[#This Row],[_Predecessors]]),";",",")," ",""),",",REPT(" ",99)),100,99)))</f>
        <v/>
      </c>
      <c r="CZ153" s="42">
        <f>IF(Tasks[[#This Row],[_Pred2Text]]="","",IFERROR(VALUE(LEFT(Tasks[[#This Row],[_Pred2Text]],MIN(FIND("F",Tasks[[#This Row],[_Pred2Text]]&amp;"F"),FIND("S",Tasks[[#This Row],[_Pred2Text]]&amp;"S"),FIND("+",Tasks[[#This Row],[_Pred2Text]]&amp;"+"),FIND("-",Tasks[[#This Row],[_Pred2Text]]&amp;"-"))-1)),""))</f>
        <v/>
      </c>
      <c r="DA15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3" s="42">
        <f>IF(Tasks[[#This Row],[_Pred2Text]]="","",TRIM(MID(SUBSTITUTE(SUBSTITUTE(SUBSTITUTE(UPPER(Tasks[[#This Row],[_Predecessors]]),";",",")," ",""),",",REPT(" ",99)),199,99)))</f>
        <v/>
      </c>
      <c r="DD153" s="42">
        <f>IF(Tasks[[#This Row],[_Pred3Text]]="","",IFERROR(VALUE(LEFT(Tasks[[#This Row],[_Pred3Text]],MIN(FIND("F",Tasks[[#This Row],[_Pred3Text]]&amp;"F"),FIND("S",Tasks[[#This Row],[_Pred3Text]]&amp;"S"),FIND("+",Tasks[[#This Row],[_Pred3Text]]&amp;"+"),FIND("-",Tasks[[#This Row],[_Pred3Text]]&amp;"-"))-1)),""))</f>
        <v/>
      </c>
      <c r="DE15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3" s="42">
        <f>IF(Tasks[[#This Row],[_Pred3Text]]="","",TRIM(MID(SUBSTITUTE(SUBSTITUTE(SUBSTITUTE(UPPER(Tasks[[#This Row],[_Predecessors]]),";",",")," ",""),",",REPT(" ",99)),298,99)))</f>
        <v/>
      </c>
      <c r="DH153" s="42">
        <f>IF(Tasks[[#This Row],[_Pred4Text]]="","",IFERROR(VALUE(LEFT(Tasks[[#This Row],[_Pred4Text]],MIN(FIND("F",Tasks[[#This Row],[_Pred4Text]]&amp;"F"),FIND("S",Tasks[[#This Row],[_Pred4Text]]&amp;"S"),FIND("+",Tasks[[#This Row],[_Pred4Text]]&amp;"+"),FIND("-",Tasks[[#This Row],[_Pred4Text]]&amp;"-"))-1)),""))</f>
        <v/>
      </c>
      <c r="DI15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3" s="42">
        <f>IF(OR(Tasks[[#This Row],[Task Name]]="",Tasks[[#This Row],[_Resources]]=""),"",TRIM(MID(SUBSTITUTE(Tasks[[#This Row],[_Resources]],",",REPT(" ",99)),1,99)))</f>
        <v/>
      </c>
      <c r="DL153" s="42">
        <f>IF(Tasks[[#This Row],[_Res1Text]]="","",TRIM(MID(SUBSTITUTE(Tasks[[#This Row],[_Resources]],",",REPT(" ",99)),100,99)))</f>
        <v/>
      </c>
      <c r="DM153" s="42">
        <f>IF(Tasks[[#This Row],[_Res2Text]]="","",TRIM(MID(SUBSTITUTE(Tasks[[#This Row],[_Resources]],",",REPT(" ",99)),199,99)))</f>
        <v/>
      </c>
      <c r="DN153" s="42">
        <f>IF(Tasks[[#This Row],[_Res3Text]]="","",TRIM(MID(SUBSTITUTE(Tasks[[#This Row],[_Resources]],",",REPT(" ",99)),298,99)))</f>
        <v/>
      </c>
      <c r="DO153" s="42">
        <f>IF(Tasks[[#This Row],[_Res1Text]]="",0,IFERROR(MATCH(TRIM(LEFT(Tasks[[#This Row],[_Res1Text]],FIND("[",Tasks[[#This Row],[_Res1Text]]&amp;"[")-1)),res_Name,0),IFERROR(MATCH(TRIM(LEFT(Tasks[[#This Row],[_Res1Text]],FIND("[",Tasks[[#This Row],[_Res1Text]]&amp;"[")-1)),res_Initials,0),0)))</f>
        <v/>
      </c>
      <c r="DP153" s="42">
        <f>IF(Tasks[[#This Row],[_Res2Text]]="",0,IFERROR(MATCH(TRIM(LEFT(Tasks[[#This Row],[_Res2Text]],FIND("[",Tasks[[#This Row],[_Res2Text]]&amp;"[")-1)),res_Name,0),IFERROR(MATCH(TRIM(LEFT(Tasks[[#This Row],[_Res2Text]],FIND("[",Tasks[[#This Row],[_Res2Text]]&amp;"[")-1)),res_Initials,0),0)))</f>
        <v/>
      </c>
      <c r="DQ153" s="42">
        <f>IF(Tasks[[#This Row],[_Res3Text]]="",0,IFERROR(MATCH(TRIM(LEFT(Tasks[[#This Row],[_Res3Text]],FIND("[",Tasks[[#This Row],[_Res3Text]]&amp;"[")-1)),res_Name,0),IFERROR(MATCH(TRIM(LEFT(Tasks[[#This Row],[_Res3Text]],FIND("[",Tasks[[#This Row],[_Res3Text]]&amp;"[")-1)),res_Initials,0),0)))</f>
        <v/>
      </c>
      <c r="DR153" s="42">
        <f>IF(Tasks[[#This Row],[_Res4Text]]="",0,IFERROR(MATCH(TRIM(LEFT(Tasks[[#This Row],[_Res4Text]],FIND("[",Tasks[[#This Row],[_Res4Text]]&amp;"[")-1)),res_Name,0),IFERROR(MATCH(TRIM(LEFT(Tasks[[#This Row],[_Res4Text]],FIND("[",Tasks[[#This Row],[_Res4Text]]&amp;"[")-1)),res_Initials,0),0)))</f>
        <v/>
      </c>
      <c r="DS153" s="42">
        <f>IF(Tasks[[#This Row],[_Res1Text]]="","",IF(Tasks[[#This Row],[_Res1Row]]&gt;0,INDEX(res_Name,Tasks[[#This Row],[_Res1Row]]),TRIM(LEFT(Tasks[[#This Row],[_Res1Text]],FIND("[",Tasks[[#This Row],[_Res1Text]]&amp;"[")-1))))</f>
        <v/>
      </c>
      <c r="DT15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3" s="42">
        <f>IF(NOT(Tasks[[#This Row],[_IsLeaf]]=1),0,(Tasks[[#This Row],[_Resource1]]&lt;&gt;"")+(Tasks[[#This Row],[_Res2]]&lt;&gt;"")+(Tasks[[#This Row],[_Res3]]&lt;&gt;"")+(Tasks[[#This Row],[_Res4]]&lt;&gt;""))</f>
        <v/>
      </c>
      <c r="DV153" s="42">
        <f>IF(Tasks[[#This Row],[_Res2Text]]="","",IF(Tasks[[#This Row],[_Res2Row]]&gt;0,INDEX(res_Name,Tasks[[#This Row],[_Res2Row]]),TRIM(LEFT(Tasks[[#This Row],[_Res2Text]],FIND("[",Tasks[[#This Row],[_Res2Text]]&amp;"[")-1))))</f>
        <v/>
      </c>
      <c r="DW15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3" s="42">
        <f>IF(OR(NOT(Tasks[[#This Row],[_IsLeaf]]=1),Tasks[[#This Row],[_Res2Row]]=0),0,N(Tasks[[#This Row],[_Days]])*HoursPerDay*IF(Tasks[[#This Row],[_Res2Units]]="",DefaultUnits,Tasks[[#This Row],[_Res2Units]]))</f>
        <v/>
      </c>
      <c r="DY153" s="42">
        <f>IF(AND(AND(Tasks[[#This Row],[_IsLeaf]]=1,Tasks[[#This Row],[_LeafTotalWork]]&gt;0),Tasks[[#This Row],[_Res2Work]]&gt;0),Tasks[[#This Row],[_Res2Work]]/(Tasks[[#This Row],[_FinishWorkday]]-Tasks[[#This Row],[_StartWorkday]]+1),0)</f>
        <v/>
      </c>
      <c r="DZ153" s="42">
        <f>Tasks[[#This Row],[_Res2WorkPerWD]]*MAX(0,Tasks[[#This Row],[_StartWorkday]]-1)</f>
        <v/>
      </c>
      <c r="EA153" s="42">
        <f>Tasks[[#This Row],[_Res2Work]]*Tasks[[#This Row],[_LeafProgress]]</f>
        <v/>
      </c>
      <c r="EB153" s="42">
        <f>IF(Tasks[[#This Row],[_Res3Text]]="","",IF(Tasks[[#This Row],[_Res3Row]]&gt;0,INDEX(res_Name,Tasks[[#This Row],[_Res3Row]]),TRIM(LEFT(Tasks[[#This Row],[_Res3Text]],FIND("[",Tasks[[#This Row],[_Res3Text]]&amp;"[")-1))))</f>
        <v/>
      </c>
      <c r="EC15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3" s="42">
        <f>IF(OR(NOT(Tasks[[#This Row],[_IsLeaf]]=1),Tasks[[#This Row],[_Res3Row]]=0),0,N(Tasks[[#This Row],[_Days]])*HoursPerDay*IF(Tasks[[#This Row],[_Res3Units]]="",DefaultUnits,Tasks[[#This Row],[_Res3Units]]))</f>
        <v/>
      </c>
      <c r="EE153" s="42">
        <f>IF(AND(AND(Tasks[[#This Row],[_IsLeaf]]=1,Tasks[[#This Row],[_LeafTotalWork]]&gt;0),Tasks[[#This Row],[_Res3Work]]&gt;0),Tasks[[#This Row],[_Res3Work]]/(Tasks[[#This Row],[_FinishWorkday]]-Tasks[[#This Row],[_StartWorkday]]+1),0)</f>
        <v/>
      </c>
      <c r="EF153" s="42">
        <f>Tasks[[#This Row],[_Res3WorkPerWD]]*MAX(0,Tasks[[#This Row],[_StartWorkday]]-1)</f>
        <v/>
      </c>
      <c r="EG153" s="42">
        <f>Tasks[[#This Row],[_Res3Work]]*Tasks[[#This Row],[_LeafProgress]]</f>
        <v/>
      </c>
      <c r="EH153" s="42">
        <f>IF(Tasks[[#This Row],[_Res4Text]]="","",IF(Tasks[[#This Row],[_Res4Row]]&gt;0,INDEX(res_Name,Tasks[[#This Row],[_Res4Row]]),TRIM(LEFT(Tasks[[#This Row],[_Res4Text]],FIND("[",Tasks[[#This Row],[_Res4Text]]&amp;"[")-1))))</f>
        <v/>
      </c>
      <c r="EI15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3" s="42">
        <f>IF(OR(NOT(Tasks[[#This Row],[_IsLeaf]]=1),Tasks[[#This Row],[_Res4Row]]=0),0,N(Tasks[[#This Row],[_Days]])*HoursPerDay*IF(Tasks[[#This Row],[_Res4Units]]="",DefaultUnits,Tasks[[#This Row],[_Res4Units]]))</f>
        <v/>
      </c>
      <c r="EK153" s="42">
        <f>IF(AND(AND(Tasks[[#This Row],[_IsLeaf]]=1,Tasks[[#This Row],[_LeafTotalWork]]&gt;0),Tasks[[#This Row],[_Res4Work]]&gt;0),Tasks[[#This Row],[_Res4Work]]/(Tasks[[#This Row],[_FinishWorkday]]-Tasks[[#This Row],[_StartWorkday]]+1),0)</f>
        <v/>
      </c>
      <c r="EL153" s="42">
        <f>Tasks[[#This Row],[_Res4WorkPerWD]]*MAX(0,Tasks[[#This Row],[_StartWorkday]]-1)</f>
        <v/>
      </c>
      <c r="EM153" s="42">
        <f>Tasks[[#This Row],[_Res4Work]]*Tasks[[#This Row],[_LeafProgress]]</f>
        <v/>
      </c>
      <c r="EN153" s="42">
        <f>IF(ISNUMBER(Tasks[[#This Row],[% Complete]]),Tasks[[#This Row],[% Complete]],IF(Tasks[[#This Row],[Stage]]="",0,IFERROR(INDEX(stg_Pct,MATCH(Tasks[[#This Row],[Stage]],stg_Name,0)),0)))</f>
        <v/>
      </c>
      <c r="EO153" s="42">
        <f>IF(NOT(Tasks[[#This Row],[_IsLeaf]]=1),0,IF(N(Tasks[[#This Row],[Actual Finish]])&gt;0,1,MIN(1,Tasks[[#This Row],[_Pct]])))</f>
        <v/>
      </c>
      <c r="EP153" s="42">
        <f>IF(OR(NOT(Tasks[[#This Row],[_IsLeaf]]=1),Tasks[[#This Row],[_Res1Row]]=0),0,N(Tasks[[#This Row],[_Days]])*HoursPerDay*IF(Tasks[[#This Row],[_Units1]]="",DefaultUnits,Tasks[[#This Row],[_Units1]]))</f>
        <v/>
      </c>
      <c r="EQ153" s="42">
        <f>Tasks[[#This Row],[_LeafWork]]+Tasks[[#This Row],[_Res2Work]]+Tasks[[#This Row],[_Res3Work]]+Tasks[[#This Row],[_Res4Work]]</f>
        <v/>
      </c>
      <c r="ER15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3" s="42">
        <f>IF(NOT(Tasks[[#This Row],[_IsLeaf]]=1),0,MAX(_xlfn.MAXIFS(Tasks[_Row],Tasks[_Pred1UID],Tasks[[#This Row],[UID]]),_xlfn.MAXIFS(Tasks[_Row],Tasks[_Pred2UID],Tasks[[#This Row],[UID]]),_xlfn.MAXIFS(Tasks[_Row],Tasks[_Pred3UID],Tasks[[#This Row],[UID]]),_xlfn.MAXIFS(Tasks[_Row],Tasks[_Pred4UID],Tasks[[#This Row],[UID]])))</f>
        <v/>
      </c>
      <c r="FA15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3" s="88">
        <f>IF(NOT(Tasks[[#This Row],[_IsLeaf]]=1),"",IF(N(Tasks[[#This Row],[_Days]])&lt;=0,Tasks[[#This Row],[_LeafLateFinish]],WORKDAY.INTL(Tasks[[#This Row],[_LeafLateFinish]],-(Tasks[[#This Row],[_Days]]-1),WorkWeek,Holidays)))</f>
        <v/>
      </c>
      <c r="FD15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3" s="42">
        <f>AND(Tasks[[#This Row],[_IsLeaf]]=1,Tasks[[#This Row],[_LeafProgress]]&lt;1,N(Tasks[[#This Row],[_LeafTotalSlack]])&lt;=CriticalSlackDays)</f>
        <v/>
      </c>
      <c r="FF153" s="42">
        <f>IF(AND(Tasks[[#This Row],[_IsLeaf]]=1,Tasks[[#This Row],[_ConstraintCode]]=1,Tasks[[#This Row],[Mode]]&lt;&gt;"Manual",N(Tasks[[#This Row],[Actual Start]])=0),MAX(0,N(Tasks[[#This Row],[Free Slack]])),0)</f>
        <v/>
      </c>
      <c r="FG153" s="88">
        <f>IF(NOT(Tasks[[#This Row],[_IsLeaf]]=1),"",IF(Tasks[[#This Row],[_AlapShift]]=0,Tasks[[#This Row],[_LeafCalcStart]],WORKDAY.INTL(Tasks[[#This Row],[_LeafCalcStart]],Tasks[[#This Row],[_AlapShift]],WorkWeek,Holidays)))</f>
        <v/>
      </c>
      <c r="FH153" s="88">
        <f>IF(NOT(Tasks[[#This Row],[_IsLeaf]]=1),"",IF(Tasks[[#This Row],[_AlapShift]]=0,Tasks[[#This Row],[_LeafCalcFinish]],WORKDAY.INTL(Tasks[[#This Row],[_LeafCalcFinish]],Tasks[[#This Row],[_AlapShift]],WorkWeek,Holidays)))</f>
        <v/>
      </c>
      <c r="FI153" s="88">
        <f>IF(NOT(Tasks[[#This Row],[_IsLeaf]]=1),"",IF(Tasks[[#This Row],[_AlapShift]]=0,Tasks[[#This Row],[_LeafFcstStart]],WORKDAY.INTL(Tasks[[#This Row],[_LeafFcstStart]],Tasks[[#This Row],[_AlapShift]],WorkWeek,Holidays)))</f>
        <v/>
      </c>
      <c r="FJ153" s="88">
        <f>IF(NOT(Tasks[[#This Row],[_IsLeaf]]=1),"",IF(Tasks[[#This Row],[_AlapShift]]=0,Tasks[[#This Row],[_LeafFcstFinish]],WORKDAY.INTL(Tasks[[#This Row],[_LeafFcstFinish]],Tasks[[#This Row],[_AlapShift]],WorkWeek,Holidays)))</f>
        <v/>
      </c>
      <c r="FK153" s="88">
        <f>IF(Tasks[[#This Row],[Task Name]]="","",IF(Tasks[[#This Row],[_IsSummary]],MIN(INDEX(Tasks[_ShownCalcStart],Tasks[[#This Row],[_Row]]+1):INDEX(Tasks[_ShownCalcStart],Tasks[[#This Row],[_Row]]+Tasks[[#This Row],[_Descendants]])),Tasks[[#This Row],[_ShownCalcStart]]))</f>
        <v/>
      </c>
      <c r="FL153" s="88">
        <f>IF(Tasks[[#This Row],[Task Name]]="","",IF(Tasks[[#This Row],[_IsSummary]],MAX(INDEX(Tasks[_ShownCalcFinish],Tasks[[#This Row],[_Row]]+1):INDEX(Tasks[_ShownCalcFinish],Tasks[[#This Row],[_Row]]+Tasks[[#This Row],[_Descendants]])),Tasks[[#This Row],[_ShownCalcFinish]]))</f>
        <v/>
      </c>
      <c r="FM15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3" s="42">
        <f>IF(AND(Tasks[[#This Row],[_IsLeaf]]=1,Tasks[[#This Row],[_LeafTotalWork]]&gt;0),NETWORKDAYS.INTL(ProjectStart,Tasks[[#This Row],[_ShownFcstStart]],WorkWeek,Holidays),0)</f>
        <v/>
      </c>
      <c r="FZ153" s="42">
        <f>IF(AND(Tasks[[#This Row],[_IsLeaf]]=1,Tasks[[#This Row],[_LeafTotalWork]]&gt;0),MAX(Tasks[[#This Row],[_StartWorkday]],NETWORKDAYS.INTL(ProjectStart,Tasks[[#This Row],[_ShownFcstFinish]],WorkWeek,Holidays)),0)</f>
        <v/>
      </c>
      <c r="GA153" s="42">
        <f>IF(AND(Tasks[[#This Row],[_IsLeaf]]=1,Tasks[[#This Row],[_LeafTotalWork]]&gt;0),Tasks[[#This Row],[_LeafWork]]/(Tasks[[#This Row],[_FinishWorkday]]-Tasks[[#This Row],[_StartWorkday]]+1),0)</f>
        <v/>
      </c>
      <c r="GB153" s="42">
        <f>Tasks[[#This Row],[_WorkPerWorkday]]*(Tasks[[#This Row],[_StartWorkday]]-1)</f>
        <v/>
      </c>
      <c r="GC153" s="42">
        <f>IF(Tasks[[#This Row],[_IsLeaf]]=1,MAX(N(Tasks[[#This Row],[_Days]]),0.1),0)</f>
        <v/>
      </c>
      <c r="GD153" s="42">
        <f>Tasks[[#This Row],[_WeightDur]]*Tasks[[#This Row],[_LeafProgress]]</f>
        <v/>
      </c>
      <c r="GE153" s="42">
        <f>Tasks[[#This Row],[_WeightDur]]*Tasks[[#This Row],[_PlannedPct]]</f>
        <v/>
      </c>
      <c r="GF15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3" s="42">
        <f>IF(AND(Tasks[[#This Row],[_IsLeaf]]=1,N(Tasks[[#This Row],[_Days]])=0,Tasks[[#This Row],[_LeafProgress]]&lt;1),Tasks[[#This Row],[_ShownFcstFinish]]+Tasks[[#This Row],[_Row]]/100000,"")</f>
        <v/>
      </c>
      <c r="GH15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3" s="42">
        <f>IF(Tasks[[#This Row],[Task Name]]="","",LEFT(Tasks[[#This Row],[WBS]],FIND(".",Tasks[[#This Row],[WBS]]&amp;".")-1))</f>
        <v/>
      </c>
      <c r="GJ153" s="42">
        <f>IF(AND(Tasks[[#This Row],[Task Name]]&lt;&gt;"",Tasks[[#This Row],[_Level]]=1),Tasks[[#This Row],[_Row]],"")</f>
        <v/>
      </c>
      <c r="GK153" s="42">
        <f>IF(AND(Tasks[[#This Row],[_IsLeaf]]=1,N(Tasks[[#This Row],[_Days]])=0),Tasks[[#This Row],[Planned Finish]]+Tasks[[#This Row],[_Row]]/100000,"")</f>
        <v/>
      </c>
      <c r="GL153" s="42">
        <f>IF(AND(Tasks[[#This Row],[_IsLeaf]]=1,Tasks[[#This Row],[_LeafProgress]]&lt;1,OR(N(Tasks[[#This Row],[Finish Var]])&gt;0,Tasks[[#This Row],[Status]]="Late Start")),MAX(0,Tasks[[#This Row],[Finish Var]])+1-Tasks[[#This Row],[_Row]]/1000000,"")</f>
        <v/>
      </c>
      <c r="GM153" s="42">
        <f>IF(AND(Tasks[[#This Row],[_IsLeaf]]=1,N(Tasks[[#This Row],[Actual Start]])=0,Tasks[[#This Row],[_ShownFcstStart]]&gt;=StatusDate,Tasks[[#This Row],[_ShownFcstStart]]&lt;=LookaheadEnd),Tasks[[#This Row],[_ShownFcstStart]]+Tasks[[#This Row],[_Row]]/100000,"")</f>
        <v/>
      </c>
      <c r="GN153" s="42">
        <f>IF(AND(Tasks[[#This Row],[_IsLeaf]]=1,Tasks[[#This Row],[_LeafProgress]]&lt;1,Tasks[[#This Row],[_ShownFcstFinish]]&gt;=StatusDate,Tasks[[#This Row],[_ShownFcstFinish]]&lt;=LookaheadEnd),Tasks[[#This Row],[_ShownFcstFinish]]+Tasks[[#This Row],[_Row]]/100000,"")</f>
        <v/>
      </c>
      <c r="GO153" s="42">
        <f>IF(Tasks[[#This Row],[_LeafCritical]],Tasks[[#This Row],[_ShownFcstStart]]+Tasks[[#This Row],[_Row]]/100000,"")</f>
        <v/>
      </c>
      <c r="GP153" s="42">
        <f>Tasks[[#This Row],[_LeafWork]]*Tasks[[#This Row],[_LeafProgress]]</f>
        <v/>
      </c>
      <c r="GQ153" s="88">
        <f>IF(AND(Tasks[[#This Row],[_IsLeaf]]=1,Tasks[[#This Row],[_LeafProgress]]&gt;=1),IF(N(Tasks[[#This Row],[Actual Finish]])&gt;0,Tasks[[#This Row],[Actual Finish]],Tasks[[#This Row],[_ShownFcstFinish]]),"")</f>
        <v/>
      </c>
      <c r="GR153" s="42">
        <f>IF(Tasks[[#This Row],[_IsLeaf]]=1,N(Tasks[[#This Row],[Story Points]]),0)</f>
        <v/>
      </c>
      <c r="GS153" s="42">
        <f>""</f>
        <v/>
      </c>
      <c r="GT153" s="42">
        <f>IF(Tasks[[#This Row],[Task Name]]="",FALSE(),AND(Tasks[[#This Row],[_IsLeaf]]=1,N(Tasks[[#This Row],[_Days]])=0))</f>
        <v/>
      </c>
      <c r="GU153" s="88">
        <f>IF(Tasks[[#This Row],[Task Name]]="",0,IF(AND(Tasks[[#This Row],[_IsLeaf]]=1,NOT(Tasks[[#This Row],[_IsMilestone]]),N(Tasks[[#This Row],[Progress]])&gt;0),Tasks[[#This Row],[Start]],0))</f>
        <v/>
      </c>
      <c r="GV153" s="88">
        <f>IF(Tasks[[#This Row],[_DoneFrom]]=0,0,IF(Tasks[[#This Row],[Progress]]&gt;=1,Tasks[[#This Row],[Finish]],MAX(Tasks[[#This Row],[_DoneFrom]],Tasks[[#This Row],[Start]]+ROUND((Tasks[[#This Row],[Finish]]-Tasks[[#This Row],[Start]]+1)*Tasks[[#This Row],[Progress]],0)-1)))</f>
        <v/>
      </c>
      <c r="GW153" s="88">
        <f>IF(Tasks[[#This Row],[Task Name]]="",0,IF(OR(NOT(Tasks[[#This Row],[_IsLeaf]]=1),Tasks[[#This Row],[_IsMilestone]],N(Tasks[[#This Row],[Progress]])&gt;=1),0,IF(Tasks[[#This Row],[_DoneTo]]&gt;0,Tasks[[#This Row],[_DoneTo]]+1,Tasks[[#This Row],[Start]])))</f>
        <v/>
      </c>
      <c r="GX153" s="88">
        <f>IF(Tasks[[#This Row],[_RemFrom]]=0,0,Tasks[[#This Row],[Finish]])</f>
        <v/>
      </c>
      <c r="GY153" s="42">
        <f>IF(Tasks[[#This Row],[Task Name]]="",FALSE(),OR(NOT(BaselineSet),N(Tasks[[#This Row],[Baseline Start]])&gt;0))</f>
        <v/>
      </c>
      <c r="GZ153" s="42">
        <f>IF(AND(Sandbox="Yes",L_PARSE_DURATION(Tasks[[#This Row],[Sandbox Duration]])&lt;&gt;""),L_PARSE_DURATION(Tasks[[#This Row],[Sandbox Duration]]),L_PARSE_DURATION(Tasks[[#This Row],[Duration]]))</f>
        <v/>
      </c>
      <c r="HA15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3" s="42">
        <f>IF(Tasks[[#This Row],[_IsLeaf]]=1,Tasks[[#This Row],[_Row]],"")</f>
        <v/>
      </c>
      <c r="HD153" s="42">
        <f>IFERROR(INDEX(Tasks[UID],SMALL(Tasks[_PickKey],Tasks[[#This Row],[_Row]]))&amp;" "&amp;INDEX(Tasks[Task Name],SMALL(Tasks[_PickKey],Tasks[[#This Row],[_Row]])),"")</f>
        <v/>
      </c>
      <c r="HE153" s="42">
        <f>IF(Tasks[[#This Row],[Task Name]]="","",IF(Tasks[[#This Row],[_IsSummary]],NETWORKDAYS.INTL(Tasks[[#This Row],[Start]],Tasks[[#This Row],[Finish]],WorkWeek,Holidays),N(Tasks[[#This Row],[_Days]])))</f>
        <v/>
      </c>
      <c r="HF153" s="42">
        <f>IF(Tasks[[#This Row],[Expected]]="",0,((Tasks[[#This Row],[Pessimistic]]-Tasks[[#This Row],[Optimistic]])/6)^2)</f>
        <v/>
      </c>
      <c r="HG153" s="42">
        <f>IF(Tasks[[#This Row],[Expected]]="",0,Tasks[[#This Row],[Expected]]-N(Tasks[[#This Row],[_Days]]))</f>
        <v/>
      </c>
    </row>
    <row r="154">
      <c r="A154" s="21">
        <f>IF(Tasks[[#This Row],[Task Name]]="","",COUNTA(Tasks[[#Headers],[Task Name]]:Tasks[[#This Row],[Task Name]])-1)</f>
        <v/>
      </c>
      <c r="B154" s="22" t="n">
        <v>162</v>
      </c>
      <c r="C154" s="22" t="n"/>
      <c r="D154" s="23" t="n"/>
      <c r="E154" s="22" t="n"/>
      <c r="F154" s="23" t="n"/>
      <c r="G154" s="22" t="n"/>
      <c r="H154" s="22" t="n"/>
      <c r="I154" s="23" t="n"/>
      <c r="J154" s="22" t="n"/>
      <c r="K154" s="22" t="n"/>
      <c r="L154" s="23" t="n"/>
      <c r="M154" s="22" t="n"/>
      <c r="N154" s="22" t="n"/>
      <c r="O154" s="23" t="n"/>
      <c r="P154" s="22" t="n"/>
      <c r="Q154" s="22" t="n"/>
      <c r="R154" s="23" t="n"/>
      <c r="S154" s="23" t="n"/>
      <c r="T154" s="82" t="n"/>
      <c r="U154" s="23" t="n"/>
      <c r="V154" s="82" t="n"/>
      <c r="W154" s="23" t="n"/>
      <c r="X154" s="82" t="n"/>
      <c r="Y154" s="23" t="n"/>
      <c r="Z154" s="82" t="n"/>
      <c r="AA154" s="23" t="n"/>
      <c r="AB154" s="23" t="n"/>
      <c r="AC154" s="7" t="n"/>
      <c r="AD154" s="7" t="n"/>
      <c r="AE154" s="61">
        <f>IF(Tasks[[#This Row],[Task Name]]="","",IF(Tasks[[#This Row],[_IsSummary]],MIN(INDEX(Tasks[_ShownFcstStart],Tasks[[#This Row],[_Row]]+1):INDEX(Tasks[_ShownFcstStart],Tasks[[#This Row],[_Row]]+Tasks[[#This Row],[_Descendants]])),Tasks[[#This Row],[_ShownFcstStart]]))</f>
        <v/>
      </c>
      <c r="AF154" s="61">
        <f>IF(Tasks[[#This Row],[Task Name]]="","",IF(Tasks[[#This Row],[_IsSummary]],MAX(INDEX(Tasks[_ShownFcstFinish],Tasks[[#This Row],[_Row]]+1):INDEX(Tasks[_ShownFcstFinish],Tasks[[#This Row],[_Row]]+Tasks[[#This Row],[_Descendants]])),Tasks[[#This Row],[_ShownFcstFinish]]))</f>
        <v/>
      </c>
      <c r="AG154" s="21">
        <f>""</f>
        <v/>
      </c>
      <c r="AH154" s="23" t="n"/>
      <c r="AI15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4" s="7" t="n"/>
      <c r="AK154" s="22" t="n"/>
      <c r="AL154" s="23" t="n"/>
      <c r="AM154" s="7" t="n"/>
      <c r="AN154" s="21">
        <f>IF(Tasks[[#This Row],[Task Name]]="","",IF(Tasks[[#This Row],[Finish]]&gt;=Tasks[[#This Row],[Planned Finish]],NETWORKDAYS.INTL(Tasks[[#This Row],[Planned Finish]],Tasks[[#This Row],[Finish]],WorkWeek,Holidays)-1,1-NETWORKDAYS.INTL(Tasks[[#This Row],[Finish]],Tasks[[#This Row],[Planned Finish]],WorkWeek,Holidays)))</f>
        <v/>
      </c>
      <c r="AO154" s="21">
        <f>IF(Tasks[[#This Row],[Task Name]]="","",IF(Tasks[[#This Row],[Progress]]&gt;=1,"Complete",IF(OR(N(Tasks[[#This Row],[Actual Start]])&gt;0,Tasks[[#This Row],[Progress]]&gt;0),IF(Tasks[[#This Row],[Finish Var]]&gt;0,"Behind","In Progress"),IF(Tasks[[#This Row],[Planned Start]]&lt;StatusDate,"Late Start","Not Started"))))</f>
        <v/>
      </c>
      <c r="AP154" s="21">
        <f>IF(Tasks[[#This Row],[Task Name]]="","",IF(IF(Tasks[[#This Row],[_IsSummary]],COUNTIF(INDEX(Tasks[_LeafCritical],Tasks[[#This Row],[_Row]]+1):INDEX(Tasks[_LeafCritical],Tasks[[#This Row],[_Row]]+Tasks[[#This Row],[_Descendants]]),TRUE())&gt;0,Tasks[[#This Row],[_LeafCritical]]),"Yes",""))</f>
        <v/>
      </c>
      <c r="AQ154" s="61">
        <f>IF(Tasks[[#This Row],[Task Name]]="","",IF(N(Tasks[[#This Row],[Baseline Start]])&gt;0,Tasks[[#This Row],[Baseline Start]],Tasks[[#This Row],[_CalcStart]]))</f>
        <v/>
      </c>
      <c r="AR154" s="61">
        <f>IF(Tasks[[#This Row],[Task Name]]="","",IF(N(Tasks[[#This Row],[Baseline Finish]])&gt;0,Tasks[[#This Row],[Baseline Finish]],Tasks[[#This Row],[_CalcFinish]]))</f>
        <v/>
      </c>
      <c r="AS154" s="21">
        <f>IF(Tasks[[#This Row],[Task Name]]="","",IF(Tasks[[#This Row],[Start]]&gt;=Tasks[[#This Row],[Planned Start]],NETWORKDAYS.INTL(Tasks[[#This Row],[Planned Start]],Tasks[[#This Row],[Start]],WorkWeek,Holidays)-1,1-NETWORKDAYS.INTL(Tasks[[#This Row],[Start]],Tasks[[#This Row],[Planned Start]],WorkWeek,Holidays)))</f>
        <v/>
      </c>
      <c r="AT154" s="61">
        <f>IF(Tasks[[#This Row],[Task Name]]="","",IF(Tasks[[#This Row],[_IsSummary]],MIN(INDEX(Tasks[_LeafLateStart],Tasks[[#This Row],[_Row]]+1):INDEX(Tasks[_LeafLateStart],Tasks[[#This Row],[_Row]]+Tasks[[#This Row],[_Descendants]])),Tasks[[#This Row],[_LeafLateStart]]))</f>
        <v/>
      </c>
      <c r="AU154" s="61">
        <f>IF(Tasks[[#This Row],[Task Name]]="","",IF(Tasks[[#This Row],[_IsSummary]],MAX(INDEX(Tasks[_LeafLateFinish],Tasks[[#This Row],[_Row]]+1):INDEX(Tasks[_LeafLateFinish],Tasks[[#This Row],[_Row]]+Tasks[[#This Row],[_Descendants]])),Tasks[[#This Row],[_LeafLateFinish]]))</f>
        <v/>
      </c>
      <c r="AV154" s="21">
        <f>IF(Tasks[[#This Row],[Task Name]]="","",IF(Tasks[[#This Row],[_IsSummary]],MIN(INDEX(Tasks[_LeafTotalSlack],Tasks[[#This Row],[_Row]]+1):INDEX(Tasks[_LeafTotalSlack],Tasks[[#This Row],[_Row]]+Tasks[[#This Row],[_Descendants]])),Tasks[[#This Row],[_LeafTotalSlack]]))</f>
        <v/>
      </c>
      <c r="AW15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3" t="n"/>
      <c r="BA15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f>IF(Tasks[[#This Row],[Task Name]]="","",IF(Tasks[[#This Row],[_Level]]&lt;=OutlineShowLevel,"Yes","No"))</f>
        <v/>
      </c>
      <c r="BE154" s="84">
        <f>IF(Tasks[[#This Row],[Task Name]]="","",IF(Tasks[[#This Row],[_IsSummary]],SUM(INDEX(Tasks[_LeafTotalWork],Tasks[[#This Row],[_Row]]+1):INDEX(Tasks[_LeafTotalWork],Tasks[[#This Row],[_Row]]+Tasks[[#This Row],[_Descendants]])),Tasks[[#This Row],[_LeafTotalWork]]))</f>
        <v/>
      </c>
      <c r="BF154" s="23" t="n"/>
      <c r="BG15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f>""</f>
        <v/>
      </c>
      <c r="BI154" s="85" t="n"/>
      <c r="BJ154" s="22" t="n"/>
      <c r="BK154" s="21">
        <f>IF(OR(Tasks[[#This Row],[Task Name]]="",Tasks[[#This Row],[Baseline Duration]]=""),"",Tasks[[#This Row],[_SpanDays]]-N(Tasks[[#This Row],[Baseline Duration]]))</f>
        <v/>
      </c>
      <c r="BL154" s="84">
        <f>IF(OR(Tasks[[#This Row],[Task Name]]="",Tasks[[#This Row],[Baseline Work]]=""),"",Tasks[[#This Row],[Work]]-N(Tasks[[#This Row],[Baseline Work]]))</f>
        <v/>
      </c>
      <c r="BM154" s="61">
        <f>IF(Tasks[[#This Row],[Task Name]]="","",IF(OR(TakeBaseline="Yes",N(Tasks[[#This Row],[Baseline Start]])=0),Tasks[[#This Row],[Start]],Tasks[[#This Row],[Baseline Start]]))</f>
        <v/>
      </c>
      <c r="BN154" s="61">
        <f>IF(Tasks[[#This Row],[Task Name]]="","",IF(OR(TakeBaseline="Yes",N(Tasks[[#This Row],[Baseline Finish]])=0),Tasks[[#This Row],[Finish]],Tasks[[#This Row],[Baseline Finish]]))</f>
        <v/>
      </c>
      <c r="BO154" s="21">
        <f>IF(Tasks[[#This Row],[Task Name]]="","",IF(OR(TakeBaseline="Yes",N(Tasks[[#This Row],[Baseline Duration]])=0),Tasks[[#This Row],[_SpanDays]],Tasks[[#This Row],[Baseline Duration]]))</f>
        <v/>
      </c>
      <c r="BP154" s="84">
        <f>IF(Tasks[[#This Row],[Task Name]]="","",IF(OR(TakeBaseline="Yes",N(Tasks[[#This Row],[Baseline Work]])=0),Tasks[[#This Row],[Work]],Tasks[[#This Row],[Baseline Work]]))</f>
        <v/>
      </c>
      <c r="BQ154" s="7" t="n"/>
      <c r="BR154" s="7" t="n"/>
      <c r="BS154" s="22" t="n"/>
      <c r="BT154" s="86" t="n"/>
      <c r="BU154" s="23" t="n"/>
      <c r="BV154" s="23" t="n"/>
      <c r="BW154" s="23" t="n"/>
      <c r="BX154" s="87">
        <f>IF(AND(Tasks[[#This Row],[_IsLeaf]]=1,ISNUMBER(Tasks[[#This Row],[Optimistic]]),ISNUMBER(Tasks[[#This Row],[Pessimistic]])),ROUND((Tasks[[#This Row],[Optimistic]]+4*N(Tasks[[#This Row],[_Days]])+Tasks[[#This Row],[Pessimistic]])/6,1),"")</f>
        <v/>
      </c>
      <c r="BY154" s="85" t="n"/>
      <c r="BZ154" s="85" t="n"/>
      <c r="CA154" s="22" t="n"/>
      <c r="CB154" s="42">
        <f>IF(Tasks[[#This Row],[Task Name]]="","",MAX(1,N(Tasks[[#This Row],[Level]])))</f>
        <v/>
      </c>
      <c r="CC154" s="42">
        <f>ROW()-ROW(Tasks[[#Headers],[ID]])</f>
        <v/>
      </c>
      <c r="CD154" s="42">
        <f>IF(OR(Tasks[[#This Row],[Task Name]]="",Tasks[[#This Row],[_Level]]&lt;=1),0,IFERROR(LOOKUP(2,1/(Tasks[[#Headers],[_Level]]:Tasks[[#This Row],[_Level]]=Tasks[[#This Row],[_Level]]-1),ROW(Tasks[[#Headers],[_Level]]:Tasks[[#This Row],[_Level]])),0))</f>
        <v/>
      </c>
      <c r="CE154" s="42">
        <f>IFERROR(N(INDEX(Tasks[_Level],Tasks[[#This Row],[_Row]]+1)),0)</f>
        <v/>
      </c>
      <c r="CF154" s="42">
        <f>AND(Tasks[[#This Row],[Task Name]]&lt;&gt;"",Tasks[[#This Row],[_NextLevel]]&gt;Tasks[[#This Row],[_Level]])</f>
        <v/>
      </c>
      <c r="CG154" s="42">
        <f>IF(Tasks[[#This Row],[_IsSummary]],COUNTIF(Tasks[WBS],Tasks[[#This Row],[WBS]]&amp;".*"),0)</f>
        <v/>
      </c>
      <c r="CH154" s="42">
        <f>IF(AND(Tasks[[#This Row],[Task Name]]&lt;&gt;"",NOT(Tasks[[#This Row],[_IsSummary]])),1,0)</f>
        <v/>
      </c>
      <c r="CI154" s="42">
        <f>IF(N(Tasks[[#This Row],[_Pred1UID]])=0,0,IFERROR(MATCH(Tasks[[#This Row],[_Pred1UID]],Tasks[UID],0),-1))</f>
        <v/>
      </c>
      <c r="CJ154" s="42">
        <f>IF(N(Tasks[[#This Row],[_Pred2UID]])=0,0,IFERROR(MATCH(Tasks[[#This Row],[_Pred2UID]],Tasks[UID],0),-1))</f>
        <v/>
      </c>
      <c r="CK154" s="42">
        <f>IF(N(Tasks[[#This Row],[_Pred3UID]])=0,0,IFERROR(MATCH(Tasks[[#This Row],[_Pred3UID]],Tasks[UID],0),-1))</f>
        <v/>
      </c>
      <c r="CL154" s="42">
        <f>IF(N(Tasks[[#This Row],[_Pred4UID]])=0,0,IFERROR(MATCH(Tasks[[#This Row],[_Pred4UID]],Tasks[UID],0),-1))</f>
        <v/>
      </c>
      <c r="CM15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4" s="88">
        <f>IF(N(Tasks[[#This Row],[Constraint Date]])=0,0,IF(AND(OR(Tasks[[#This Row],[_ConstraintCode]]=3,Tasks[[#This Row],[_ConstraintCode]]=6,Tasks[[#This Row],[_ConstraintCode]]=7),N(Tasks[[#This Row],[_Days]])&gt;1),WORKDAY.INTL(N(Tasks[[#This Row],[Constraint Date]]),-(N(Tasks[[#This Row],[_Days]])-1),WorkWeek,Holidays),N(Tasks[[#This Row],[Constraint Date]])))</f>
        <v/>
      </c>
      <c r="CO154" s="88">
        <f>IF(OR(Tasks[[#This Row],[_ConstraintCode]]=2,Tasks[[#This Row],[_ConstraintCode]]=3,Tasks[[#This Row],[_ConstraintCode]]=4,Tasks[[#This Row],[_ConstraintCode]]=6),Tasks[[#This Row],[_ConstraintStart]],0)</f>
        <v/>
      </c>
      <c r="CP154" s="88">
        <f>IF(OR(Tasks[[#This Row],[_ConstraintCode]]=2,Tasks[[#This Row],[_ConstraintCode]]=3,Tasks[[#This Row],[_ConstraintCode]]=5,Tasks[[#This Row],[_ConstraintCode]]=7),Tasks[[#This Row],[_ConstraintStart]],2958465)</f>
        <v/>
      </c>
      <c r="CQ15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4" s="88">
        <f>IF(NOT(Tasks[[#This Row],[_IsLeaf]]=1),"",IF(N(Tasks[[#This Row],[_Days]])&lt;=0,Tasks[[#This Row],[_LeafCalcStart]],WORKDAY.INTL(Tasks[[#This Row],[_LeafCalcStart]],Tasks[[#This Row],[_Days]]-1,WorkWeek,Holidays)))</f>
        <v/>
      </c>
      <c r="CS15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4" s="42">
        <f>IF(Tasks[[#This Row],[_Predecessors]]="","",TRIM(MID(SUBSTITUTE(SUBSTITUTE(SUBSTITUTE(UPPER(Tasks[[#This Row],[_Predecessors]]),";",",")," ",""),",",REPT(" ",99)),1,99)))</f>
        <v/>
      </c>
      <c r="CV154" s="42">
        <f>IF(Tasks[[#This Row],[_Pred1Text]]="","",IFERROR(VALUE(LEFT(Tasks[[#This Row],[_Pred1Text]],MIN(FIND("F",Tasks[[#This Row],[_Pred1Text]]&amp;"F"),FIND("S",Tasks[[#This Row],[_Pred1Text]]&amp;"S"),FIND("+",Tasks[[#This Row],[_Pred1Text]]&amp;"+"),FIND("-",Tasks[[#This Row],[_Pred1Text]]&amp;"-"))-1)),""))</f>
        <v/>
      </c>
      <c r="CW15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4" s="42">
        <f>IF(Tasks[[#This Row],[_Pred1Text]]="","",TRIM(MID(SUBSTITUTE(SUBSTITUTE(SUBSTITUTE(UPPER(Tasks[[#This Row],[_Predecessors]]),";",",")," ",""),",",REPT(" ",99)),100,99)))</f>
        <v/>
      </c>
      <c r="CZ154" s="42">
        <f>IF(Tasks[[#This Row],[_Pred2Text]]="","",IFERROR(VALUE(LEFT(Tasks[[#This Row],[_Pred2Text]],MIN(FIND("F",Tasks[[#This Row],[_Pred2Text]]&amp;"F"),FIND("S",Tasks[[#This Row],[_Pred2Text]]&amp;"S"),FIND("+",Tasks[[#This Row],[_Pred2Text]]&amp;"+"),FIND("-",Tasks[[#This Row],[_Pred2Text]]&amp;"-"))-1)),""))</f>
        <v/>
      </c>
      <c r="DA15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4" s="42">
        <f>IF(Tasks[[#This Row],[_Pred2Text]]="","",TRIM(MID(SUBSTITUTE(SUBSTITUTE(SUBSTITUTE(UPPER(Tasks[[#This Row],[_Predecessors]]),";",",")," ",""),",",REPT(" ",99)),199,99)))</f>
        <v/>
      </c>
      <c r="DD154" s="42">
        <f>IF(Tasks[[#This Row],[_Pred3Text]]="","",IFERROR(VALUE(LEFT(Tasks[[#This Row],[_Pred3Text]],MIN(FIND("F",Tasks[[#This Row],[_Pred3Text]]&amp;"F"),FIND("S",Tasks[[#This Row],[_Pred3Text]]&amp;"S"),FIND("+",Tasks[[#This Row],[_Pred3Text]]&amp;"+"),FIND("-",Tasks[[#This Row],[_Pred3Text]]&amp;"-"))-1)),""))</f>
        <v/>
      </c>
      <c r="DE15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4" s="42">
        <f>IF(Tasks[[#This Row],[_Pred3Text]]="","",TRIM(MID(SUBSTITUTE(SUBSTITUTE(SUBSTITUTE(UPPER(Tasks[[#This Row],[_Predecessors]]),";",",")," ",""),",",REPT(" ",99)),298,99)))</f>
        <v/>
      </c>
      <c r="DH154" s="42">
        <f>IF(Tasks[[#This Row],[_Pred4Text]]="","",IFERROR(VALUE(LEFT(Tasks[[#This Row],[_Pred4Text]],MIN(FIND("F",Tasks[[#This Row],[_Pred4Text]]&amp;"F"),FIND("S",Tasks[[#This Row],[_Pred4Text]]&amp;"S"),FIND("+",Tasks[[#This Row],[_Pred4Text]]&amp;"+"),FIND("-",Tasks[[#This Row],[_Pred4Text]]&amp;"-"))-1)),""))</f>
        <v/>
      </c>
      <c r="DI15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4" s="42">
        <f>IF(OR(Tasks[[#This Row],[Task Name]]="",Tasks[[#This Row],[_Resources]]=""),"",TRIM(MID(SUBSTITUTE(Tasks[[#This Row],[_Resources]],",",REPT(" ",99)),1,99)))</f>
        <v/>
      </c>
      <c r="DL154" s="42">
        <f>IF(Tasks[[#This Row],[_Res1Text]]="","",TRIM(MID(SUBSTITUTE(Tasks[[#This Row],[_Resources]],",",REPT(" ",99)),100,99)))</f>
        <v/>
      </c>
      <c r="DM154" s="42">
        <f>IF(Tasks[[#This Row],[_Res2Text]]="","",TRIM(MID(SUBSTITUTE(Tasks[[#This Row],[_Resources]],",",REPT(" ",99)),199,99)))</f>
        <v/>
      </c>
      <c r="DN154" s="42">
        <f>IF(Tasks[[#This Row],[_Res3Text]]="","",TRIM(MID(SUBSTITUTE(Tasks[[#This Row],[_Resources]],",",REPT(" ",99)),298,99)))</f>
        <v/>
      </c>
      <c r="DO154" s="42">
        <f>IF(Tasks[[#This Row],[_Res1Text]]="",0,IFERROR(MATCH(TRIM(LEFT(Tasks[[#This Row],[_Res1Text]],FIND("[",Tasks[[#This Row],[_Res1Text]]&amp;"[")-1)),res_Name,0),IFERROR(MATCH(TRIM(LEFT(Tasks[[#This Row],[_Res1Text]],FIND("[",Tasks[[#This Row],[_Res1Text]]&amp;"[")-1)),res_Initials,0),0)))</f>
        <v/>
      </c>
      <c r="DP154" s="42">
        <f>IF(Tasks[[#This Row],[_Res2Text]]="",0,IFERROR(MATCH(TRIM(LEFT(Tasks[[#This Row],[_Res2Text]],FIND("[",Tasks[[#This Row],[_Res2Text]]&amp;"[")-1)),res_Name,0),IFERROR(MATCH(TRIM(LEFT(Tasks[[#This Row],[_Res2Text]],FIND("[",Tasks[[#This Row],[_Res2Text]]&amp;"[")-1)),res_Initials,0),0)))</f>
        <v/>
      </c>
      <c r="DQ154" s="42">
        <f>IF(Tasks[[#This Row],[_Res3Text]]="",0,IFERROR(MATCH(TRIM(LEFT(Tasks[[#This Row],[_Res3Text]],FIND("[",Tasks[[#This Row],[_Res3Text]]&amp;"[")-1)),res_Name,0),IFERROR(MATCH(TRIM(LEFT(Tasks[[#This Row],[_Res3Text]],FIND("[",Tasks[[#This Row],[_Res3Text]]&amp;"[")-1)),res_Initials,0),0)))</f>
        <v/>
      </c>
      <c r="DR154" s="42">
        <f>IF(Tasks[[#This Row],[_Res4Text]]="",0,IFERROR(MATCH(TRIM(LEFT(Tasks[[#This Row],[_Res4Text]],FIND("[",Tasks[[#This Row],[_Res4Text]]&amp;"[")-1)),res_Name,0),IFERROR(MATCH(TRIM(LEFT(Tasks[[#This Row],[_Res4Text]],FIND("[",Tasks[[#This Row],[_Res4Text]]&amp;"[")-1)),res_Initials,0),0)))</f>
        <v/>
      </c>
      <c r="DS154" s="42">
        <f>IF(Tasks[[#This Row],[_Res1Text]]="","",IF(Tasks[[#This Row],[_Res1Row]]&gt;0,INDEX(res_Name,Tasks[[#This Row],[_Res1Row]]),TRIM(LEFT(Tasks[[#This Row],[_Res1Text]],FIND("[",Tasks[[#This Row],[_Res1Text]]&amp;"[")-1))))</f>
        <v/>
      </c>
      <c r="DT15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4" s="42">
        <f>IF(NOT(Tasks[[#This Row],[_IsLeaf]]=1),0,(Tasks[[#This Row],[_Resource1]]&lt;&gt;"")+(Tasks[[#This Row],[_Res2]]&lt;&gt;"")+(Tasks[[#This Row],[_Res3]]&lt;&gt;"")+(Tasks[[#This Row],[_Res4]]&lt;&gt;""))</f>
        <v/>
      </c>
      <c r="DV154" s="42">
        <f>IF(Tasks[[#This Row],[_Res2Text]]="","",IF(Tasks[[#This Row],[_Res2Row]]&gt;0,INDEX(res_Name,Tasks[[#This Row],[_Res2Row]]),TRIM(LEFT(Tasks[[#This Row],[_Res2Text]],FIND("[",Tasks[[#This Row],[_Res2Text]]&amp;"[")-1))))</f>
        <v/>
      </c>
      <c r="DW15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4" s="42">
        <f>IF(OR(NOT(Tasks[[#This Row],[_IsLeaf]]=1),Tasks[[#This Row],[_Res2Row]]=0),0,N(Tasks[[#This Row],[_Days]])*HoursPerDay*IF(Tasks[[#This Row],[_Res2Units]]="",DefaultUnits,Tasks[[#This Row],[_Res2Units]]))</f>
        <v/>
      </c>
      <c r="DY154" s="42">
        <f>IF(AND(AND(Tasks[[#This Row],[_IsLeaf]]=1,Tasks[[#This Row],[_LeafTotalWork]]&gt;0),Tasks[[#This Row],[_Res2Work]]&gt;0),Tasks[[#This Row],[_Res2Work]]/(Tasks[[#This Row],[_FinishWorkday]]-Tasks[[#This Row],[_StartWorkday]]+1),0)</f>
        <v/>
      </c>
      <c r="DZ154" s="42">
        <f>Tasks[[#This Row],[_Res2WorkPerWD]]*MAX(0,Tasks[[#This Row],[_StartWorkday]]-1)</f>
        <v/>
      </c>
      <c r="EA154" s="42">
        <f>Tasks[[#This Row],[_Res2Work]]*Tasks[[#This Row],[_LeafProgress]]</f>
        <v/>
      </c>
      <c r="EB154" s="42">
        <f>IF(Tasks[[#This Row],[_Res3Text]]="","",IF(Tasks[[#This Row],[_Res3Row]]&gt;0,INDEX(res_Name,Tasks[[#This Row],[_Res3Row]]),TRIM(LEFT(Tasks[[#This Row],[_Res3Text]],FIND("[",Tasks[[#This Row],[_Res3Text]]&amp;"[")-1))))</f>
        <v/>
      </c>
      <c r="EC15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4" s="42">
        <f>IF(OR(NOT(Tasks[[#This Row],[_IsLeaf]]=1),Tasks[[#This Row],[_Res3Row]]=0),0,N(Tasks[[#This Row],[_Days]])*HoursPerDay*IF(Tasks[[#This Row],[_Res3Units]]="",DefaultUnits,Tasks[[#This Row],[_Res3Units]]))</f>
        <v/>
      </c>
      <c r="EE154" s="42">
        <f>IF(AND(AND(Tasks[[#This Row],[_IsLeaf]]=1,Tasks[[#This Row],[_LeafTotalWork]]&gt;0),Tasks[[#This Row],[_Res3Work]]&gt;0),Tasks[[#This Row],[_Res3Work]]/(Tasks[[#This Row],[_FinishWorkday]]-Tasks[[#This Row],[_StartWorkday]]+1),0)</f>
        <v/>
      </c>
      <c r="EF154" s="42">
        <f>Tasks[[#This Row],[_Res3WorkPerWD]]*MAX(0,Tasks[[#This Row],[_StartWorkday]]-1)</f>
        <v/>
      </c>
      <c r="EG154" s="42">
        <f>Tasks[[#This Row],[_Res3Work]]*Tasks[[#This Row],[_LeafProgress]]</f>
        <v/>
      </c>
      <c r="EH154" s="42">
        <f>IF(Tasks[[#This Row],[_Res4Text]]="","",IF(Tasks[[#This Row],[_Res4Row]]&gt;0,INDEX(res_Name,Tasks[[#This Row],[_Res4Row]]),TRIM(LEFT(Tasks[[#This Row],[_Res4Text]],FIND("[",Tasks[[#This Row],[_Res4Text]]&amp;"[")-1))))</f>
        <v/>
      </c>
      <c r="EI15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4" s="42">
        <f>IF(OR(NOT(Tasks[[#This Row],[_IsLeaf]]=1),Tasks[[#This Row],[_Res4Row]]=0),0,N(Tasks[[#This Row],[_Days]])*HoursPerDay*IF(Tasks[[#This Row],[_Res4Units]]="",DefaultUnits,Tasks[[#This Row],[_Res4Units]]))</f>
        <v/>
      </c>
      <c r="EK154" s="42">
        <f>IF(AND(AND(Tasks[[#This Row],[_IsLeaf]]=1,Tasks[[#This Row],[_LeafTotalWork]]&gt;0),Tasks[[#This Row],[_Res4Work]]&gt;0),Tasks[[#This Row],[_Res4Work]]/(Tasks[[#This Row],[_FinishWorkday]]-Tasks[[#This Row],[_StartWorkday]]+1),0)</f>
        <v/>
      </c>
      <c r="EL154" s="42">
        <f>Tasks[[#This Row],[_Res4WorkPerWD]]*MAX(0,Tasks[[#This Row],[_StartWorkday]]-1)</f>
        <v/>
      </c>
      <c r="EM154" s="42">
        <f>Tasks[[#This Row],[_Res4Work]]*Tasks[[#This Row],[_LeafProgress]]</f>
        <v/>
      </c>
      <c r="EN154" s="42">
        <f>IF(ISNUMBER(Tasks[[#This Row],[% Complete]]),Tasks[[#This Row],[% Complete]],IF(Tasks[[#This Row],[Stage]]="",0,IFERROR(INDEX(stg_Pct,MATCH(Tasks[[#This Row],[Stage]],stg_Name,0)),0)))</f>
        <v/>
      </c>
      <c r="EO154" s="42">
        <f>IF(NOT(Tasks[[#This Row],[_IsLeaf]]=1),0,IF(N(Tasks[[#This Row],[Actual Finish]])&gt;0,1,MIN(1,Tasks[[#This Row],[_Pct]])))</f>
        <v/>
      </c>
      <c r="EP154" s="42">
        <f>IF(OR(NOT(Tasks[[#This Row],[_IsLeaf]]=1),Tasks[[#This Row],[_Res1Row]]=0),0,N(Tasks[[#This Row],[_Days]])*HoursPerDay*IF(Tasks[[#This Row],[_Units1]]="",DefaultUnits,Tasks[[#This Row],[_Units1]]))</f>
        <v/>
      </c>
      <c r="EQ154" s="42">
        <f>Tasks[[#This Row],[_LeafWork]]+Tasks[[#This Row],[_Res2Work]]+Tasks[[#This Row],[_Res3Work]]+Tasks[[#This Row],[_Res4Work]]</f>
        <v/>
      </c>
      <c r="ER15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4" s="42">
        <f>IF(NOT(Tasks[[#This Row],[_IsLeaf]]=1),0,MAX(_xlfn.MAXIFS(Tasks[_Row],Tasks[_Pred1UID],Tasks[[#This Row],[UID]]),_xlfn.MAXIFS(Tasks[_Row],Tasks[_Pred2UID],Tasks[[#This Row],[UID]]),_xlfn.MAXIFS(Tasks[_Row],Tasks[_Pred3UID],Tasks[[#This Row],[UID]]),_xlfn.MAXIFS(Tasks[_Row],Tasks[_Pred4UID],Tasks[[#This Row],[UID]])))</f>
        <v/>
      </c>
      <c r="FA15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4" s="88">
        <f>IF(NOT(Tasks[[#This Row],[_IsLeaf]]=1),"",IF(N(Tasks[[#This Row],[_Days]])&lt;=0,Tasks[[#This Row],[_LeafLateFinish]],WORKDAY.INTL(Tasks[[#This Row],[_LeafLateFinish]],-(Tasks[[#This Row],[_Days]]-1),WorkWeek,Holidays)))</f>
        <v/>
      </c>
      <c r="FD15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4" s="42">
        <f>AND(Tasks[[#This Row],[_IsLeaf]]=1,Tasks[[#This Row],[_LeafProgress]]&lt;1,N(Tasks[[#This Row],[_LeafTotalSlack]])&lt;=CriticalSlackDays)</f>
        <v/>
      </c>
      <c r="FF154" s="42">
        <f>IF(AND(Tasks[[#This Row],[_IsLeaf]]=1,Tasks[[#This Row],[_ConstraintCode]]=1,Tasks[[#This Row],[Mode]]&lt;&gt;"Manual",N(Tasks[[#This Row],[Actual Start]])=0),MAX(0,N(Tasks[[#This Row],[Free Slack]])),0)</f>
        <v/>
      </c>
      <c r="FG154" s="88">
        <f>IF(NOT(Tasks[[#This Row],[_IsLeaf]]=1),"",IF(Tasks[[#This Row],[_AlapShift]]=0,Tasks[[#This Row],[_LeafCalcStart]],WORKDAY.INTL(Tasks[[#This Row],[_LeafCalcStart]],Tasks[[#This Row],[_AlapShift]],WorkWeek,Holidays)))</f>
        <v/>
      </c>
      <c r="FH154" s="88">
        <f>IF(NOT(Tasks[[#This Row],[_IsLeaf]]=1),"",IF(Tasks[[#This Row],[_AlapShift]]=0,Tasks[[#This Row],[_LeafCalcFinish]],WORKDAY.INTL(Tasks[[#This Row],[_LeafCalcFinish]],Tasks[[#This Row],[_AlapShift]],WorkWeek,Holidays)))</f>
        <v/>
      </c>
      <c r="FI154" s="88">
        <f>IF(NOT(Tasks[[#This Row],[_IsLeaf]]=1),"",IF(Tasks[[#This Row],[_AlapShift]]=0,Tasks[[#This Row],[_LeafFcstStart]],WORKDAY.INTL(Tasks[[#This Row],[_LeafFcstStart]],Tasks[[#This Row],[_AlapShift]],WorkWeek,Holidays)))</f>
        <v/>
      </c>
      <c r="FJ154" s="88">
        <f>IF(NOT(Tasks[[#This Row],[_IsLeaf]]=1),"",IF(Tasks[[#This Row],[_AlapShift]]=0,Tasks[[#This Row],[_LeafFcstFinish]],WORKDAY.INTL(Tasks[[#This Row],[_LeafFcstFinish]],Tasks[[#This Row],[_AlapShift]],WorkWeek,Holidays)))</f>
        <v/>
      </c>
      <c r="FK154" s="88">
        <f>IF(Tasks[[#This Row],[Task Name]]="","",IF(Tasks[[#This Row],[_IsSummary]],MIN(INDEX(Tasks[_ShownCalcStart],Tasks[[#This Row],[_Row]]+1):INDEX(Tasks[_ShownCalcStart],Tasks[[#This Row],[_Row]]+Tasks[[#This Row],[_Descendants]])),Tasks[[#This Row],[_ShownCalcStart]]))</f>
        <v/>
      </c>
      <c r="FL154" s="88">
        <f>IF(Tasks[[#This Row],[Task Name]]="","",IF(Tasks[[#This Row],[_IsSummary]],MAX(INDEX(Tasks[_ShownCalcFinish],Tasks[[#This Row],[_Row]]+1):INDEX(Tasks[_ShownCalcFinish],Tasks[[#This Row],[_Row]]+Tasks[[#This Row],[_Descendants]])),Tasks[[#This Row],[_ShownCalcFinish]]))</f>
        <v/>
      </c>
      <c r="FM15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4" s="42">
        <f>IF(AND(Tasks[[#This Row],[_IsLeaf]]=1,Tasks[[#This Row],[_LeafTotalWork]]&gt;0),NETWORKDAYS.INTL(ProjectStart,Tasks[[#This Row],[_ShownFcstStart]],WorkWeek,Holidays),0)</f>
        <v/>
      </c>
      <c r="FZ154" s="42">
        <f>IF(AND(Tasks[[#This Row],[_IsLeaf]]=1,Tasks[[#This Row],[_LeafTotalWork]]&gt;0),MAX(Tasks[[#This Row],[_StartWorkday]],NETWORKDAYS.INTL(ProjectStart,Tasks[[#This Row],[_ShownFcstFinish]],WorkWeek,Holidays)),0)</f>
        <v/>
      </c>
      <c r="GA154" s="42">
        <f>IF(AND(Tasks[[#This Row],[_IsLeaf]]=1,Tasks[[#This Row],[_LeafTotalWork]]&gt;0),Tasks[[#This Row],[_LeafWork]]/(Tasks[[#This Row],[_FinishWorkday]]-Tasks[[#This Row],[_StartWorkday]]+1),0)</f>
        <v/>
      </c>
      <c r="GB154" s="42">
        <f>Tasks[[#This Row],[_WorkPerWorkday]]*(Tasks[[#This Row],[_StartWorkday]]-1)</f>
        <v/>
      </c>
      <c r="GC154" s="42">
        <f>IF(Tasks[[#This Row],[_IsLeaf]]=1,MAX(N(Tasks[[#This Row],[_Days]]),0.1),0)</f>
        <v/>
      </c>
      <c r="GD154" s="42">
        <f>Tasks[[#This Row],[_WeightDur]]*Tasks[[#This Row],[_LeafProgress]]</f>
        <v/>
      </c>
      <c r="GE154" s="42">
        <f>Tasks[[#This Row],[_WeightDur]]*Tasks[[#This Row],[_PlannedPct]]</f>
        <v/>
      </c>
      <c r="GF15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4" s="42">
        <f>IF(AND(Tasks[[#This Row],[_IsLeaf]]=1,N(Tasks[[#This Row],[_Days]])=0,Tasks[[#This Row],[_LeafProgress]]&lt;1),Tasks[[#This Row],[_ShownFcstFinish]]+Tasks[[#This Row],[_Row]]/100000,"")</f>
        <v/>
      </c>
      <c r="GH15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4" s="42">
        <f>IF(Tasks[[#This Row],[Task Name]]="","",LEFT(Tasks[[#This Row],[WBS]],FIND(".",Tasks[[#This Row],[WBS]]&amp;".")-1))</f>
        <v/>
      </c>
      <c r="GJ154" s="42">
        <f>IF(AND(Tasks[[#This Row],[Task Name]]&lt;&gt;"",Tasks[[#This Row],[_Level]]=1),Tasks[[#This Row],[_Row]],"")</f>
        <v/>
      </c>
      <c r="GK154" s="42">
        <f>IF(AND(Tasks[[#This Row],[_IsLeaf]]=1,N(Tasks[[#This Row],[_Days]])=0),Tasks[[#This Row],[Planned Finish]]+Tasks[[#This Row],[_Row]]/100000,"")</f>
        <v/>
      </c>
      <c r="GL154" s="42">
        <f>IF(AND(Tasks[[#This Row],[_IsLeaf]]=1,Tasks[[#This Row],[_LeafProgress]]&lt;1,OR(N(Tasks[[#This Row],[Finish Var]])&gt;0,Tasks[[#This Row],[Status]]="Late Start")),MAX(0,Tasks[[#This Row],[Finish Var]])+1-Tasks[[#This Row],[_Row]]/1000000,"")</f>
        <v/>
      </c>
      <c r="GM154" s="42">
        <f>IF(AND(Tasks[[#This Row],[_IsLeaf]]=1,N(Tasks[[#This Row],[Actual Start]])=0,Tasks[[#This Row],[_ShownFcstStart]]&gt;=StatusDate,Tasks[[#This Row],[_ShownFcstStart]]&lt;=LookaheadEnd),Tasks[[#This Row],[_ShownFcstStart]]+Tasks[[#This Row],[_Row]]/100000,"")</f>
        <v/>
      </c>
      <c r="GN154" s="42">
        <f>IF(AND(Tasks[[#This Row],[_IsLeaf]]=1,Tasks[[#This Row],[_LeafProgress]]&lt;1,Tasks[[#This Row],[_ShownFcstFinish]]&gt;=StatusDate,Tasks[[#This Row],[_ShownFcstFinish]]&lt;=LookaheadEnd),Tasks[[#This Row],[_ShownFcstFinish]]+Tasks[[#This Row],[_Row]]/100000,"")</f>
        <v/>
      </c>
      <c r="GO154" s="42">
        <f>IF(Tasks[[#This Row],[_LeafCritical]],Tasks[[#This Row],[_ShownFcstStart]]+Tasks[[#This Row],[_Row]]/100000,"")</f>
        <v/>
      </c>
      <c r="GP154" s="42">
        <f>Tasks[[#This Row],[_LeafWork]]*Tasks[[#This Row],[_LeafProgress]]</f>
        <v/>
      </c>
      <c r="GQ154" s="88">
        <f>IF(AND(Tasks[[#This Row],[_IsLeaf]]=1,Tasks[[#This Row],[_LeafProgress]]&gt;=1),IF(N(Tasks[[#This Row],[Actual Finish]])&gt;0,Tasks[[#This Row],[Actual Finish]],Tasks[[#This Row],[_ShownFcstFinish]]),"")</f>
        <v/>
      </c>
      <c r="GR154" s="42">
        <f>IF(Tasks[[#This Row],[_IsLeaf]]=1,N(Tasks[[#This Row],[Story Points]]),0)</f>
        <v/>
      </c>
      <c r="GS154" s="42">
        <f>""</f>
        <v/>
      </c>
      <c r="GT154" s="42">
        <f>IF(Tasks[[#This Row],[Task Name]]="",FALSE(),AND(Tasks[[#This Row],[_IsLeaf]]=1,N(Tasks[[#This Row],[_Days]])=0))</f>
        <v/>
      </c>
      <c r="GU154" s="88">
        <f>IF(Tasks[[#This Row],[Task Name]]="",0,IF(AND(Tasks[[#This Row],[_IsLeaf]]=1,NOT(Tasks[[#This Row],[_IsMilestone]]),N(Tasks[[#This Row],[Progress]])&gt;0),Tasks[[#This Row],[Start]],0))</f>
        <v/>
      </c>
      <c r="GV154" s="88">
        <f>IF(Tasks[[#This Row],[_DoneFrom]]=0,0,IF(Tasks[[#This Row],[Progress]]&gt;=1,Tasks[[#This Row],[Finish]],MAX(Tasks[[#This Row],[_DoneFrom]],Tasks[[#This Row],[Start]]+ROUND((Tasks[[#This Row],[Finish]]-Tasks[[#This Row],[Start]]+1)*Tasks[[#This Row],[Progress]],0)-1)))</f>
        <v/>
      </c>
      <c r="GW154" s="88">
        <f>IF(Tasks[[#This Row],[Task Name]]="",0,IF(OR(NOT(Tasks[[#This Row],[_IsLeaf]]=1),Tasks[[#This Row],[_IsMilestone]],N(Tasks[[#This Row],[Progress]])&gt;=1),0,IF(Tasks[[#This Row],[_DoneTo]]&gt;0,Tasks[[#This Row],[_DoneTo]]+1,Tasks[[#This Row],[Start]])))</f>
        <v/>
      </c>
      <c r="GX154" s="88">
        <f>IF(Tasks[[#This Row],[_RemFrom]]=0,0,Tasks[[#This Row],[Finish]])</f>
        <v/>
      </c>
      <c r="GY154" s="42">
        <f>IF(Tasks[[#This Row],[Task Name]]="",FALSE(),OR(NOT(BaselineSet),N(Tasks[[#This Row],[Baseline Start]])&gt;0))</f>
        <v/>
      </c>
      <c r="GZ154" s="42">
        <f>IF(AND(Sandbox="Yes",L_PARSE_DURATION(Tasks[[#This Row],[Sandbox Duration]])&lt;&gt;""),L_PARSE_DURATION(Tasks[[#This Row],[Sandbox Duration]]),L_PARSE_DURATION(Tasks[[#This Row],[Duration]]))</f>
        <v/>
      </c>
      <c r="HA15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4" s="42">
        <f>IF(Tasks[[#This Row],[_IsLeaf]]=1,Tasks[[#This Row],[_Row]],"")</f>
        <v/>
      </c>
      <c r="HD154" s="42">
        <f>IFERROR(INDEX(Tasks[UID],SMALL(Tasks[_PickKey],Tasks[[#This Row],[_Row]]))&amp;" "&amp;INDEX(Tasks[Task Name],SMALL(Tasks[_PickKey],Tasks[[#This Row],[_Row]])),"")</f>
        <v/>
      </c>
      <c r="HE154" s="42">
        <f>IF(Tasks[[#This Row],[Task Name]]="","",IF(Tasks[[#This Row],[_IsSummary]],NETWORKDAYS.INTL(Tasks[[#This Row],[Start]],Tasks[[#This Row],[Finish]],WorkWeek,Holidays),N(Tasks[[#This Row],[_Days]])))</f>
        <v/>
      </c>
      <c r="HF154" s="42">
        <f>IF(Tasks[[#This Row],[Expected]]="",0,((Tasks[[#This Row],[Pessimistic]]-Tasks[[#This Row],[Optimistic]])/6)^2)</f>
        <v/>
      </c>
      <c r="HG154" s="42">
        <f>IF(Tasks[[#This Row],[Expected]]="",0,Tasks[[#This Row],[Expected]]-N(Tasks[[#This Row],[_Days]]))</f>
        <v/>
      </c>
    </row>
    <row r="155">
      <c r="A155" s="21">
        <f>IF(Tasks[[#This Row],[Task Name]]="","",COUNTA(Tasks[[#Headers],[Task Name]]:Tasks[[#This Row],[Task Name]])-1)</f>
        <v/>
      </c>
      <c r="B155" s="22" t="n">
        <v>163</v>
      </c>
      <c r="C155" s="22" t="n"/>
      <c r="D155" s="23" t="n"/>
      <c r="E155" s="22" t="n"/>
      <c r="F155" s="23" t="n"/>
      <c r="G155" s="22" t="n"/>
      <c r="H155" s="22" t="n"/>
      <c r="I155" s="23" t="n"/>
      <c r="J155" s="22" t="n"/>
      <c r="K155" s="22" t="n"/>
      <c r="L155" s="23" t="n"/>
      <c r="M155" s="22" t="n"/>
      <c r="N155" s="22" t="n"/>
      <c r="O155" s="23" t="n"/>
      <c r="P155" s="22" t="n"/>
      <c r="Q155" s="22" t="n"/>
      <c r="R155" s="23" t="n"/>
      <c r="S155" s="23" t="n"/>
      <c r="T155" s="82" t="n"/>
      <c r="U155" s="23" t="n"/>
      <c r="V155" s="82" t="n"/>
      <c r="W155" s="23" t="n"/>
      <c r="X155" s="82" t="n"/>
      <c r="Y155" s="23" t="n"/>
      <c r="Z155" s="82" t="n"/>
      <c r="AA155" s="23" t="n"/>
      <c r="AB155" s="23" t="n"/>
      <c r="AC155" s="7" t="n"/>
      <c r="AD155" s="7" t="n"/>
      <c r="AE155" s="61">
        <f>IF(Tasks[[#This Row],[Task Name]]="","",IF(Tasks[[#This Row],[_IsSummary]],MIN(INDEX(Tasks[_ShownFcstStart],Tasks[[#This Row],[_Row]]+1):INDEX(Tasks[_ShownFcstStart],Tasks[[#This Row],[_Row]]+Tasks[[#This Row],[_Descendants]])),Tasks[[#This Row],[_ShownFcstStart]]))</f>
        <v/>
      </c>
      <c r="AF155" s="61">
        <f>IF(Tasks[[#This Row],[Task Name]]="","",IF(Tasks[[#This Row],[_IsSummary]],MAX(INDEX(Tasks[_ShownFcstFinish],Tasks[[#This Row],[_Row]]+1):INDEX(Tasks[_ShownFcstFinish],Tasks[[#This Row],[_Row]]+Tasks[[#This Row],[_Descendants]])),Tasks[[#This Row],[_ShownFcstFinish]]))</f>
        <v/>
      </c>
      <c r="AG155" s="21">
        <f>""</f>
        <v/>
      </c>
      <c r="AH155" s="23" t="n"/>
      <c r="AI15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5" s="7" t="n"/>
      <c r="AK155" s="22" t="n"/>
      <c r="AL155" s="23" t="n"/>
      <c r="AM155" s="7" t="n"/>
      <c r="AN155" s="21">
        <f>IF(Tasks[[#This Row],[Task Name]]="","",IF(Tasks[[#This Row],[Finish]]&gt;=Tasks[[#This Row],[Planned Finish]],NETWORKDAYS.INTL(Tasks[[#This Row],[Planned Finish]],Tasks[[#This Row],[Finish]],WorkWeek,Holidays)-1,1-NETWORKDAYS.INTL(Tasks[[#This Row],[Finish]],Tasks[[#This Row],[Planned Finish]],WorkWeek,Holidays)))</f>
        <v/>
      </c>
      <c r="AO155" s="21">
        <f>IF(Tasks[[#This Row],[Task Name]]="","",IF(Tasks[[#This Row],[Progress]]&gt;=1,"Complete",IF(OR(N(Tasks[[#This Row],[Actual Start]])&gt;0,Tasks[[#This Row],[Progress]]&gt;0),IF(Tasks[[#This Row],[Finish Var]]&gt;0,"Behind","In Progress"),IF(Tasks[[#This Row],[Planned Start]]&lt;StatusDate,"Late Start","Not Started"))))</f>
        <v/>
      </c>
      <c r="AP155" s="21">
        <f>IF(Tasks[[#This Row],[Task Name]]="","",IF(IF(Tasks[[#This Row],[_IsSummary]],COUNTIF(INDEX(Tasks[_LeafCritical],Tasks[[#This Row],[_Row]]+1):INDEX(Tasks[_LeafCritical],Tasks[[#This Row],[_Row]]+Tasks[[#This Row],[_Descendants]]),TRUE())&gt;0,Tasks[[#This Row],[_LeafCritical]]),"Yes",""))</f>
        <v/>
      </c>
      <c r="AQ155" s="61">
        <f>IF(Tasks[[#This Row],[Task Name]]="","",IF(N(Tasks[[#This Row],[Baseline Start]])&gt;0,Tasks[[#This Row],[Baseline Start]],Tasks[[#This Row],[_CalcStart]]))</f>
        <v/>
      </c>
      <c r="AR155" s="61">
        <f>IF(Tasks[[#This Row],[Task Name]]="","",IF(N(Tasks[[#This Row],[Baseline Finish]])&gt;0,Tasks[[#This Row],[Baseline Finish]],Tasks[[#This Row],[_CalcFinish]]))</f>
        <v/>
      </c>
      <c r="AS155" s="21">
        <f>IF(Tasks[[#This Row],[Task Name]]="","",IF(Tasks[[#This Row],[Start]]&gt;=Tasks[[#This Row],[Planned Start]],NETWORKDAYS.INTL(Tasks[[#This Row],[Planned Start]],Tasks[[#This Row],[Start]],WorkWeek,Holidays)-1,1-NETWORKDAYS.INTL(Tasks[[#This Row],[Start]],Tasks[[#This Row],[Planned Start]],WorkWeek,Holidays)))</f>
        <v/>
      </c>
      <c r="AT155" s="61">
        <f>IF(Tasks[[#This Row],[Task Name]]="","",IF(Tasks[[#This Row],[_IsSummary]],MIN(INDEX(Tasks[_LeafLateStart],Tasks[[#This Row],[_Row]]+1):INDEX(Tasks[_LeafLateStart],Tasks[[#This Row],[_Row]]+Tasks[[#This Row],[_Descendants]])),Tasks[[#This Row],[_LeafLateStart]]))</f>
        <v/>
      </c>
      <c r="AU155" s="61">
        <f>IF(Tasks[[#This Row],[Task Name]]="","",IF(Tasks[[#This Row],[_IsSummary]],MAX(INDEX(Tasks[_LeafLateFinish],Tasks[[#This Row],[_Row]]+1):INDEX(Tasks[_LeafLateFinish],Tasks[[#This Row],[_Row]]+Tasks[[#This Row],[_Descendants]])),Tasks[[#This Row],[_LeafLateFinish]]))</f>
        <v/>
      </c>
      <c r="AV155" s="21">
        <f>IF(Tasks[[#This Row],[Task Name]]="","",IF(Tasks[[#This Row],[_IsSummary]],MIN(INDEX(Tasks[_LeafTotalSlack],Tasks[[#This Row],[_Row]]+1):INDEX(Tasks[_LeafTotalSlack],Tasks[[#This Row],[_Row]]+Tasks[[#This Row],[_Descendants]])),Tasks[[#This Row],[_LeafTotalSlack]]))</f>
        <v/>
      </c>
      <c r="AW15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3" t="n"/>
      <c r="BA15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f>IF(Tasks[[#This Row],[Task Name]]="","",IF(Tasks[[#This Row],[_Level]]&lt;=OutlineShowLevel,"Yes","No"))</f>
        <v/>
      </c>
      <c r="BE155" s="84">
        <f>IF(Tasks[[#This Row],[Task Name]]="","",IF(Tasks[[#This Row],[_IsSummary]],SUM(INDEX(Tasks[_LeafTotalWork],Tasks[[#This Row],[_Row]]+1):INDEX(Tasks[_LeafTotalWork],Tasks[[#This Row],[_Row]]+Tasks[[#This Row],[_Descendants]])),Tasks[[#This Row],[_LeafTotalWork]]))</f>
        <v/>
      </c>
      <c r="BF155" s="23" t="n"/>
      <c r="BG15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f>""</f>
        <v/>
      </c>
      <c r="BI155" s="85" t="n"/>
      <c r="BJ155" s="22" t="n"/>
      <c r="BK155" s="21">
        <f>IF(OR(Tasks[[#This Row],[Task Name]]="",Tasks[[#This Row],[Baseline Duration]]=""),"",Tasks[[#This Row],[_SpanDays]]-N(Tasks[[#This Row],[Baseline Duration]]))</f>
        <v/>
      </c>
      <c r="BL155" s="84">
        <f>IF(OR(Tasks[[#This Row],[Task Name]]="",Tasks[[#This Row],[Baseline Work]]=""),"",Tasks[[#This Row],[Work]]-N(Tasks[[#This Row],[Baseline Work]]))</f>
        <v/>
      </c>
      <c r="BM155" s="61">
        <f>IF(Tasks[[#This Row],[Task Name]]="","",IF(OR(TakeBaseline="Yes",N(Tasks[[#This Row],[Baseline Start]])=0),Tasks[[#This Row],[Start]],Tasks[[#This Row],[Baseline Start]]))</f>
        <v/>
      </c>
      <c r="BN155" s="61">
        <f>IF(Tasks[[#This Row],[Task Name]]="","",IF(OR(TakeBaseline="Yes",N(Tasks[[#This Row],[Baseline Finish]])=0),Tasks[[#This Row],[Finish]],Tasks[[#This Row],[Baseline Finish]]))</f>
        <v/>
      </c>
      <c r="BO155" s="21">
        <f>IF(Tasks[[#This Row],[Task Name]]="","",IF(OR(TakeBaseline="Yes",N(Tasks[[#This Row],[Baseline Duration]])=0),Tasks[[#This Row],[_SpanDays]],Tasks[[#This Row],[Baseline Duration]]))</f>
        <v/>
      </c>
      <c r="BP155" s="84">
        <f>IF(Tasks[[#This Row],[Task Name]]="","",IF(OR(TakeBaseline="Yes",N(Tasks[[#This Row],[Baseline Work]])=0),Tasks[[#This Row],[Work]],Tasks[[#This Row],[Baseline Work]]))</f>
        <v/>
      </c>
      <c r="BQ155" s="7" t="n"/>
      <c r="BR155" s="7" t="n"/>
      <c r="BS155" s="22" t="n"/>
      <c r="BT155" s="86" t="n"/>
      <c r="BU155" s="23" t="n"/>
      <c r="BV155" s="23" t="n"/>
      <c r="BW155" s="23" t="n"/>
      <c r="BX155" s="87">
        <f>IF(AND(Tasks[[#This Row],[_IsLeaf]]=1,ISNUMBER(Tasks[[#This Row],[Optimistic]]),ISNUMBER(Tasks[[#This Row],[Pessimistic]])),ROUND((Tasks[[#This Row],[Optimistic]]+4*N(Tasks[[#This Row],[_Days]])+Tasks[[#This Row],[Pessimistic]])/6,1),"")</f>
        <v/>
      </c>
      <c r="BY155" s="85" t="n"/>
      <c r="BZ155" s="85" t="n"/>
      <c r="CA155" s="22" t="n"/>
      <c r="CB155" s="42">
        <f>IF(Tasks[[#This Row],[Task Name]]="","",MAX(1,N(Tasks[[#This Row],[Level]])))</f>
        <v/>
      </c>
      <c r="CC155" s="42">
        <f>ROW()-ROW(Tasks[[#Headers],[ID]])</f>
        <v/>
      </c>
      <c r="CD155" s="42">
        <f>IF(OR(Tasks[[#This Row],[Task Name]]="",Tasks[[#This Row],[_Level]]&lt;=1),0,IFERROR(LOOKUP(2,1/(Tasks[[#Headers],[_Level]]:Tasks[[#This Row],[_Level]]=Tasks[[#This Row],[_Level]]-1),ROW(Tasks[[#Headers],[_Level]]:Tasks[[#This Row],[_Level]])),0))</f>
        <v/>
      </c>
      <c r="CE155" s="42">
        <f>IFERROR(N(INDEX(Tasks[_Level],Tasks[[#This Row],[_Row]]+1)),0)</f>
        <v/>
      </c>
      <c r="CF155" s="42">
        <f>AND(Tasks[[#This Row],[Task Name]]&lt;&gt;"",Tasks[[#This Row],[_NextLevel]]&gt;Tasks[[#This Row],[_Level]])</f>
        <v/>
      </c>
      <c r="CG155" s="42">
        <f>IF(Tasks[[#This Row],[_IsSummary]],COUNTIF(Tasks[WBS],Tasks[[#This Row],[WBS]]&amp;".*"),0)</f>
        <v/>
      </c>
      <c r="CH155" s="42">
        <f>IF(AND(Tasks[[#This Row],[Task Name]]&lt;&gt;"",NOT(Tasks[[#This Row],[_IsSummary]])),1,0)</f>
        <v/>
      </c>
      <c r="CI155" s="42">
        <f>IF(N(Tasks[[#This Row],[_Pred1UID]])=0,0,IFERROR(MATCH(Tasks[[#This Row],[_Pred1UID]],Tasks[UID],0),-1))</f>
        <v/>
      </c>
      <c r="CJ155" s="42">
        <f>IF(N(Tasks[[#This Row],[_Pred2UID]])=0,0,IFERROR(MATCH(Tasks[[#This Row],[_Pred2UID]],Tasks[UID],0),-1))</f>
        <v/>
      </c>
      <c r="CK155" s="42">
        <f>IF(N(Tasks[[#This Row],[_Pred3UID]])=0,0,IFERROR(MATCH(Tasks[[#This Row],[_Pred3UID]],Tasks[UID],0),-1))</f>
        <v/>
      </c>
      <c r="CL155" s="42">
        <f>IF(N(Tasks[[#This Row],[_Pred4UID]])=0,0,IFERROR(MATCH(Tasks[[#This Row],[_Pred4UID]],Tasks[UID],0),-1))</f>
        <v/>
      </c>
      <c r="CM15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5" s="88">
        <f>IF(N(Tasks[[#This Row],[Constraint Date]])=0,0,IF(AND(OR(Tasks[[#This Row],[_ConstraintCode]]=3,Tasks[[#This Row],[_ConstraintCode]]=6,Tasks[[#This Row],[_ConstraintCode]]=7),N(Tasks[[#This Row],[_Days]])&gt;1),WORKDAY.INTL(N(Tasks[[#This Row],[Constraint Date]]),-(N(Tasks[[#This Row],[_Days]])-1),WorkWeek,Holidays),N(Tasks[[#This Row],[Constraint Date]])))</f>
        <v/>
      </c>
      <c r="CO155" s="88">
        <f>IF(OR(Tasks[[#This Row],[_ConstraintCode]]=2,Tasks[[#This Row],[_ConstraintCode]]=3,Tasks[[#This Row],[_ConstraintCode]]=4,Tasks[[#This Row],[_ConstraintCode]]=6),Tasks[[#This Row],[_ConstraintStart]],0)</f>
        <v/>
      </c>
      <c r="CP155" s="88">
        <f>IF(OR(Tasks[[#This Row],[_ConstraintCode]]=2,Tasks[[#This Row],[_ConstraintCode]]=3,Tasks[[#This Row],[_ConstraintCode]]=5,Tasks[[#This Row],[_ConstraintCode]]=7),Tasks[[#This Row],[_ConstraintStart]],2958465)</f>
        <v/>
      </c>
      <c r="CQ15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5" s="88">
        <f>IF(NOT(Tasks[[#This Row],[_IsLeaf]]=1),"",IF(N(Tasks[[#This Row],[_Days]])&lt;=0,Tasks[[#This Row],[_LeafCalcStart]],WORKDAY.INTL(Tasks[[#This Row],[_LeafCalcStart]],Tasks[[#This Row],[_Days]]-1,WorkWeek,Holidays)))</f>
        <v/>
      </c>
      <c r="CS15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5" s="42">
        <f>IF(Tasks[[#This Row],[_Predecessors]]="","",TRIM(MID(SUBSTITUTE(SUBSTITUTE(SUBSTITUTE(UPPER(Tasks[[#This Row],[_Predecessors]]),";",",")," ",""),",",REPT(" ",99)),1,99)))</f>
        <v/>
      </c>
      <c r="CV155" s="42">
        <f>IF(Tasks[[#This Row],[_Pred1Text]]="","",IFERROR(VALUE(LEFT(Tasks[[#This Row],[_Pred1Text]],MIN(FIND("F",Tasks[[#This Row],[_Pred1Text]]&amp;"F"),FIND("S",Tasks[[#This Row],[_Pred1Text]]&amp;"S"),FIND("+",Tasks[[#This Row],[_Pred1Text]]&amp;"+"),FIND("-",Tasks[[#This Row],[_Pred1Text]]&amp;"-"))-1)),""))</f>
        <v/>
      </c>
      <c r="CW15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5" s="42">
        <f>IF(Tasks[[#This Row],[_Pred1Text]]="","",TRIM(MID(SUBSTITUTE(SUBSTITUTE(SUBSTITUTE(UPPER(Tasks[[#This Row],[_Predecessors]]),";",",")," ",""),",",REPT(" ",99)),100,99)))</f>
        <v/>
      </c>
      <c r="CZ155" s="42">
        <f>IF(Tasks[[#This Row],[_Pred2Text]]="","",IFERROR(VALUE(LEFT(Tasks[[#This Row],[_Pred2Text]],MIN(FIND("F",Tasks[[#This Row],[_Pred2Text]]&amp;"F"),FIND("S",Tasks[[#This Row],[_Pred2Text]]&amp;"S"),FIND("+",Tasks[[#This Row],[_Pred2Text]]&amp;"+"),FIND("-",Tasks[[#This Row],[_Pred2Text]]&amp;"-"))-1)),""))</f>
        <v/>
      </c>
      <c r="DA15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5" s="42">
        <f>IF(Tasks[[#This Row],[_Pred2Text]]="","",TRIM(MID(SUBSTITUTE(SUBSTITUTE(SUBSTITUTE(UPPER(Tasks[[#This Row],[_Predecessors]]),";",",")," ",""),",",REPT(" ",99)),199,99)))</f>
        <v/>
      </c>
      <c r="DD155" s="42">
        <f>IF(Tasks[[#This Row],[_Pred3Text]]="","",IFERROR(VALUE(LEFT(Tasks[[#This Row],[_Pred3Text]],MIN(FIND("F",Tasks[[#This Row],[_Pred3Text]]&amp;"F"),FIND("S",Tasks[[#This Row],[_Pred3Text]]&amp;"S"),FIND("+",Tasks[[#This Row],[_Pred3Text]]&amp;"+"),FIND("-",Tasks[[#This Row],[_Pred3Text]]&amp;"-"))-1)),""))</f>
        <v/>
      </c>
      <c r="DE15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5" s="42">
        <f>IF(Tasks[[#This Row],[_Pred3Text]]="","",TRIM(MID(SUBSTITUTE(SUBSTITUTE(SUBSTITUTE(UPPER(Tasks[[#This Row],[_Predecessors]]),";",",")," ",""),",",REPT(" ",99)),298,99)))</f>
        <v/>
      </c>
      <c r="DH155" s="42">
        <f>IF(Tasks[[#This Row],[_Pred4Text]]="","",IFERROR(VALUE(LEFT(Tasks[[#This Row],[_Pred4Text]],MIN(FIND("F",Tasks[[#This Row],[_Pred4Text]]&amp;"F"),FIND("S",Tasks[[#This Row],[_Pred4Text]]&amp;"S"),FIND("+",Tasks[[#This Row],[_Pred4Text]]&amp;"+"),FIND("-",Tasks[[#This Row],[_Pred4Text]]&amp;"-"))-1)),""))</f>
        <v/>
      </c>
      <c r="DI15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5" s="42">
        <f>IF(OR(Tasks[[#This Row],[Task Name]]="",Tasks[[#This Row],[_Resources]]=""),"",TRIM(MID(SUBSTITUTE(Tasks[[#This Row],[_Resources]],",",REPT(" ",99)),1,99)))</f>
        <v/>
      </c>
      <c r="DL155" s="42">
        <f>IF(Tasks[[#This Row],[_Res1Text]]="","",TRIM(MID(SUBSTITUTE(Tasks[[#This Row],[_Resources]],",",REPT(" ",99)),100,99)))</f>
        <v/>
      </c>
      <c r="DM155" s="42">
        <f>IF(Tasks[[#This Row],[_Res2Text]]="","",TRIM(MID(SUBSTITUTE(Tasks[[#This Row],[_Resources]],",",REPT(" ",99)),199,99)))</f>
        <v/>
      </c>
      <c r="DN155" s="42">
        <f>IF(Tasks[[#This Row],[_Res3Text]]="","",TRIM(MID(SUBSTITUTE(Tasks[[#This Row],[_Resources]],",",REPT(" ",99)),298,99)))</f>
        <v/>
      </c>
      <c r="DO155" s="42">
        <f>IF(Tasks[[#This Row],[_Res1Text]]="",0,IFERROR(MATCH(TRIM(LEFT(Tasks[[#This Row],[_Res1Text]],FIND("[",Tasks[[#This Row],[_Res1Text]]&amp;"[")-1)),res_Name,0),IFERROR(MATCH(TRIM(LEFT(Tasks[[#This Row],[_Res1Text]],FIND("[",Tasks[[#This Row],[_Res1Text]]&amp;"[")-1)),res_Initials,0),0)))</f>
        <v/>
      </c>
      <c r="DP155" s="42">
        <f>IF(Tasks[[#This Row],[_Res2Text]]="",0,IFERROR(MATCH(TRIM(LEFT(Tasks[[#This Row],[_Res2Text]],FIND("[",Tasks[[#This Row],[_Res2Text]]&amp;"[")-1)),res_Name,0),IFERROR(MATCH(TRIM(LEFT(Tasks[[#This Row],[_Res2Text]],FIND("[",Tasks[[#This Row],[_Res2Text]]&amp;"[")-1)),res_Initials,0),0)))</f>
        <v/>
      </c>
      <c r="DQ155" s="42">
        <f>IF(Tasks[[#This Row],[_Res3Text]]="",0,IFERROR(MATCH(TRIM(LEFT(Tasks[[#This Row],[_Res3Text]],FIND("[",Tasks[[#This Row],[_Res3Text]]&amp;"[")-1)),res_Name,0),IFERROR(MATCH(TRIM(LEFT(Tasks[[#This Row],[_Res3Text]],FIND("[",Tasks[[#This Row],[_Res3Text]]&amp;"[")-1)),res_Initials,0),0)))</f>
        <v/>
      </c>
      <c r="DR155" s="42">
        <f>IF(Tasks[[#This Row],[_Res4Text]]="",0,IFERROR(MATCH(TRIM(LEFT(Tasks[[#This Row],[_Res4Text]],FIND("[",Tasks[[#This Row],[_Res4Text]]&amp;"[")-1)),res_Name,0),IFERROR(MATCH(TRIM(LEFT(Tasks[[#This Row],[_Res4Text]],FIND("[",Tasks[[#This Row],[_Res4Text]]&amp;"[")-1)),res_Initials,0),0)))</f>
        <v/>
      </c>
      <c r="DS155" s="42">
        <f>IF(Tasks[[#This Row],[_Res1Text]]="","",IF(Tasks[[#This Row],[_Res1Row]]&gt;0,INDEX(res_Name,Tasks[[#This Row],[_Res1Row]]),TRIM(LEFT(Tasks[[#This Row],[_Res1Text]],FIND("[",Tasks[[#This Row],[_Res1Text]]&amp;"[")-1))))</f>
        <v/>
      </c>
      <c r="DT15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5" s="42">
        <f>IF(NOT(Tasks[[#This Row],[_IsLeaf]]=1),0,(Tasks[[#This Row],[_Resource1]]&lt;&gt;"")+(Tasks[[#This Row],[_Res2]]&lt;&gt;"")+(Tasks[[#This Row],[_Res3]]&lt;&gt;"")+(Tasks[[#This Row],[_Res4]]&lt;&gt;""))</f>
        <v/>
      </c>
      <c r="DV155" s="42">
        <f>IF(Tasks[[#This Row],[_Res2Text]]="","",IF(Tasks[[#This Row],[_Res2Row]]&gt;0,INDEX(res_Name,Tasks[[#This Row],[_Res2Row]]),TRIM(LEFT(Tasks[[#This Row],[_Res2Text]],FIND("[",Tasks[[#This Row],[_Res2Text]]&amp;"[")-1))))</f>
        <v/>
      </c>
      <c r="DW15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5" s="42">
        <f>IF(OR(NOT(Tasks[[#This Row],[_IsLeaf]]=1),Tasks[[#This Row],[_Res2Row]]=0),0,N(Tasks[[#This Row],[_Days]])*HoursPerDay*IF(Tasks[[#This Row],[_Res2Units]]="",DefaultUnits,Tasks[[#This Row],[_Res2Units]]))</f>
        <v/>
      </c>
      <c r="DY155" s="42">
        <f>IF(AND(AND(Tasks[[#This Row],[_IsLeaf]]=1,Tasks[[#This Row],[_LeafTotalWork]]&gt;0),Tasks[[#This Row],[_Res2Work]]&gt;0),Tasks[[#This Row],[_Res2Work]]/(Tasks[[#This Row],[_FinishWorkday]]-Tasks[[#This Row],[_StartWorkday]]+1),0)</f>
        <v/>
      </c>
      <c r="DZ155" s="42">
        <f>Tasks[[#This Row],[_Res2WorkPerWD]]*MAX(0,Tasks[[#This Row],[_StartWorkday]]-1)</f>
        <v/>
      </c>
      <c r="EA155" s="42">
        <f>Tasks[[#This Row],[_Res2Work]]*Tasks[[#This Row],[_LeafProgress]]</f>
        <v/>
      </c>
      <c r="EB155" s="42">
        <f>IF(Tasks[[#This Row],[_Res3Text]]="","",IF(Tasks[[#This Row],[_Res3Row]]&gt;0,INDEX(res_Name,Tasks[[#This Row],[_Res3Row]]),TRIM(LEFT(Tasks[[#This Row],[_Res3Text]],FIND("[",Tasks[[#This Row],[_Res3Text]]&amp;"[")-1))))</f>
        <v/>
      </c>
      <c r="EC15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5" s="42">
        <f>IF(OR(NOT(Tasks[[#This Row],[_IsLeaf]]=1),Tasks[[#This Row],[_Res3Row]]=0),0,N(Tasks[[#This Row],[_Days]])*HoursPerDay*IF(Tasks[[#This Row],[_Res3Units]]="",DefaultUnits,Tasks[[#This Row],[_Res3Units]]))</f>
        <v/>
      </c>
      <c r="EE155" s="42">
        <f>IF(AND(AND(Tasks[[#This Row],[_IsLeaf]]=1,Tasks[[#This Row],[_LeafTotalWork]]&gt;0),Tasks[[#This Row],[_Res3Work]]&gt;0),Tasks[[#This Row],[_Res3Work]]/(Tasks[[#This Row],[_FinishWorkday]]-Tasks[[#This Row],[_StartWorkday]]+1),0)</f>
        <v/>
      </c>
      <c r="EF155" s="42">
        <f>Tasks[[#This Row],[_Res3WorkPerWD]]*MAX(0,Tasks[[#This Row],[_StartWorkday]]-1)</f>
        <v/>
      </c>
      <c r="EG155" s="42">
        <f>Tasks[[#This Row],[_Res3Work]]*Tasks[[#This Row],[_LeafProgress]]</f>
        <v/>
      </c>
      <c r="EH155" s="42">
        <f>IF(Tasks[[#This Row],[_Res4Text]]="","",IF(Tasks[[#This Row],[_Res4Row]]&gt;0,INDEX(res_Name,Tasks[[#This Row],[_Res4Row]]),TRIM(LEFT(Tasks[[#This Row],[_Res4Text]],FIND("[",Tasks[[#This Row],[_Res4Text]]&amp;"[")-1))))</f>
        <v/>
      </c>
      <c r="EI15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5" s="42">
        <f>IF(OR(NOT(Tasks[[#This Row],[_IsLeaf]]=1),Tasks[[#This Row],[_Res4Row]]=0),0,N(Tasks[[#This Row],[_Days]])*HoursPerDay*IF(Tasks[[#This Row],[_Res4Units]]="",DefaultUnits,Tasks[[#This Row],[_Res4Units]]))</f>
        <v/>
      </c>
      <c r="EK155" s="42">
        <f>IF(AND(AND(Tasks[[#This Row],[_IsLeaf]]=1,Tasks[[#This Row],[_LeafTotalWork]]&gt;0),Tasks[[#This Row],[_Res4Work]]&gt;0),Tasks[[#This Row],[_Res4Work]]/(Tasks[[#This Row],[_FinishWorkday]]-Tasks[[#This Row],[_StartWorkday]]+1),0)</f>
        <v/>
      </c>
      <c r="EL155" s="42">
        <f>Tasks[[#This Row],[_Res4WorkPerWD]]*MAX(0,Tasks[[#This Row],[_StartWorkday]]-1)</f>
        <v/>
      </c>
      <c r="EM155" s="42">
        <f>Tasks[[#This Row],[_Res4Work]]*Tasks[[#This Row],[_LeafProgress]]</f>
        <v/>
      </c>
      <c r="EN155" s="42">
        <f>IF(ISNUMBER(Tasks[[#This Row],[% Complete]]),Tasks[[#This Row],[% Complete]],IF(Tasks[[#This Row],[Stage]]="",0,IFERROR(INDEX(stg_Pct,MATCH(Tasks[[#This Row],[Stage]],stg_Name,0)),0)))</f>
        <v/>
      </c>
      <c r="EO155" s="42">
        <f>IF(NOT(Tasks[[#This Row],[_IsLeaf]]=1),0,IF(N(Tasks[[#This Row],[Actual Finish]])&gt;0,1,MIN(1,Tasks[[#This Row],[_Pct]])))</f>
        <v/>
      </c>
      <c r="EP155" s="42">
        <f>IF(OR(NOT(Tasks[[#This Row],[_IsLeaf]]=1),Tasks[[#This Row],[_Res1Row]]=0),0,N(Tasks[[#This Row],[_Days]])*HoursPerDay*IF(Tasks[[#This Row],[_Units1]]="",DefaultUnits,Tasks[[#This Row],[_Units1]]))</f>
        <v/>
      </c>
      <c r="EQ155" s="42">
        <f>Tasks[[#This Row],[_LeafWork]]+Tasks[[#This Row],[_Res2Work]]+Tasks[[#This Row],[_Res3Work]]+Tasks[[#This Row],[_Res4Work]]</f>
        <v/>
      </c>
      <c r="ER15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5" s="42">
        <f>IF(NOT(Tasks[[#This Row],[_IsLeaf]]=1),0,MAX(_xlfn.MAXIFS(Tasks[_Row],Tasks[_Pred1UID],Tasks[[#This Row],[UID]]),_xlfn.MAXIFS(Tasks[_Row],Tasks[_Pred2UID],Tasks[[#This Row],[UID]]),_xlfn.MAXIFS(Tasks[_Row],Tasks[_Pred3UID],Tasks[[#This Row],[UID]]),_xlfn.MAXIFS(Tasks[_Row],Tasks[_Pred4UID],Tasks[[#This Row],[UID]])))</f>
        <v/>
      </c>
      <c r="FA15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5" s="88">
        <f>IF(NOT(Tasks[[#This Row],[_IsLeaf]]=1),"",IF(N(Tasks[[#This Row],[_Days]])&lt;=0,Tasks[[#This Row],[_LeafLateFinish]],WORKDAY.INTL(Tasks[[#This Row],[_LeafLateFinish]],-(Tasks[[#This Row],[_Days]]-1),WorkWeek,Holidays)))</f>
        <v/>
      </c>
      <c r="FD15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5" s="42">
        <f>AND(Tasks[[#This Row],[_IsLeaf]]=1,Tasks[[#This Row],[_LeafProgress]]&lt;1,N(Tasks[[#This Row],[_LeafTotalSlack]])&lt;=CriticalSlackDays)</f>
        <v/>
      </c>
      <c r="FF155" s="42">
        <f>IF(AND(Tasks[[#This Row],[_IsLeaf]]=1,Tasks[[#This Row],[_ConstraintCode]]=1,Tasks[[#This Row],[Mode]]&lt;&gt;"Manual",N(Tasks[[#This Row],[Actual Start]])=0),MAX(0,N(Tasks[[#This Row],[Free Slack]])),0)</f>
        <v/>
      </c>
      <c r="FG155" s="88">
        <f>IF(NOT(Tasks[[#This Row],[_IsLeaf]]=1),"",IF(Tasks[[#This Row],[_AlapShift]]=0,Tasks[[#This Row],[_LeafCalcStart]],WORKDAY.INTL(Tasks[[#This Row],[_LeafCalcStart]],Tasks[[#This Row],[_AlapShift]],WorkWeek,Holidays)))</f>
        <v/>
      </c>
      <c r="FH155" s="88">
        <f>IF(NOT(Tasks[[#This Row],[_IsLeaf]]=1),"",IF(Tasks[[#This Row],[_AlapShift]]=0,Tasks[[#This Row],[_LeafCalcFinish]],WORKDAY.INTL(Tasks[[#This Row],[_LeafCalcFinish]],Tasks[[#This Row],[_AlapShift]],WorkWeek,Holidays)))</f>
        <v/>
      </c>
      <c r="FI155" s="88">
        <f>IF(NOT(Tasks[[#This Row],[_IsLeaf]]=1),"",IF(Tasks[[#This Row],[_AlapShift]]=0,Tasks[[#This Row],[_LeafFcstStart]],WORKDAY.INTL(Tasks[[#This Row],[_LeafFcstStart]],Tasks[[#This Row],[_AlapShift]],WorkWeek,Holidays)))</f>
        <v/>
      </c>
      <c r="FJ155" s="88">
        <f>IF(NOT(Tasks[[#This Row],[_IsLeaf]]=1),"",IF(Tasks[[#This Row],[_AlapShift]]=0,Tasks[[#This Row],[_LeafFcstFinish]],WORKDAY.INTL(Tasks[[#This Row],[_LeafFcstFinish]],Tasks[[#This Row],[_AlapShift]],WorkWeek,Holidays)))</f>
        <v/>
      </c>
      <c r="FK155" s="88">
        <f>IF(Tasks[[#This Row],[Task Name]]="","",IF(Tasks[[#This Row],[_IsSummary]],MIN(INDEX(Tasks[_ShownCalcStart],Tasks[[#This Row],[_Row]]+1):INDEX(Tasks[_ShownCalcStart],Tasks[[#This Row],[_Row]]+Tasks[[#This Row],[_Descendants]])),Tasks[[#This Row],[_ShownCalcStart]]))</f>
        <v/>
      </c>
      <c r="FL155" s="88">
        <f>IF(Tasks[[#This Row],[Task Name]]="","",IF(Tasks[[#This Row],[_IsSummary]],MAX(INDEX(Tasks[_ShownCalcFinish],Tasks[[#This Row],[_Row]]+1):INDEX(Tasks[_ShownCalcFinish],Tasks[[#This Row],[_Row]]+Tasks[[#This Row],[_Descendants]])),Tasks[[#This Row],[_ShownCalcFinish]]))</f>
        <v/>
      </c>
      <c r="FM15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5" s="42">
        <f>IF(AND(Tasks[[#This Row],[_IsLeaf]]=1,Tasks[[#This Row],[_LeafTotalWork]]&gt;0),NETWORKDAYS.INTL(ProjectStart,Tasks[[#This Row],[_ShownFcstStart]],WorkWeek,Holidays),0)</f>
        <v/>
      </c>
      <c r="FZ155" s="42">
        <f>IF(AND(Tasks[[#This Row],[_IsLeaf]]=1,Tasks[[#This Row],[_LeafTotalWork]]&gt;0),MAX(Tasks[[#This Row],[_StartWorkday]],NETWORKDAYS.INTL(ProjectStart,Tasks[[#This Row],[_ShownFcstFinish]],WorkWeek,Holidays)),0)</f>
        <v/>
      </c>
      <c r="GA155" s="42">
        <f>IF(AND(Tasks[[#This Row],[_IsLeaf]]=1,Tasks[[#This Row],[_LeafTotalWork]]&gt;0),Tasks[[#This Row],[_LeafWork]]/(Tasks[[#This Row],[_FinishWorkday]]-Tasks[[#This Row],[_StartWorkday]]+1),0)</f>
        <v/>
      </c>
      <c r="GB155" s="42">
        <f>Tasks[[#This Row],[_WorkPerWorkday]]*(Tasks[[#This Row],[_StartWorkday]]-1)</f>
        <v/>
      </c>
      <c r="GC155" s="42">
        <f>IF(Tasks[[#This Row],[_IsLeaf]]=1,MAX(N(Tasks[[#This Row],[_Days]]),0.1),0)</f>
        <v/>
      </c>
      <c r="GD155" s="42">
        <f>Tasks[[#This Row],[_WeightDur]]*Tasks[[#This Row],[_LeafProgress]]</f>
        <v/>
      </c>
      <c r="GE155" s="42">
        <f>Tasks[[#This Row],[_WeightDur]]*Tasks[[#This Row],[_PlannedPct]]</f>
        <v/>
      </c>
      <c r="GF15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5" s="42">
        <f>IF(AND(Tasks[[#This Row],[_IsLeaf]]=1,N(Tasks[[#This Row],[_Days]])=0,Tasks[[#This Row],[_LeafProgress]]&lt;1),Tasks[[#This Row],[_ShownFcstFinish]]+Tasks[[#This Row],[_Row]]/100000,"")</f>
        <v/>
      </c>
      <c r="GH15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5" s="42">
        <f>IF(Tasks[[#This Row],[Task Name]]="","",LEFT(Tasks[[#This Row],[WBS]],FIND(".",Tasks[[#This Row],[WBS]]&amp;".")-1))</f>
        <v/>
      </c>
      <c r="GJ155" s="42">
        <f>IF(AND(Tasks[[#This Row],[Task Name]]&lt;&gt;"",Tasks[[#This Row],[_Level]]=1),Tasks[[#This Row],[_Row]],"")</f>
        <v/>
      </c>
      <c r="GK155" s="42">
        <f>IF(AND(Tasks[[#This Row],[_IsLeaf]]=1,N(Tasks[[#This Row],[_Days]])=0),Tasks[[#This Row],[Planned Finish]]+Tasks[[#This Row],[_Row]]/100000,"")</f>
        <v/>
      </c>
      <c r="GL155" s="42">
        <f>IF(AND(Tasks[[#This Row],[_IsLeaf]]=1,Tasks[[#This Row],[_LeafProgress]]&lt;1,OR(N(Tasks[[#This Row],[Finish Var]])&gt;0,Tasks[[#This Row],[Status]]="Late Start")),MAX(0,Tasks[[#This Row],[Finish Var]])+1-Tasks[[#This Row],[_Row]]/1000000,"")</f>
        <v/>
      </c>
      <c r="GM155" s="42">
        <f>IF(AND(Tasks[[#This Row],[_IsLeaf]]=1,N(Tasks[[#This Row],[Actual Start]])=0,Tasks[[#This Row],[_ShownFcstStart]]&gt;=StatusDate,Tasks[[#This Row],[_ShownFcstStart]]&lt;=LookaheadEnd),Tasks[[#This Row],[_ShownFcstStart]]+Tasks[[#This Row],[_Row]]/100000,"")</f>
        <v/>
      </c>
      <c r="GN155" s="42">
        <f>IF(AND(Tasks[[#This Row],[_IsLeaf]]=1,Tasks[[#This Row],[_LeafProgress]]&lt;1,Tasks[[#This Row],[_ShownFcstFinish]]&gt;=StatusDate,Tasks[[#This Row],[_ShownFcstFinish]]&lt;=LookaheadEnd),Tasks[[#This Row],[_ShownFcstFinish]]+Tasks[[#This Row],[_Row]]/100000,"")</f>
        <v/>
      </c>
      <c r="GO155" s="42">
        <f>IF(Tasks[[#This Row],[_LeafCritical]],Tasks[[#This Row],[_ShownFcstStart]]+Tasks[[#This Row],[_Row]]/100000,"")</f>
        <v/>
      </c>
      <c r="GP155" s="42">
        <f>Tasks[[#This Row],[_LeafWork]]*Tasks[[#This Row],[_LeafProgress]]</f>
        <v/>
      </c>
      <c r="GQ155" s="88">
        <f>IF(AND(Tasks[[#This Row],[_IsLeaf]]=1,Tasks[[#This Row],[_LeafProgress]]&gt;=1),IF(N(Tasks[[#This Row],[Actual Finish]])&gt;0,Tasks[[#This Row],[Actual Finish]],Tasks[[#This Row],[_ShownFcstFinish]]),"")</f>
        <v/>
      </c>
      <c r="GR155" s="42">
        <f>IF(Tasks[[#This Row],[_IsLeaf]]=1,N(Tasks[[#This Row],[Story Points]]),0)</f>
        <v/>
      </c>
      <c r="GS155" s="42">
        <f>""</f>
        <v/>
      </c>
      <c r="GT155" s="42">
        <f>IF(Tasks[[#This Row],[Task Name]]="",FALSE(),AND(Tasks[[#This Row],[_IsLeaf]]=1,N(Tasks[[#This Row],[_Days]])=0))</f>
        <v/>
      </c>
      <c r="GU155" s="88">
        <f>IF(Tasks[[#This Row],[Task Name]]="",0,IF(AND(Tasks[[#This Row],[_IsLeaf]]=1,NOT(Tasks[[#This Row],[_IsMilestone]]),N(Tasks[[#This Row],[Progress]])&gt;0),Tasks[[#This Row],[Start]],0))</f>
        <v/>
      </c>
      <c r="GV155" s="88">
        <f>IF(Tasks[[#This Row],[_DoneFrom]]=0,0,IF(Tasks[[#This Row],[Progress]]&gt;=1,Tasks[[#This Row],[Finish]],MAX(Tasks[[#This Row],[_DoneFrom]],Tasks[[#This Row],[Start]]+ROUND((Tasks[[#This Row],[Finish]]-Tasks[[#This Row],[Start]]+1)*Tasks[[#This Row],[Progress]],0)-1)))</f>
        <v/>
      </c>
      <c r="GW155" s="88">
        <f>IF(Tasks[[#This Row],[Task Name]]="",0,IF(OR(NOT(Tasks[[#This Row],[_IsLeaf]]=1),Tasks[[#This Row],[_IsMilestone]],N(Tasks[[#This Row],[Progress]])&gt;=1),0,IF(Tasks[[#This Row],[_DoneTo]]&gt;0,Tasks[[#This Row],[_DoneTo]]+1,Tasks[[#This Row],[Start]])))</f>
        <v/>
      </c>
      <c r="GX155" s="88">
        <f>IF(Tasks[[#This Row],[_RemFrom]]=0,0,Tasks[[#This Row],[Finish]])</f>
        <v/>
      </c>
      <c r="GY155" s="42">
        <f>IF(Tasks[[#This Row],[Task Name]]="",FALSE(),OR(NOT(BaselineSet),N(Tasks[[#This Row],[Baseline Start]])&gt;0))</f>
        <v/>
      </c>
      <c r="GZ155" s="42">
        <f>IF(AND(Sandbox="Yes",L_PARSE_DURATION(Tasks[[#This Row],[Sandbox Duration]])&lt;&gt;""),L_PARSE_DURATION(Tasks[[#This Row],[Sandbox Duration]]),L_PARSE_DURATION(Tasks[[#This Row],[Duration]]))</f>
        <v/>
      </c>
      <c r="HA15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5" s="42">
        <f>IF(Tasks[[#This Row],[_IsLeaf]]=1,Tasks[[#This Row],[_Row]],"")</f>
        <v/>
      </c>
      <c r="HD155" s="42">
        <f>IFERROR(INDEX(Tasks[UID],SMALL(Tasks[_PickKey],Tasks[[#This Row],[_Row]]))&amp;" "&amp;INDEX(Tasks[Task Name],SMALL(Tasks[_PickKey],Tasks[[#This Row],[_Row]])),"")</f>
        <v/>
      </c>
      <c r="HE155" s="42">
        <f>IF(Tasks[[#This Row],[Task Name]]="","",IF(Tasks[[#This Row],[_IsSummary]],NETWORKDAYS.INTL(Tasks[[#This Row],[Start]],Tasks[[#This Row],[Finish]],WorkWeek,Holidays),N(Tasks[[#This Row],[_Days]])))</f>
        <v/>
      </c>
      <c r="HF155" s="42">
        <f>IF(Tasks[[#This Row],[Expected]]="",0,((Tasks[[#This Row],[Pessimistic]]-Tasks[[#This Row],[Optimistic]])/6)^2)</f>
        <v/>
      </c>
      <c r="HG155" s="42">
        <f>IF(Tasks[[#This Row],[Expected]]="",0,Tasks[[#This Row],[Expected]]-N(Tasks[[#This Row],[_Days]]))</f>
        <v/>
      </c>
    </row>
    <row r="156">
      <c r="A156" s="21">
        <f>IF(Tasks[[#This Row],[Task Name]]="","",COUNTA(Tasks[[#Headers],[Task Name]]:Tasks[[#This Row],[Task Name]])-1)</f>
        <v/>
      </c>
      <c r="B156" s="22" t="n">
        <v>164</v>
      </c>
      <c r="C156" s="22" t="n"/>
      <c r="D156" s="23" t="n"/>
      <c r="E156" s="22" t="n"/>
      <c r="F156" s="23" t="n"/>
      <c r="G156" s="22" t="n"/>
      <c r="H156" s="22" t="n"/>
      <c r="I156" s="23" t="n"/>
      <c r="J156" s="22" t="n"/>
      <c r="K156" s="22" t="n"/>
      <c r="L156" s="23" t="n"/>
      <c r="M156" s="22" t="n"/>
      <c r="N156" s="22" t="n"/>
      <c r="O156" s="23" t="n"/>
      <c r="P156" s="22" t="n"/>
      <c r="Q156" s="22" t="n"/>
      <c r="R156" s="23" t="n"/>
      <c r="S156" s="23" t="n"/>
      <c r="T156" s="82" t="n"/>
      <c r="U156" s="23" t="n"/>
      <c r="V156" s="82" t="n"/>
      <c r="W156" s="23" t="n"/>
      <c r="X156" s="82" t="n"/>
      <c r="Y156" s="23" t="n"/>
      <c r="Z156" s="82" t="n"/>
      <c r="AA156" s="23" t="n"/>
      <c r="AB156" s="23" t="n"/>
      <c r="AC156" s="7" t="n"/>
      <c r="AD156" s="7" t="n"/>
      <c r="AE156" s="61">
        <f>IF(Tasks[[#This Row],[Task Name]]="","",IF(Tasks[[#This Row],[_IsSummary]],MIN(INDEX(Tasks[_ShownFcstStart],Tasks[[#This Row],[_Row]]+1):INDEX(Tasks[_ShownFcstStart],Tasks[[#This Row],[_Row]]+Tasks[[#This Row],[_Descendants]])),Tasks[[#This Row],[_ShownFcstStart]]))</f>
        <v/>
      </c>
      <c r="AF156" s="61">
        <f>IF(Tasks[[#This Row],[Task Name]]="","",IF(Tasks[[#This Row],[_IsSummary]],MAX(INDEX(Tasks[_ShownFcstFinish],Tasks[[#This Row],[_Row]]+1):INDEX(Tasks[_ShownFcstFinish],Tasks[[#This Row],[_Row]]+Tasks[[#This Row],[_Descendants]])),Tasks[[#This Row],[_ShownFcstFinish]]))</f>
        <v/>
      </c>
      <c r="AG156" s="21">
        <f>""</f>
        <v/>
      </c>
      <c r="AH156" s="23" t="n"/>
      <c r="AI15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6" s="7" t="n"/>
      <c r="AK156" s="22" t="n"/>
      <c r="AL156" s="23" t="n"/>
      <c r="AM156" s="7" t="n"/>
      <c r="AN156" s="21">
        <f>IF(Tasks[[#This Row],[Task Name]]="","",IF(Tasks[[#This Row],[Finish]]&gt;=Tasks[[#This Row],[Planned Finish]],NETWORKDAYS.INTL(Tasks[[#This Row],[Planned Finish]],Tasks[[#This Row],[Finish]],WorkWeek,Holidays)-1,1-NETWORKDAYS.INTL(Tasks[[#This Row],[Finish]],Tasks[[#This Row],[Planned Finish]],WorkWeek,Holidays)))</f>
        <v/>
      </c>
      <c r="AO156" s="21">
        <f>IF(Tasks[[#This Row],[Task Name]]="","",IF(Tasks[[#This Row],[Progress]]&gt;=1,"Complete",IF(OR(N(Tasks[[#This Row],[Actual Start]])&gt;0,Tasks[[#This Row],[Progress]]&gt;0),IF(Tasks[[#This Row],[Finish Var]]&gt;0,"Behind","In Progress"),IF(Tasks[[#This Row],[Planned Start]]&lt;StatusDate,"Late Start","Not Started"))))</f>
        <v/>
      </c>
      <c r="AP156" s="21">
        <f>IF(Tasks[[#This Row],[Task Name]]="","",IF(IF(Tasks[[#This Row],[_IsSummary]],COUNTIF(INDEX(Tasks[_LeafCritical],Tasks[[#This Row],[_Row]]+1):INDEX(Tasks[_LeafCritical],Tasks[[#This Row],[_Row]]+Tasks[[#This Row],[_Descendants]]),TRUE())&gt;0,Tasks[[#This Row],[_LeafCritical]]),"Yes",""))</f>
        <v/>
      </c>
      <c r="AQ156" s="61">
        <f>IF(Tasks[[#This Row],[Task Name]]="","",IF(N(Tasks[[#This Row],[Baseline Start]])&gt;0,Tasks[[#This Row],[Baseline Start]],Tasks[[#This Row],[_CalcStart]]))</f>
        <v/>
      </c>
      <c r="AR156" s="61">
        <f>IF(Tasks[[#This Row],[Task Name]]="","",IF(N(Tasks[[#This Row],[Baseline Finish]])&gt;0,Tasks[[#This Row],[Baseline Finish]],Tasks[[#This Row],[_CalcFinish]]))</f>
        <v/>
      </c>
      <c r="AS156" s="21">
        <f>IF(Tasks[[#This Row],[Task Name]]="","",IF(Tasks[[#This Row],[Start]]&gt;=Tasks[[#This Row],[Planned Start]],NETWORKDAYS.INTL(Tasks[[#This Row],[Planned Start]],Tasks[[#This Row],[Start]],WorkWeek,Holidays)-1,1-NETWORKDAYS.INTL(Tasks[[#This Row],[Start]],Tasks[[#This Row],[Planned Start]],WorkWeek,Holidays)))</f>
        <v/>
      </c>
      <c r="AT156" s="61">
        <f>IF(Tasks[[#This Row],[Task Name]]="","",IF(Tasks[[#This Row],[_IsSummary]],MIN(INDEX(Tasks[_LeafLateStart],Tasks[[#This Row],[_Row]]+1):INDEX(Tasks[_LeafLateStart],Tasks[[#This Row],[_Row]]+Tasks[[#This Row],[_Descendants]])),Tasks[[#This Row],[_LeafLateStart]]))</f>
        <v/>
      </c>
      <c r="AU156" s="61">
        <f>IF(Tasks[[#This Row],[Task Name]]="","",IF(Tasks[[#This Row],[_IsSummary]],MAX(INDEX(Tasks[_LeafLateFinish],Tasks[[#This Row],[_Row]]+1):INDEX(Tasks[_LeafLateFinish],Tasks[[#This Row],[_Row]]+Tasks[[#This Row],[_Descendants]])),Tasks[[#This Row],[_LeafLateFinish]]))</f>
        <v/>
      </c>
      <c r="AV156" s="21">
        <f>IF(Tasks[[#This Row],[Task Name]]="","",IF(Tasks[[#This Row],[_IsSummary]],MIN(INDEX(Tasks[_LeafTotalSlack],Tasks[[#This Row],[_Row]]+1):INDEX(Tasks[_LeafTotalSlack],Tasks[[#This Row],[_Row]]+Tasks[[#This Row],[_Descendants]])),Tasks[[#This Row],[_LeafTotalSlack]]))</f>
        <v/>
      </c>
      <c r="AW15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3" t="n"/>
      <c r="BA15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f>IF(Tasks[[#This Row],[Task Name]]="","",IF(Tasks[[#This Row],[_Level]]&lt;=OutlineShowLevel,"Yes","No"))</f>
        <v/>
      </c>
      <c r="BE156" s="84">
        <f>IF(Tasks[[#This Row],[Task Name]]="","",IF(Tasks[[#This Row],[_IsSummary]],SUM(INDEX(Tasks[_LeafTotalWork],Tasks[[#This Row],[_Row]]+1):INDEX(Tasks[_LeafTotalWork],Tasks[[#This Row],[_Row]]+Tasks[[#This Row],[_Descendants]])),Tasks[[#This Row],[_LeafTotalWork]]))</f>
        <v/>
      </c>
      <c r="BF156" s="23" t="n"/>
      <c r="BG15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f>""</f>
        <v/>
      </c>
      <c r="BI156" s="85" t="n"/>
      <c r="BJ156" s="22" t="n"/>
      <c r="BK156" s="21">
        <f>IF(OR(Tasks[[#This Row],[Task Name]]="",Tasks[[#This Row],[Baseline Duration]]=""),"",Tasks[[#This Row],[_SpanDays]]-N(Tasks[[#This Row],[Baseline Duration]]))</f>
        <v/>
      </c>
      <c r="BL156" s="84">
        <f>IF(OR(Tasks[[#This Row],[Task Name]]="",Tasks[[#This Row],[Baseline Work]]=""),"",Tasks[[#This Row],[Work]]-N(Tasks[[#This Row],[Baseline Work]]))</f>
        <v/>
      </c>
      <c r="BM156" s="61">
        <f>IF(Tasks[[#This Row],[Task Name]]="","",IF(OR(TakeBaseline="Yes",N(Tasks[[#This Row],[Baseline Start]])=0),Tasks[[#This Row],[Start]],Tasks[[#This Row],[Baseline Start]]))</f>
        <v/>
      </c>
      <c r="BN156" s="61">
        <f>IF(Tasks[[#This Row],[Task Name]]="","",IF(OR(TakeBaseline="Yes",N(Tasks[[#This Row],[Baseline Finish]])=0),Tasks[[#This Row],[Finish]],Tasks[[#This Row],[Baseline Finish]]))</f>
        <v/>
      </c>
      <c r="BO156" s="21">
        <f>IF(Tasks[[#This Row],[Task Name]]="","",IF(OR(TakeBaseline="Yes",N(Tasks[[#This Row],[Baseline Duration]])=0),Tasks[[#This Row],[_SpanDays]],Tasks[[#This Row],[Baseline Duration]]))</f>
        <v/>
      </c>
      <c r="BP156" s="84">
        <f>IF(Tasks[[#This Row],[Task Name]]="","",IF(OR(TakeBaseline="Yes",N(Tasks[[#This Row],[Baseline Work]])=0),Tasks[[#This Row],[Work]],Tasks[[#This Row],[Baseline Work]]))</f>
        <v/>
      </c>
      <c r="BQ156" s="7" t="n"/>
      <c r="BR156" s="7" t="n"/>
      <c r="BS156" s="22" t="n"/>
      <c r="BT156" s="86" t="n"/>
      <c r="BU156" s="23" t="n"/>
      <c r="BV156" s="23" t="n"/>
      <c r="BW156" s="23" t="n"/>
      <c r="BX156" s="87">
        <f>IF(AND(Tasks[[#This Row],[_IsLeaf]]=1,ISNUMBER(Tasks[[#This Row],[Optimistic]]),ISNUMBER(Tasks[[#This Row],[Pessimistic]])),ROUND((Tasks[[#This Row],[Optimistic]]+4*N(Tasks[[#This Row],[_Days]])+Tasks[[#This Row],[Pessimistic]])/6,1),"")</f>
        <v/>
      </c>
      <c r="BY156" s="85" t="n"/>
      <c r="BZ156" s="85" t="n"/>
      <c r="CA156" s="22" t="n"/>
      <c r="CB156" s="42">
        <f>IF(Tasks[[#This Row],[Task Name]]="","",MAX(1,N(Tasks[[#This Row],[Level]])))</f>
        <v/>
      </c>
      <c r="CC156" s="42">
        <f>ROW()-ROW(Tasks[[#Headers],[ID]])</f>
        <v/>
      </c>
      <c r="CD156" s="42">
        <f>IF(OR(Tasks[[#This Row],[Task Name]]="",Tasks[[#This Row],[_Level]]&lt;=1),0,IFERROR(LOOKUP(2,1/(Tasks[[#Headers],[_Level]]:Tasks[[#This Row],[_Level]]=Tasks[[#This Row],[_Level]]-1),ROW(Tasks[[#Headers],[_Level]]:Tasks[[#This Row],[_Level]])),0))</f>
        <v/>
      </c>
      <c r="CE156" s="42">
        <f>IFERROR(N(INDEX(Tasks[_Level],Tasks[[#This Row],[_Row]]+1)),0)</f>
        <v/>
      </c>
      <c r="CF156" s="42">
        <f>AND(Tasks[[#This Row],[Task Name]]&lt;&gt;"",Tasks[[#This Row],[_NextLevel]]&gt;Tasks[[#This Row],[_Level]])</f>
        <v/>
      </c>
      <c r="CG156" s="42">
        <f>IF(Tasks[[#This Row],[_IsSummary]],COUNTIF(Tasks[WBS],Tasks[[#This Row],[WBS]]&amp;".*"),0)</f>
        <v/>
      </c>
      <c r="CH156" s="42">
        <f>IF(AND(Tasks[[#This Row],[Task Name]]&lt;&gt;"",NOT(Tasks[[#This Row],[_IsSummary]])),1,0)</f>
        <v/>
      </c>
      <c r="CI156" s="42">
        <f>IF(N(Tasks[[#This Row],[_Pred1UID]])=0,0,IFERROR(MATCH(Tasks[[#This Row],[_Pred1UID]],Tasks[UID],0),-1))</f>
        <v/>
      </c>
      <c r="CJ156" s="42">
        <f>IF(N(Tasks[[#This Row],[_Pred2UID]])=0,0,IFERROR(MATCH(Tasks[[#This Row],[_Pred2UID]],Tasks[UID],0),-1))</f>
        <v/>
      </c>
      <c r="CK156" s="42">
        <f>IF(N(Tasks[[#This Row],[_Pred3UID]])=0,0,IFERROR(MATCH(Tasks[[#This Row],[_Pred3UID]],Tasks[UID],0),-1))</f>
        <v/>
      </c>
      <c r="CL156" s="42">
        <f>IF(N(Tasks[[#This Row],[_Pred4UID]])=0,0,IFERROR(MATCH(Tasks[[#This Row],[_Pred4UID]],Tasks[UID],0),-1))</f>
        <v/>
      </c>
      <c r="CM15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6" s="88">
        <f>IF(N(Tasks[[#This Row],[Constraint Date]])=0,0,IF(AND(OR(Tasks[[#This Row],[_ConstraintCode]]=3,Tasks[[#This Row],[_ConstraintCode]]=6,Tasks[[#This Row],[_ConstraintCode]]=7),N(Tasks[[#This Row],[_Days]])&gt;1),WORKDAY.INTL(N(Tasks[[#This Row],[Constraint Date]]),-(N(Tasks[[#This Row],[_Days]])-1),WorkWeek,Holidays),N(Tasks[[#This Row],[Constraint Date]])))</f>
        <v/>
      </c>
      <c r="CO156" s="88">
        <f>IF(OR(Tasks[[#This Row],[_ConstraintCode]]=2,Tasks[[#This Row],[_ConstraintCode]]=3,Tasks[[#This Row],[_ConstraintCode]]=4,Tasks[[#This Row],[_ConstraintCode]]=6),Tasks[[#This Row],[_ConstraintStart]],0)</f>
        <v/>
      </c>
      <c r="CP156" s="88">
        <f>IF(OR(Tasks[[#This Row],[_ConstraintCode]]=2,Tasks[[#This Row],[_ConstraintCode]]=3,Tasks[[#This Row],[_ConstraintCode]]=5,Tasks[[#This Row],[_ConstraintCode]]=7),Tasks[[#This Row],[_ConstraintStart]],2958465)</f>
        <v/>
      </c>
      <c r="CQ15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6" s="88">
        <f>IF(NOT(Tasks[[#This Row],[_IsLeaf]]=1),"",IF(N(Tasks[[#This Row],[_Days]])&lt;=0,Tasks[[#This Row],[_LeafCalcStart]],WORKDAY.INTL(Tasks[[#This Row],[_LeafCalcStart]],Tasks[[#This Row],[_Days]]-1,WorkWeek,Holidays)))</f>
        <v/>
      </c>
      <c r="CS15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6" s="42">
        <f>IF(Tasks[[#This Row],[_Predecessors]]="","",TRIM(MID(SUBSTITUTE(SUBSTITUTE(SUBSTITUTE(UPPER(Tasks[[#This Row],[_Predecessors]]),";",",")," ",""),",",REPT(" ",99)),1,99)))</f>
        <v/>
      </c>
      <c r="CV156" s="42">
        <f>IF(Tasks[[#This Row],[_Pred1Text]]="","",IFERROR(VALUE(LEFT(Tasks[[#This Row],[_Pred1Text]],MIN(FIND("F",Tasks[[#This Row],[_Pred1Text]]&amp;"F"),FIND("S",Tasks[[#This Row],[_Pred1Text]]&amp;"S"),FIND("+",Tasks[[#This Row],[_Pred1Text]]&amp;"+"),FIND("-",Tasks[[#This Row],[_Pred1Text]]&amp;"-"))-1)),""))</f>
        <v/>
      </c>
      <c r="CW15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6" s="42">
        <f>IF(Tasks[[#This Row],[_Pred1Text]]="","",TRIM(MID(SUBSTITUTE(SUBSTITUTE(SUBSTITUTE(UPPER(Tasks[[#This Row],[_Predecessors]]),";",",")," ",""),",",REPT(" ",99)),100,99)))</f>
        <v/>
      </c>
      <c r="CZ156" s="42">
        <f>IF(Tasks[[#This Row],[_Pred2Text]]="","",IFERROR(VALUE(LEFT(Tasks[[#This Row],[_Pred2Text]],MIN(FIND("F",Tasks[[#This Row],[_Pred2Text]]&amp;"F"),FIND("S",Tasks[[#This Row],[_Pred2Text]]&amp;"S"),FIND("+",Tasks[[#This Row],[_Pred2Text]]&amp;"+"),FIND("-",Tasks[[#This Row],[_Pred2Text]]&amp;"-"))-1)),""))</f>
        <v/>
      </c>
      <c r="DA15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6" s="42">
        <f>IF(Tasks[[#This Row],[_Pred2Text]]="","",TRIM(MID(SUBSTITUTE(SUBSTITUTE(SUBSTITUTE(UPPER(Tasks[[#This Row],[_Predecessors]]),";",",")," ",""),",",REPT(" ",99)),199,99)))</f>
        <v/>
      </c>
      <c r="DD156" s="42">
        <f>IF(Tasks[[#This Row],[_Pred3Text]]="","",IFERROR(VALUE(LEFT(Tasks[[#This Row],[_Pred3Text]],MIN(FIND("F",Tasks[[#This Row],[_Pred3Text]]&amp;"F"),FIND("S",Tasks[[#This Row],[_Pred3Text]]&amp;"S"),FIND("+",Tasks[[#This Row],[_Pred3Text]]&amp;"+"),FIND("-",Tasks[[#This Row],[_Pred3Text]]&amp;"-"))-1)),""))</f>
        <v/>
      </c>
      <c r="DE15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6" s="42">
        <f>IF(Tasks[[#This Row],[_Pred3Text]]="","",TRIM(MID(SUBSTITUTE(SUBSTITUTE(SUBSTITUTE(UPPER(Tasks[[#This Row],[_Predecessors]]),";",",")," ",""),",",REPT(" ",99)),298,99)))</f>
        <v/>
      </c>
      <c r="DH156" s="42">
        <f>IF(Tasks[[#This Row],[_Pred4Text]]="","",IFERROR(VALUE(LEFT(Tasks[[#This Row],[_Pred4Text]],MIN(FIND("F",Tasks[[#This Row],[_Pred4Text]]&amp;"F"),FIND("S",Tasks[[#This Row],[_Pred4Text]]&amp;"S"),FIND("+",Tasks[[#This Row],[_Pred4Text]]&amp;"+"),FIND("-",Tasks[[#This Row],[_Pred4Text]]&amp;"-"))-1)),""))</f>
        <v/>
      </c>
      <c r="DI15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6" s="42">
        <f>IF(OR(Tasks[[#This Row],[Task Name]]="",Tasks[[#This Row],[_Resources]]=""),"",TRIM(MID(SUBSTITUTE(Tasks[[#This Row],[_Resources]],",",REPT(" ",99)),1,99)))</f>
        <v/>
      </c>
      <c r="DL156" s="42">
        <f>IF(Tasks[[#This Row],[_Res1Text]]="","",TRIM(MID(SUBSTITUTE(Tasks[[#This Row],[_Resources]],",",REPT(" ",99)),100,99)))</f>
        <v/>
      </c>
      <c r="DM156" s="42">
        <f>IF(Tasks[[#This Row],[_Res2Text]]="","",TRIM(MID(SUBSTITUTE(Tasks[[#This Row],[_Resources]],",",REPT(" ",99)),199,99)))</f>
        <v/>
      </c>
      <c r="DN156" s="42">
        <f>IF(Tasks[[#This Row],[_Res3Text]]="","",TRIM(MID(SUBSTITUTE(Tasks[[#This Row],[_Resources]],",",REPT(" ",99)),298,99)))</f>
        <v/>
      </c>
      <c r="DO156" s="42">
        <f>IF(Tasks[[#This Row],[_Res1Text]]="",0,IFERROR(MATCH(TRIM(LEFT(Tasks[[#This Row],[_Res1Text]],FIND("[",Tasks[[#This Row],[_Res1Text]]&amp;"[")-1)),res_Name,0),IFERROR(MATCH(TRIM(LEFT(Tasks[[#This Row],[_Res1Text]],FIND("[",Tasks[[#This Row],[_Res1Text]]&amp;"[")-1)),res_Initials,0),0)))</f>
        <v/>
      </c>
      <c r="DP156" s="42">
        <f>IF(Tasks[[#This Row],[_Res2Text]]="",0,IFERROR(MATCH(TRIM(LEFT(Tasks[[#This Row],[_Res2Text]],FIND("[",Tasks[[#This Row],[_Res2Text]]&amp;"[")-1)),res_Name,0),IFERROR(MATCH(TRIM(LEFT(Tasks[[#This Row],[_Res2Text]],FIND("[",Tasks[[#This Row],[_Res2Text]]&amp;"[")-1)),res_Initials,0),0)))</f>
        <v/>
      </c>
      <c r="DQ156" s="42">
        <f>IF(Tasks[[#This Row],[_Res3Text]]="",0,IFERROR(MATCH(TRIM(LEFT(Tasks[[#This Row],[_Res3Text]],FIND("[",Tasks[[#This Row],[_Res3Text]]&amp;"[")-1)),res_Name,0),IFERROR(MATCH(TRIM(LEFT(Tasks[[#This Row],[_Res3Text]],FIND("[",Tasks[[#This Row],[_Res3Text]]&amp;"[")-1)),res_Initials,0),0)))</f>
        <v/>
      </c>
      <c r="DR156" s="42">
        <f>IF(Tasks[[#This Row],[_Res4Text]]="",0,IFERROR(MATCH(TRIM(LEFT(Tasks[[#This Row],[_Res4Text]],FIND("[",Tasks[[#This Row],[_Res4Text]]&amp;"[")-1)),res_Name,0),IFERROR(MATCH(TRIM(LEFT(Tasks[[#This Row],[_Res4Text]],FIND("[",Tasks[[#This Row],[_Res4Text]]&amp;"[")-1)),res_Initials,0),0)))</f>
        <v/>
      </c>
      <c r="DS156" s="42">
        <f>IF(Tasks[[#This Row],[_Res1Text]]="","",IF(Tasks[[#This Row],[_Res1Row]]&gt;0,INDEX(res_Name,Tasks[[#This Row],[_Res1Row]]),TRIM(LEFT(Tasks[[#This Row],[_Res1Text]],FIND("[",Tasks[[#This Row],[_Res1Text]]&amp;"[")-1))))</f>
        <v/>
      </c>
      <c r="DT15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6" s="42">
        <f>IF(NOT(Tasks[[#This Row],[_IsLeaf]]=1),0,(Tasks[[#This Row],[_Resource1]]&lt;&gt;"")+(Tasks[[#This Row],[_Res2]]&lt;&gt;"")+(Tasks[[#This Row],[_Res3]]&lt;&gt;"")+(Tasks[[#This Row],[_Res4]]&lt;&gt;""))</f>
        <v/>
      </c>
      <c r="DV156" s="42">
        <f>IF(Tasks[[#This Row],[_Res2Text]]="","",IF(Tasks[[#This Row],[_Res2Row]]&gt;0,INDEX(res_Name,Tasks[[#This Row],[_Res2Row]]),TRIM(LEFT(Tasks[[#This Row],[_Res2Text]],FIND("[",Tasks[[#This Row],[_Res2Text]]&amp;"[")-1))))</f>
        <v/>
      </c>
      <c r="DW15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6" s="42">
        <f>IF(OR(NOT(Tasks[[#This Row],[_IsLeaf]]=1),Tasks[[#This Row],[_Res2Row]]=0),0,N(Tasks[[#This Row],[_Days]])*HoursPerDay*IF(Tasks[[#This Row],[_Res2Units]]="",DefaultUnits,Tasks[[#This Row],[_Res2Units]]))</f>
        <v/>
      </c>
      <c r="DY156" s="42">
        <f>IF(AND(AND(Tasks[[#This Row],[_IsLeaf]]=1,Tasks[[#This Row],[_LeafTotalWork]]&gt;0),Tasks[[#This Row],[_Res2Work]]&gt;0),Tasks[[#This Row],[_Res2Work]]/(Tasks[[#This Row],[_FinishWorkday]]-Tasks[[#This Row],[_StartWorkday]]+1),0)</f>
        <v/>
      </c>
      <c r="DZ156" s="42">
        <f>Tasks[[#This Row],[_Res2WorkPerWD]]*MAX(0,Tasks[[#This Row],[_StartWorkday]]-1)</f>
        <v/>
      </c>
      <c r="EA156" s="42">
        <f>Tasks[[#This Row],[_Res2Work]]*Tasks[[#This Row],[_LeafProgress]]</f>
        <v/>
      </c>
      <c r="EB156" s="42">
        <f>IF(Tasks[[#This Row],[_Res3Text]]="","",IF(Tasks[[#This Row],[_Res3Row]]&gt;0,INDEX(res_Name,Tasks[[#This Row],[_Res3Row]]),TRIM(LEFT(Tasks[[#This Row],[_Res3Text]],FIND("[",Tasks[[#This Row],[_Res3Text]]&amp;"[")-1))))</f>
        <v/>
      </c>
      <c r="EC15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6" s="42">
        <f>IF(OR(NOT(Tasks[[#This Row],[_IsLeaf]]=1),Tasks[[#This Row],[_Res3Row]]=0),0,N(Tasks[[#This Row],[_Days]])*HoursPerDay*IF(Tasks[[#This Row],[_Res3Units]]="",DefaultUnits,Tasks[[#This Row],[_Res3Units]]))</f>
        <v/>
      </c>
      <c r="EE156" s="42">
        <f>IF(AND(AND(Tasks[[#This Row],[_IsLeaf]]=1,Tasks[[#This Row],[_LeafTotalWork]]&gt;0),Tasks[[#This Row],[_Res3Work]]&gt;0),Tasks[[#This Row],[_Res3Work]]/(Tasks[[#This Row],[_FinishWorkday]]-Tasks[[#This Row],[_StartWorkday]]+1),0)</f>
        <v/>
      </c>
      <c r="EF156" s="42">
        <f>Tasks[[#This Row],[_Res3WorkPerWD]]*MAX(0,Tasks[[#This Row],[_StartWorkday]]-1)</f>
        <v/>
      </c>
      <c r="EG156" s="42">
        <f>Tasks[[#This Row],[_Res3Work]]*Tasks[[#This Row],[_LeafProgress]]</f>
        <v/>
      </c>
      <c r="EH156" s="42">
        <f>IF(Tasks[[#This Row],[_Res4Text]]="","",IF(Tasks[[#This Row],[_Res4Row]]&gt;0,INDEX(res_Name,Tasks[[#This Row],[_Res4Row]]),TRIM(LEFT(Tasks[[#This Row],[_Res4Text]],FIND("[",Tasks[[#This Row],[_Res4Text]]&amp;"[")-1))))</f>
        <v/>
      </c>
      <c r="EI15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6" s="42">
        <f>IF(OR(NOT(Tasks[[#This Row],[_IsLeaf]]=1),Tasks[[#This Row],[_Res4Row]]=0),0,N(Tasks[[#This Row],[_Days]])*HoursPerDay*IF(Tasks[[#This Row],[_Res4Units]]="",DefaultUnits,Tasks[[#This Row],[_Res4Units]]))</f>
        <v/>
      </c>
      <c r="EK156" s="42">
        <f>IF(AND(AND(Tasks[[#This Row],[_IsLeaf]]=1,Tasks[[#This Row],[_LeafTotalWork]]&gt;0),Tasks[[#This Row],[_Res4Work]]&gt;0),Tasks[[#This Row],[_Res4Work]]/(Tasks[[#This Row],[_FinishWorkday]]-Tasks[[#This Row],[_StartWorkday]]+1),0)</f>
        <v/>
      </c>
      <c r="EL156" s="42">
        <f>Tasks[[#This Row],[_Res4WorkPerWD]]*MAX(0,Tasks[[#This Row],[_StartWorkday]]-1)</f>
        <v/>
      </c>
      <c r="EM156" s="42">
        <f>Tasks[[#This Row],[_Res4Work]]*Tasks[[#This Row],[_LeafProgress]]</f>
        <v/>
      </c>
      <c r="EN156" s="42">
        <f>IF(ISNUMBER(Tasks[[#This Row],[% Complete]]),Tasks[[#This Row],[% Complete]],IF(Tasks[[#This Row],[Stage]]="",0,IFERROR(INDEX(stg_Pct,MATCH(Tasks[[#This Row],[Stage]],stg_Name,0)),0)))</f>
        <v/>
      </c>
      <c r="EO156" s="42">
        <f>IF(NOT(Tasks[[#This Row],[_IsLeaf]]=1),0,IF(N(Tasks[[#This Row],[Actual Finish]])&gt;0,1,MIN(1,Tasks[[#This Row],[_Pct]])))</f>
        <v/>
      </c>
      <c r="EP156" s="42">
        <f>IF(OR(NOT(Tasks[[#This Row],[_IsLeaf]]=1),Tasks[[#This Row],[_Res1Row]]=0),0,N(Tasks[[#This Row],[_Days]])*HoursPerDay*IF(Tasks[[#This Row],[_Units1]]="",DefaultUnits,Tasks[[#This Row],[_Units1]]))</f>
        <v/>
      </c>
      <c r="EQ156" s="42">
        <f>Tasks[[#This Row],[_LeafWork]]+Tasks[[#This Row],[_Res2Work]]+Tasks[[#This Row],[_Res3Work]]+Tasks[[#This Row],[_Res4Work]]</f>
        <v/>
      </c>
      <c r="ER15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6" s="42">
        <f>IF(NOT(Tasks[[#This Row],[_IsLeaf]]=1),0,MAX(_xlfn.MAXIFS(Tasks[_Row],Tasks[_Pred1UID],Tasks[[#This Row],[UID]]),_xlfn.MAXIFS(Tasks[_Row],Tasks[_Pred2UID],Tasks[[#This Row],[UID]]),_xlfn.MAXIFS(Tasks[_Row],Tasks[_Pred3UID],Tasks[[#This Row],[UID]]),_xlfn.MAXIFS(Tasks[_Row],Tasks[_Pred4UID],Tasks[[#This Row],[UID]])))</f>
        <v/>
      </c>
      <c r="FA15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6" s="88">
        <f>IF(NOT(Tasks[[#This Row],[_IsLeaf]]=1),"",IF(N(Tasks[[#This Row],[_Days]])&lt;=0,Tasks[[#This Row],[_LeafLateFinish]],WORKDAY.INTL(Tasks[[#This Row],[_LeafLateFinish]],-(Tasks[[#This Row],[_Days]]-1),WorkWeek,Holidays)))</f>
        <v/>
      </c>
      <c r="FD15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6" s="42">
        <f>AND(Tasks[[#This Row],[_IsLeaf]]=1,Tasks[[#This Row],[_LeafProgress]]&lt;1,N(Tasks[[#This Row],[_LeafTotalSlack]])&lt;=CriticalSlackDays)</f>
        <v/>
      </c>
      <c r="FF156" s="42">
        <f>IF(AND(Tasks[[#This Row],[_IsLeaf]]=1,Tasks[[#This Row],[_ConstraintCode]]=1,Tasks[[#This Row],[Mode]]&lt;&gt;"Manual",N(Tasks[[#This Row],[Actual Start]])=0),MAX(0,N(Tasks[[#This Row],[Free Slack]])),0)</f>
        <v/>
      </c>
      <c r="FG156" s="88">
        <f>IF(NOT(Tasks[[#This Row],[_IsLeaf]]=1),"",IF(Tasks[[#This Row],[_AlapShift]]=0,Tasks[[#This Row],[_LeafCalcStart]],WORKDAY.INTL(Tasks[[#This Row],[_LeafCalcStart]],Tasks[[#This Row],[_AlapShift]],WorkWeek,Holidays)))</f>
        <v/>
      </c>
      <c r="FH156" s="88">
        <f>IF(NOT(Tasks[[#This Row],[_IsLeaf]]=1),"",IF(Tasks[[#This Row],[_AlapShift]]=0,Tasks[[#This Row],[_LeafCalcFinish]],WORKDAY.INTL(Tasks[[#This Row],[_LeafCalcFinish]],Tasks[[#This Row],[_AlapShift]],WorkWeek,Holidays)))</f>
        <v/>
      </c>
      <c r="FI156" s="88">
        <f>IF(NOT(Tasks[[#This Row],[_IsLeaf]]=1),"",IF(Tasks[[#This Row],[_AlapShift]]=0,Tasks[[#This Row],[_LeafFcstStart]],WORKDAY.INTL(Tasks[[#This Row],[_LeafFcstStart]],Tasks[[#This Row],[_AlapShift]],WorkWeek,Holidays)))</f>
        <v/>
      </c>
      <c r="FJ156" s="88">
        <f>IF(NOT(Tasks[[#This Row],[_IsLeaf]]=1),"",IF(Tasks[[#This Row],[_AlapShift]]=0,Tasks[[#This Row],[_LeafFcstFinish]],WORKDAY.INTL(Tasks[[#This Row],[_LeafFcstFinish]],Tasks[[#This Row],[_AlapShift]],WorkWeek,Holidays)))</f>
        <v/>
      </c>
      <c r="FK156" s="88">
        <f>IF(Tasks[[#This Row],[Task Name]]="","",IF(Tasks[[#This Row],[_IsSummary]],MIN(INDEX(Tasks[_ShownCalcStart],Tasks[[#This Row],[_Row]]+1):INDEX(Tasks[_ShownCalcStart],Tasks[[#This Row],[_Row]]+Tasks[[#This Row],[_Descendants]])),Tasks[[#This Row],[_ShownCalcStart]]))</f>
        <v/>
      </c>
      <c r="FL156" s="88">
        <f>IF(Tasks[[#This Row],[Task Name]]="","",IF(Tasks[[#This Row],[_IsSummary]],MAX(INDEX(Tasks[_ShownCalcFinish],Tasks[[#This Row],[_Row]]+1):INDEX(Tasks[_ShownCalcFinish],Tasks[[#This Row],[_Row]]+Tasks[[#This Row],[_Descendants]])),Tasks[[#This Row],[_ShownCalcFinish]]))</f>
        <v/>
      </c>
      <c r="FM15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6" s="42">
        <f>IF(AND(Tasks[[#This Row],[_IsLeaf]]=1,Tasks[[#This Row],[_LeafTotalWork]]&gt;0),NETWORKDAYS.INTL(ProjectStart,Tasks[[#This Row],[_ShownFcstStart]],WorkWeek,Holidays),0)</f>
        <v/>
      </c>
      <c r="FZ156" s="42">
        <f>IF(AND(Tasks[[#This Row],[_IsLeaf]]=1,Tasks[[#This Row],[_LeafTotalWork]]&gt;0),MAX(Tasks[[#This Row],[_StartWorkday]],NETWORKDAYS.INTL(ProjectStart,Tasks[[#This Row],[_ShownFcstFinish]],WorkWeek,Holidays)),0)</f>
        <v/>
      </c>
      <c r="GA156" s="42">
        <f>IF(AND(Tasks[[#This Row],[_IsLeaf]]=1,Tasks[[#This Row],[_LeafTotalWork]]&gt;0),Tasks[[#This Row],[_LeafWork]]/(Tasks[[#This Row],[_FinishWorkday]]-Tasks[[#This Row],[_StartWorkday]]+1),0)</f>
        <v/>
      </c>
      <c r="GB156" s="42">
        <f>Tasks[[#This Row],[_WorkPerWorkday]]*(Tasks[[#This Row],[_StartWorkday]]-1)</f>
        <v/>
      </c>
      <c r="GC156" s="42">
        <f>IF(Tasks[[#This Row],[_IsLeaf]]=1,MAX(N(Tasks[[#This Row],[_Days]]),0.1),0)</f>
        <v/>
      </c>
      <c r="GD156" s="42">
        <f>Tasks[[#This Row],[_WeightDur]]*Tasks[[#This Row],[_LeafProgress]]</f>
        <v/>
      </c>
      <c r="GE156" s="42">
        <f>Tasks[[#This Row],[_WeightDur]]*Tasks[[#This Row],[_PlannedPct]]</f>
        <v/>
      </c>
      <c r="GF15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6" s="42">
        <f>IF(AND(Tasks[[#This Row],[_IsLeaf]]=1,N(Tasks[[#This Row],[_Days]])=0,Tasks[[#This Row],[_LeafProgress]]&lt;1),Tasks[[#This Row],[_ShownFcstFinish]]+Tasks[[#This Row],[_Row]]/100000,"")</f>
        <v/>
      </c>
      <c r="GH15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6" s="42">
        <f>IF(Tasks[[#This Row],[Task Name]]="","",LEFT(Tasks[[#This Row],[WBS]],FIND(".",Tasks[[#This Row],[WBS]]&amp;".")-1))</f>
        <v/>
      </c>
      <c r="GJ156" s="42">
        <f>IF(AND(Tasks[[#This Row],[Task Name]]&lt;&gt;"",Tasks[[#This Row],[_Level]]=1),Tasks[[#This Row],[_Row]],"")</f>
        <v/>
      </c>
      <c r="GK156" s="42">
        <f>IF(AND(Tasks[[#This Row],[_IsLeaf]]=1,N(Tasks[[#This Row],[_Days]])=0),Tasks[[#This Row],[Planned Finish]]+Tasks[[#This Row],[_Row]]/100000,"")</f>
        <v/>
      </c>
      <c r="GL156" s="42">
        <f>IF(AND(Tasks[[#This Row],[_IsLeaf]]=1,Tasks[[#This Row],[_LeafProgress]]&lt;1,OR(N(Tasks[[#This Row],[Finish Var]])&gt;0,Tasks[[#This Row],[Status]]="Late Start")),MAX(0,Tasks[[#This Row],[Finish Var]])+1-Tasks[[#This Row],[_Row]]/1000000,"")</f>
        <v/>
      </c>
      <c r="GM156" s="42">
        <f>IF(AND(Tasks[[#This Row],[_IsLeaf]]=1,N(Tasks[[#This Row],[Actual Start]])=0,Tasks[[#This Row],[_ShownFcstStart]]&gt;=StatusDate,Tasks[[#This Row],[_ShownFcstStart]]&lt;=LookaheadEnd),Tasks[[#This Row],[_ShownFcstStart]]+Tasks[[#This Row],[_Row]]/100000,"")</f>
        <v/>
      </c>
      <c r="GN156" s="42">
        <f>IF(AND(Tasks[[#This Row],[_IsLeaf]]=1,Tasks[[#This Row],[_LeafProgress]]&lt;1,Tasks[[#This Row],[_ShownFcstFinish]]&gt;=StatusDate,Tasks[[#This Row],[_ShownFcstFinish]]&lt;=LookaheadEnd),Tasks[[#This Row],[_ShownFcstFinish]]+Tasks[[#This Row],[_Row]]/100000,"")</f>
        <v/>
      </c>
      <c r="GO156" s="42">
        <f>IF(Tasks[[#This Row],[_LeafCritical]],Tasks[[#This Row],[_ShownFcstStart]]+Tasks[[#This Row],[_Row]]/100000,"")</f>
        <v/>
      </c>
      <c r="GP156" s="42">
        <f>Tasks[[#This Row],[_LeafWork]]*Tasks[[#This Row],[_LeafProgress]]</f>
        <v/>
      </c>
      <c r="GQ156" s="88">
        <f>IF(AND(Tasks[[#This Row],[_IsLeaf]]=1,Tasks[[#This Row],[_LeafProgress]]&gt;=1),IF(N(Tasks[[#This Row],[Actual Finish]])&gt;0,Tasks[[#This Row],[Actual Finish]],Tasks[[#This Row],[_ShownFcstFinish]]),"")</f>
        <v/>
      </c>
      <c r="GR156" s="42">
        <f>IF(Tasks[[#This Row],[_IsLeaf]]=1,N(Tasks[[#This Row],[Story Points]]),0)</f>
        <v/>
      </c>
      <c r="GS156" s="42">
        <f>""</f>
        <v/>
      </c>
      <c r="GT156" s="42">
        <f>IF(Tasks[[#This Row],[Task Name]]="",FALSE(),AND(Tasks[[#This Row],[_IsLeaf]]=1,N(Tasks[[#This Row],[_Days]])=0))</f>
        <v/>
      </c>
      <c r="GU156" s="88">
        <f>IF(Tasks[[#This Row],[Task Name]]="",0,IF(AND(Tasks[[#This Row],[_IsLeaf]]=1,NOT(Tasks[[#This Row],[_IsMilestone]]),N(Tasks[[#This Row],[Progress]])&gt;0),Tasks[[#This Row],[Start]],0))</f>
        <v/>
      </c>
      <c r="GV156" s="88">
        <f>IF(Tasks[[#This Row],[_DoneFrom]]=0,0,IF(Tasks[[#This Row],[Progress]]&gt;=1,Tasks[[#This Row],[Finish]],MAX(Tasks[[#This Row],[_DoneFrom]],Tasks[[#This Row],[Start]]+ROUND((Tasks[[#This Row],[Finish]]-Tasks[[#This Row],[Start]]+1)*Tasks[[#This Row],[Progress]],0)-1)))</f>
        <v/>
      </c>
      <c r="GW156" s="88">
        <f>IF(Tasks[[#This Row],[Task Name]]="",0,IF(OR(NOT(Tasks[[#This Row],[_IsLeaf]]=1),Tasks[[#This Row],[_IsMilestone]],N(Tasks[[#This Row],[Progress]])&gt;=1),0,IF(Tasks[[#This Row],[_DoneTo]]&gt;0,Tasks[[#This Row],[_DoneTo]]+1,Tasks[[#This Row],[Start]])))</f>
        <v/>
      </c>
      <c r="GX156" s="88">
        <f>IF(Tasks[[#This Row],[_RemFrom]]=0,0,Tasks[[#This Row],[Finish]])</f>
        <v/>
      </c>
      <c r="GY156" s="42">
        <f>IF(Tasks[[#This Row],[Task Name]]="",FALSE(),OR(NOT(BaselineSet),N(Tasks[[#This Row],[Baseline Start]])&gt;0))</f>
        <v/>
      </c>
      <c r="GZ156" s="42">
        <f>IF(AND(Sandbox="Yes",L_PARSE_DURATION(Tasks[[#This Row],[Sandbox Duration]])&lt;&gt;""),L_PARSE_DURATION(Tasks[[#This Row],[Sandbox Duration]]),L_PARSE_DURATION(Tasks[[#This Row],[Duration]]))</f>
        <v/>
      </c>
      <c r="HA15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6" s="42">
        <f>IF(Tasks[[#This Row],[_IsLeaf]]=1,Tasks[[#This Row],[_Row]],"")</f>
        <v/>
      </c>
      <c r="HD156" s="42">
        <f>IFERROR(INDEX(Tasks[UID],SMALL(Tasks[_PickKey],Tasks[[#This Row],[_Row]]))&amp;" "&amp;INDEX(Tasks[Task Name],SMALL(Tasks[_PickKey],Tasks[[#This Row],[_Row]])),"")</f>
        <v/>
      </c>
      <c r="HE156" s="42">
        <f>IF(Tasks[[#This Row],[Task Name]]="","",IF(Tasks[[#This Row],[_IsSummary]],NETWORKDAYS.INTL(Tasks[[#This Row],[Start]],Tasks[[#This Row],[Finish]],WorkWeek,Holidays),N(Tasks[[#This Row],[_Days]])))</f>
        <v/>
      </c>
      <c r="HF156" s="42">
        <f>IF(Tasks[[#This Row],[Expected]]="",0,((Tasks[[#This Row],[Pessimistic]]-Tasks[[#This Row],[Optimistic]])/6)^2)</f>
        <v/>
      </c>
      <c r="HG156" s="42">
        <f>IF(Tasks[[#This Row],[Expected]]="",0,Tasks[[#This Row],[Expected]]-N(Tasks[[#This Row],[_Days]]))</f>
        <v/>
      </c>
    </row>
    <row r="157">
      <c r="A157" s="21">
        <f>IF(Tasks[[#This Row],[Task Name]]="","",COUNTA(Tasks[[#Headers],[Task Name]]:Tasks[[#This Row],[Task Name]])-1)</f>
        <v/>
      </c>
      <c r="B157" s="22" t="n">
        <v>165</v>
      </c>
      <c r="C157" s="22" t="n"/>
      <c r="D157" s="23" t="n"/>
      <c r="E157" s="22" t="n"/>
      <c r="F157" s="23" t="n"/>
      <c r="G157" s="22" t="n"/>
      <c r="H157" s="22" t="n"/>
      <c r="I157" s="23" t="n"/>
      <c r="J157" s="22" t="n"/>
      <c r="K157" s="22" t="n"/>
      <c r="L157" s="23" t="n"/>
      <c r="M157" s="22" t="n"/>
      <c r="N157" s="22" t="n"/>
      <c r="O157" s="23" t="n"/>
      <c r="P157" s="22" t="n"/>
      <c r="Q157" s="22" t="n"/>
      <c r="R157" s="23" t="n"/>
      <c r="S157" s="23" t="n"/>
      <c r="T157" s="82" t="n"/>
      <c r="U157" s="23" t="n"/>
      <c r="V157" s="82" t="n"/>
      <c r="W157" s="23" t="n"/>
      <c r="X157" s="82" t="n"/>
      <c r="Y157" s="23" t="n"/>
      <c r="Z157" s="82" t="n"/>
      <c r="AA157" s="23" t="n"/>
      <c r="AB157" s="23" t="n"/>
      <c r="AC157" s="7" t="n"/>
      <c r="AD157" s="7" t="n"/>
      <c r="AE157" s="61">
        <f>IF(Tasks[[#This Row],[Task Name]]="","",IF(Tasks[[#This Row],[_IsSummary]],MIN(INDEX(Tasks[_ShownFcstStart],Tasks[[#This Row],[_Row]]+1):INDEX(Tasks[_ShownFcstStart],Tasks[[#This Row],[_Row]]+Tasks[[#This Row],[_Descendants]])),Tasks[[#This Row],[_ShownFcstStart]]))</f>
        <v/>
      </c>
      <c r="AF157" s="61">
        <f>IF(Tasks[[#This Row],[Task Name]]="","",IF(Tasks[[#This Row],[_IsSummary]],MAX(INDEX(Tasks[_ShownFcstFinish],Tasks[[#This Row],[_Row]]+1):INDEX(Tasks[_ShownFcstFinish],Tasks[[#This Row],[_Row]]+Tasks[[#This Row],[_Descendants]])),Tasks[[#This Row],[_ShownFcstFinish]]))</f>
        <v/>
      </c>
      <c r="AG157" s="21">
        <f>""</f>
        <v/>
      </c>
      <c r="AH157" s="23" t="n"/>
      <c r="AI15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7" s="7" t="n"/>
      <c r="AK157" s="22" t="n"/>
      <c r="AL157" s="23" t="n"/>
      <c r="AM157" s="7" t="n"/>
      <c r="AN157" s="21">
        <f>IF(Tasks[[#This Row],[Task Name]]="","",IF(Tasks[[#This Row],[Finish]]&gt;=Tasks[[#This Row],[Planned Finish]],NETWORKDAYS.INTL(Tasks[[#This Row],[Planned Finish]],Tasks[[#This Row],[Finish]],WorkWeek,Holidays)-1,1-NETWORKDAYS.INTL(Tasks[[#This Row],[Finish]],Tasks[[#This Row],[Planned Finish]],WorkWeek,Holidays)))</f>
        <v/>
      </c>
      <c r="AO157" s="21">
        <f>IF(Tasks[[#This Row],[Task Name]]="","",IF(Tasks[[#This Row],[Progress]]&gt;=1,"Complete",IF(OR(N(Tasks[[#This Row],[Actual Start]])&gt;0,Tasks[[#This Row],[Progress]]&gt;0),IF(Tasks[[#This Row],[Finish Var]]&gt;0,"Behind","In Progress"),IF(Tasks[[#This Row],[Planned Start]]&lt;StatusDate,"Late Start","Not Started"))))</f>
        <v/>
      </c>
      <c r="AP157" s="21">
        <f>IF(Tasks[[#This Row],[Task Name]]="","",IF(IF(Tasks[[#This Row],[_IsSummary]],COUNTIF(INDEX(Tasks[_LeafCritical],Tasks[[#This Row],[_Row]]+1):INDEX(Tasks[_LeafCritical],Tasks[[#This Row],[_Row]]+Tasks[[#This Row],[_Descendants]]),TRUE())&gt;0,Tasks[[#This Row],[_LeafCritical]]),"Yes",""))</f>
        <v/>
      </c>
      <c r="AQ157" s="61">
        <f>IF(Tasks[[#This Row],[Task Name]]="","",IF(N(Tasks[[#This Row],[Baseline Start]])&gt;0,Tasks[[#This Row],[Baseline Start]],Tasks[[#This Row],[_CalcStart]]))</f>
        <v/>
      </c>
      <c r="AR157" s="61">
        <f>IF(Tasks[[#This Row],[Task Name]]="","",IF(N(Tasks[[#This Row],[Baseline Finish]])&gt;0,Tasks[[#This Row],[Baseline Finish]],Tasks[[#This Row],[_CalcFinish]]))</f>
        <v/>
      </c>
      <c r="AS157" s="21">
        <f>IF(Tasks[[#This Row],[Task Name]]="","",IF(Tasks[[#This Row],[Start]]&gt;=Tasks[[#This Row],[Planned Start]],NETWORKDAYS.INTL(Tasks[[#This Row],[Planned Start]],Tasks[[#This Row],[Start]],WorkWeek,Holidays)-1,1-NETWORKDAYS.INTL(Tasks[[#This Row],[Start]],Tasks[[#This Row],[Planned Start]],WorkWeek,Holidays)))</f>
        <v/>
      </c>
      <c r="AT157" s="61">
        <f>IF(Tasks[[#This Row],[Task Name]]="","",IF(Tasks[[#This Row],[_IsSummary]],MIN(INDEX(Tasks[_LeafLateStart],Tasks[[#This Row],[_Row]]+1):INDEX(Tasks[_LeafLateStart],Tasks[[#This Row],[_Row]]+Tasks[[#This Row],[_Descendants]])),Tasks[[#This Row],[_LeafLateStart]]))</f>
        <v/>
      </c>
      <c r="AU157" s="61">
        <f>IF(Tasks[[#This Row],[Task Name]]="","",IF(Tasks[[#This Row],[_IsSummary]],MAX(INDEX(Tasks[_LeafLateFinish],Tasks[[#This Row],[_Row]]+1):INDEX(Tasks[_LeafLateFinish],Tasks[[#This Row],[_Row]]+Tasks[[#This Row],[_Descendants]])),Tasks[[#This Row],[_LeafLateFinish]]))</f>
        <v/>
      </c>
      <c r="AV157" s="21">
        <f>IF(Tasks[[#This Row],[Task Name]]="","",IF(Tasks[[#This Row],[_IsSummary]],MIN(INDEX(Tasks[_LeafTotalSlack],Tasks[[#This Row],[_Row]]+1):INDEX(Tasks[_LeafTotalSlack],Tasks[[#This Row],[_Row]]+Tasks[[#This Row],[_Descendants]])),Tasks[[#This Row],[_LeafTotalSlack]]))</f>
        <v/>
      </c>
      <c r="AW15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3" t="n"/>
      <c r="BA15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f>IF(Tasks[[#This Row],[Task Name]]="","",IF(Tasks[[#This Row],[_Level]]&lt;=OutlineShowLevel,"Yes","No"))</f>
        <v/>
      </c>
      <c r="BE157" s="84">
        <f>IF(Tasks[[#This Row],[Task Name]]="","",IF(Tasks[[#This Row],[_IsSummary]],SUM(INDEX(Tasks[_LeafTotalWork],Tasks[[#This Row],[_Row]]+1):INDEX(Tasks[_LeafTotalWork],Tasks[[#This Row],[_Row]]+Tasks[[#This Row],[_Descendants]])),Tasks[[#This Row],[_LeafTotalWork]]))</f>
        <v/>
      </c>
      <c r="BF157" s="23" t="n"/>
      <c r="BG15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f>""</f>
        <v/>
      </c>
      <c r="BI157" s="85" t="n"/>
      <c r="BJ157" s="22" t="n"/>
      <c r="BK157" s="21">
        <f>IF(OR(Tasks[[#This Row],[Task Name]]="",Tasks[[#This Row],[Baseline Duration]]=""),"",Tasks[[#This Row],[_SpanDays]]-N(Tasks[[#This Row],[Baseline Duration]]))</f>
        <v/>
      </c>
      <c r="BL157" s="84">
        <f>IF(OR(Tasks[[#This Row],[Task Name]]="",Tasks[[#This Row],[Baseline Work]]=""),"",Tasks[[#This Row],[Work]]-N(Tasks[[#This Row],[Baseline Work]]))</f>
        <v/>
      </c>
      <c r="BM157" s="61">
        <f>IF(Tasks[[#This Row],[Task Name]]="","",IF(OR(TakeBaseline="Yes",N(Tasks[[#This Row],[Baseline Start]])=0),Tasks[[#This Row],[Start]],Tasks[[#This Row],[Baseline Start]]))</f>
        <v/>
      </c>
      <c r="BN157" s="61">
        <f>IF(Tasks[[#This Row],[Task Name]]="","",IF(OR(TakeBaseline="Yes",N(Tasks[[#This Row],[Baseline Finish]])=0),Tasks[[#This Row],[Finish]],Tasks[[#This Row],[Baseline Finish]]))</f>
        <v/>
      </c>
      <c r="BO157" s="21">
        <f>IF(Tasks[[#This Row],[Task Name]]="","",IF(OR(TakeBaseline="Yes",N(Tasks[[#This Row],[Baseline Duration]])=0),Tasks[[#This Row],[_SpanDays]],Tasks[[#This Row],[Baseline Duration]]))</f>
        <v/>
      </c>
      <c r="BP157" s="84">
        <f>IF(Tasks[[#This Row],[Task Name]]="","",IF(OR(TakeBaseline="Yes",N(Tasks[[#This Row],[Baseline Work]])=0),Tasks[[#This Row],[Work]],Tasks[[#This Row],[Baseline Work]]))</f>
        <v/>
      </c>
      <c r="BQ157" s="7" t="n"/>
      <c r="BR157" s="7" t="n"/>
      <c r="BS157" s="22" t="n"/>
      <c r="BT157" s="86" t="n"/>
      <c r="BU157" s="23" t="n"/>
      <c r="BV157" s="23" t="n"/>
      <c r="BW157" s="23" t="n"/>
      <c r="BX157" s="87">
        <f>IF(AND(Tasks[[#This Row],[_IsLeaf]]=1,ISNUMBER(Tasks[[#This Row],[Optimistic]]),ISNUMBER(Tasks[[#This Row],[Pessimistic]])),ROUND((Tasks[[#This Row],[Optimistic]]+4*N(Tasks[[#This Row],[_Days]])+Tasks[[#This Row],[Pessimistic]])/6,1),"")</f>
        <v/>
      </c>
      <c r="BY157" s="85" t="n"/>
      <c r="BZ157" s="85" t="n"/>
      <c r="CA157" s="22" t="n"/>
      <c r="CB157" s="42">
        <f>IF(Tasks[[#This Row],[Task Name]]="","",MAX(1,N(Tasks[[#This Row],[Level]])))</f>
        <v/>
      </c>
      <c r="CC157" s="42">
        <f>ROW()-ROW(Tasks[[#Headers],[ID]])</f>
        <v/>
      </c>
      <c r="CD157" s="42">
        <f>IF(OR(Tasks[[#This Row],[Task Name]]="",Tasks[[#This Row],[_Level]]&lt;=1),0,IFERROR(LOOKUP(2,1/(Tasks[[#Headers],[_Level]]:Tasks[[#This Row],[_Level]]=Tasks[[#This Row],[_Level]]-1),ROW(Tasks[[#Headers],[_Level]]:Tasks[[#This Row],[_Level]])),0))</f>
        <v/>
      </c>
      <c r="CE157" s="42">
        <f>IFERROR(N(INDEX(Tasks[_Level],Tasks[[#This Row],[_Row]]+1)),0)</f>
        <v/>
      </c>
      <c r="CF157" s="42">
        <f>AND(Tasks[[#This Row],[Task Name]]&lt;&gt;"",Tasks[[#This Row],[_NextLevel]]&gt;Tasks[[#This Row],[_Level]])</f>
        <v/>
      </c>
      <c r="CG157" s="42">
        <f>IF(Tasks[[#This Row],[_IsSummary]],COUNTIF(Tasks[WBS],Tasks[[#This Row],[WBS]]&amp;".*"),0)</f>
        <v/>
      </c>
      <c r="CH157" s="42">
        <f>IF(AND(Tasks[[#This Row],[Task Name]]&lt;&gt;"",NOT(Tasks[[#This Row],[_IsSummary]])),1,0)</f>
        <v/>
      </c>
      <c r="CI157" s="42">
        <f>IF(N(Tasks[[#This Row],[_Pred1UID]])=0,0,IFERROR(MATCH(Tasks[[#This Row],[_Pred1UID]],Tasks[UID],0),-1))</f>
        <v/>
      </c>
      <c r="CJ157" s="42">
        <f>IF(N(Tasks[[#This Row],[_Pred2UID]])=0,0,IFERROR(MATCH(Tasks[[#This Row],[_Pred2UID]],Tasks[UID],0),-1))</f>
        <v/>
      </c>
      <c r="CK157" s="42">
        <f>IF(N(Tasks[[#This Row],[_Pred3UID]])=0,0,IFERROR(MATCH(Tasks[[#This Row],[_Pred3UID]],Tasks[UID],0),-1))</f>
        <v/>
      </c>
      <c r="CL157" s="42">
        <f>IF(N(Tasks[[#This Row],[_Pred4UID]])=0,0,IFERROR(MATCH(Tasks[[#This Row],[_Pred4UID]],Tasks[UID],0),-1))</f>
        <v/>
      </c>
      <c r="CM15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7" s="88">
        <f>IF(N(Tasks[[#This Row],[Constraint Date]])=0,0,IF(AND(OR(Tasks[[#This Row],[_ConstraintCode]]=3,Tasks[[#This Row],[_ConstraintCode]]=6,Tasks[[#This Row],[_ConstraintCode]]=7),N(Tasks[[#This Row],[_Days]])&gt;1),WORKDAY.INTL(N(Tasks[[#This Row],[Constraint Date]]),-(N(Tasks[[#This Row],[_Days]])-1),WorkWeek,Holidays),N(Tasks[[#This Row],[Constraint Date]])))</f>
        <v/>
      </c>
      <c r="CO157" s="88">
        <f>IF(OR(Tasks[[#This Row],[_ConstraintCode]]=2,Tasks[[#This Row],[_ConstraintCode]]=3,Tasks[[#This Row],[_ConstraintCode]]=4,Tasks[[#This Row],[_ConstraintCode]]=6),Tasks[[#This Row],[_ConstraintStart]],0)</f>
        <v/>
      </c>
      <c r="CP157" s="88">
        <f>IF(OR(Tasks[[#This Row],[_ConstraintCode]]=2,Tasks[[#This Row],[_ConstraintCode]]=3,Tasks[[#This Row],[_ConstraintCode]]=5,Tasks[[#This Row],[_ConstraintCode]]=7),Tasks[[#This Row],[_ConstraintStart]],2958465)</f>
        <v/>
      </c>
      <c r="CQ15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7" s="88">
        <f>IF(NOT(Tasks[[#This Row],[_IsLeaf]]=1),"",IF(N(Tasks[[#This Row],[_Days]])&lt;=0,Tasks[[#This Row],[_LeafCalcStart]],WORKDAY.INTL(Tasks[[#This Row],[_LeafCalcStart]],Tasks[[#This Row],[_Days]]-1,WorkWeek,Holidays)))</f>
        <v/>
      </c>
      <c r="CS15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7" s="42">
        <f>IF(Tasks[[#This Row],[_Predecessors]]="","",TRIM(MID(SUBSTITUTE(SUBSTITUTE(SUBSTITUTE(UPPER(Tasks[[#This Row],[_Predecessors]]),";",",")," ",""),",",REPT(" ",99)),1,99)))</f>
        <v/>
      </c>
      <c r="CV157" s="42">
        <f>IF(Tasks[[#This Row],[_Pred1Text]]="","",IFERROR(VALUE(LEFT(Tasks[[#This Row],[_Pred1Text]],MIN(FIND("F",Tasks[[#This Row],[_Pred1Text]]&amp;"F"),FIND("S",Tasks[[#This Row],[_Pred1Text]]&amp;"S"),FIND("+",Tasks[[#This Row],[_Pred1Text]]&amp;"+"),FIND("-",Tasks[[#This Row],[_Pred1Text]]&amp;"-"))-1)),""))</f>
        <v/>
      </c>
      <c r="CW15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7" s="42">
        <f>IF(Tasks[[#This Row],[_Pred1Text]]="","",TRIM(MID(SUBSTITUTE(SUBSTITUTE(SUBSTITUTE(UPPER(Tasks[[#This Row],[_Predecessors]]),";",",")," ",""),",",REPT(" ",99)),100,99)))</f>
        <v/>
      </c>
      <c r="CZ157" s="42">
        <f>IF(Tasks[[#This Row],[_Pred2Text]]="","",IFERROR(VALUE(LEFT(Tasks[[#This Row],[_Pred2Text]],MIN(FIND("F",Tasks[[#This Row],[_Pred2Text]]&amp;"F"),FIND("S",Tasks[[#This Row],[_Pred2Text]]&amp;"S"),FIND("+",Tasks[[#This Row],[_Pred2Text]]&amp;"+"),FIND("-",Tasks[[#This Row],[_Pred2Text]]&amp;"-"))-1)),""))</f>
        <v/>
      </c>
      <c r="DA15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7" s="42">
        <f>IF(Tasks[[#This Row],[_Pred2Text]]="","",TRIM(MID(SUBSTITUTE(SUBSTITUTE(SUBSTITUTE(UPPER(Tasks[[#This Row],[_Predecessors]]),";",",")," ",""),",",REPT(" ",99)),199,99)))</f>
        <v/>
      </c>
      <c r="DD157" s="42">
        <f>IF(Tasks[[#This Row],[_Pred3Text]]="","",IFERROR(VALUE(LEFT(Tasks[[#This Row],[_Pred3Text]],MIN(FIND("F",Tasks[[#This Row],[_Pred3Text]]&amp;"F"),FIND("S",Tasks[[#This Row],[_Pred3Text]]&amp;"S"),FIND("+",Tasks[[#This Row],[_Pred3Text]]&amp;"+"),FIND("-",Tasks[[#This Row],[_Pred3Text]]&amp;"-"))-1)),""))</f>
        <v/>
      </c>
      <c r="DE15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7" s="42">
        <f>IF(Tasks[[#This Row],[_Pred3Text]]="","",TRIM(MID(SUBSTITUTE(SUBSTITUTE(SUBSTITUTE(UPPER(Tasks[[#This Row],[_Predecessors]]),";",",")," ",""),",",REPT(" ",99)),298,99)))</f>
        <v/>
      </c>
      <c r="DH157" s="42">
        <f>IF(Tasks[[#This Row],[_Pred4Text]]="","",IFERROR(VALUE(LEFT(Tasks[[#This Row],[_Pred4Text]],MIN(FIND("F",Tasks[[#This Row],[_Pred4Text]]&amp;"F"),FIND("S",Tasks[[#This Row],[_Pred4Text]]&amp;"S"),FIND("+",Tasks[[#This Row],[_Pred4Text]]&amp;"+"),FIND("-",Tasks[[#This Row],[_Pred4Text]]&amp;"-"))-1)),""))</f>
        <v/>
      </c>
      <c r="DI15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7" s="42">
        <f>IF(OR(Tasks[[#This Row],[Task Name]]="",Tasks[[#This Row],[_Resources]]=""),"",TRIM(MID(SUBSTITUTE(Tasks[[#This Row],[_Resources]],",",REPT(" ",99)),1,99)))</f>
        <v/>
      </c>
      <c r="DL157" s="42">
        <f>IF(Tasks[[#This Row],[_Res1Text]]="","",TRIM(MID(SUBSTITUTE(Tasks[[#This Row],[_Resources]],",",REPT(" ",99)),100,99)))</f>
        <v/>
      </c>
      <c r="DM157" s="42">
        <f>IF(Tasks[[#This Row],[_Res2Text]]="","",TRIM(MID(SUBSTITUTE(Tasks[[#This Row],[_Resources]],",",REPT(" ",99)),199,99)))</f>
        <v/>
      </c>
      <c r="DN157" s="42">
        <f>IF(Tasks[[#This Row],[_Res3Text]]="","",TRIM(MID(SUBSTITUTE(Tasks[[#This Row],[_Resources]],",",REPT(" ",99)),298,99)))</f>
        <v/>
      </c>
      <c r="DO157" s="42">
        <f>IF(Tasks[[#This Row],[_Res1Text]]="",0,IFERROR(MATCH(TRIM(LEFT(Tasks[[#This Row],[_Res1Text]],FIND("[",Tasks[[#This Row],[_Res1Text]]&amp;"[")-1)),res_Name,0),IFERROR(MATCH(TRIM(LEFT(Tasks[[#This Row],[_Res1Text]],FIND("[",Tasks[[#This Row],[_Res1Text]]&amp;"[")-1)),res_Initials,0),0)))</f>
        <v/>
      </c>
      <c r="DP157" s="42">
        <f>IF(Tasks[[#This Row],[_Res2Text]]="",0,IFERROR(MATCH(TRIM(LEFT(Tasks[[#This Row],[_Res2Text]],FIND("[",Tasks[[#This Row],[_Res2Text]]&amp;"[")-1)),res_Name,0),IFERROR(MATCH(TRIM(LEFT(Tasks[[#This Row],[_Res2Text]],FIND("[",Tasks[[#This Row],[_Res2Text]]&amp;"[")-1)),res_Initials,0),0)))</f>
        <v/>
      </c>
      <c r="DQ157" s="42">
        <f>IF(Tasks[[#This Row],[_Res3Text]]="",0,IFERROR(MATCH(TRIM(LEFT(Tasks[[#This Row],[_Res3Text]],FIND("[",Tasks[[#This Row],[_Res3Text]]&amp;"[")-1)),res_Name,0),IFERROR(MATCH(TRIM(LEFT(Tasks[[#This Row],[_Res3Text]],FIND("[",Tasks[[#This Row],[_Res3Text]]&amp;"[")-1)),res_Initials,0),0)))</f>
        <v/>
      </c>
      <c r="DR157" s="42">
        <f>IF(Tasks[[#This Row],[_Res4Text]]="",0,IFERROR(MATCH(TRIM(LEFT(Tasks[[#This Row],[_Res4Text]],FIND("[",Tasks[[#This Row],[_Res4Text]]&amp;"[")-1)),res_Name,0),IFERROR(MATCH(TRIM(LEFT(Tasks[[#This Row],[_Res4Text]],FIND("[",Tasks[[#This Row],[_Res4Text]]&amp;"[")-1)),res_Initials,0),0)))</f>
        <v/>
      </c>
      <c r="DS157" s="42">
        <f>IF(Tasks[[#This Row],[_Res1Text]]="","",IF(Tasks[[#This Row],[_Res1Row]]&gt;0,INDEX(res_Name,Tasks[[#This Row],[_Res1Row]]),TRIM(LEFT(Tasks[[#This Row],[_Res1Text]],FIND("[",Tasks[[#This Row],[_Res1Text]]&amp;"[")-1))))</f>
        <v/>
      </c>
      <c r="DT15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7" s="42">
        <f>IF(NOT(Tasks[[#This Row],[_IsLeaf]]=1),0,(Tasks[[#This Row],[_Resource1]]&lt;&gt;"")+(Tasks[[#This Row],[_Res2]]&lt;&gt;"")+(Tasks[[#This Row],[_Res3]]&lt;&gt;"")+(Tasks[[#This Row],[_Res4]]&lt;&gt;""))</f>
        <v/>
      </c>
      <c r="DV157" s="42">
        <f>IF(Tasks[[#This Row],[_Res2Text]]="","",IF(Tasks[[#This Row],[_Res2Row]]&gt;0,INDEX(res_Name,Tasks[[#This Row],[_Res2Row]]),TRIM(LEFT(Tasks[[#This Row],[_Res2Text]],FIND("[",Tasks[[#This Row],[_Res2Text]]&amp;"[")-1))))</f>
        <v/>
      </c>
      <c r="DW15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7" s="42">
        <f>IF(OR(NOT(Tasks[[#This Row],[_IsLeaf]]=1),Tasks[[#This Row],[_Res2Row]]=0),0,N(Tasks[[#This Row],[_Days]])*HoursPerDay*IF(Tasks[[#This Row],[_Res2Units]]="",DefaultUnits,Tasks[[#This Row],[_Res2Units]]))</f>
        <v/>
      </c>
      <c r="DY157" s="42">
        <f>IF(AND(AND(Tasks[[#This Row],[_IsLeaf]]=1,Tasks[[#This Row],[_LeafTotalWork]]&gt;0),Tasks[[#This Row],[_Res2Work]]&gt;0),Tasks[[#This Row],[_Res2Work]]/(Tasks[[#This Row],[_FinishWorkday]]-Tasks[[#This Row],[_StartWorkday]]+1),0)</f>
        <v/>
      </c>
      <c r="DZ157" s="42">
        <f>Tasks[[#This Row],[_Res2WorkPerWD]]*MAX(0,Tasks[[#This Row],[_StartWorkday]]-1)</f>
        <v/>
      </c>
      <c r="EA157" s="42">
        <f>Tasks[[#This Row],[_Res2Work]]*Tasks[[#This Row],[_LeafProgress]]</f>
        <v/>
      </c>
      <c r="EB157" s="42">
        <f>IF(Tasks[[#This Row],[_Res3Text]]="","",IF(Tasks[[#This Row],[_Res3Row]]&gt;0,INDEX(res_Name,Tasks[[#This Row],[_Res3Row]]),TRIM(LEFT(Tasks[[#This Row],[_Res3Text]],FIND("[",Tasks[[#This Row],[_Res3Text]]&amp;"[")-1))))</f>
        <v/>
      </c>
      <c r="EC15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7" s="42">
        <f>IF(OR(NOT(Tasks[[#This Row],[_IsLeaf]]=1),Tasks[[#This Row],[_Res3Row]]=0),0,N(Tasks[[#This Row],[_Days]])*HoursPerDay*IF(Tasks[[#This Row],[_Res3Units]]="",DefaultUnits,Tasks[[#This Row],[_Res3Units]]))</f>
        <v/>
      </c>
      <c r="EE157" s="42">
        <f>IF(AND(AND(Tasks[[#This Row],[_IsLeaf]]=1,Tasks[[#This Row],[_LeafTotalWork]]&gt;0),Tasks[[#This Row],[_Res3Work]]&gt;0),Tasks[[#This Row],[_Res3Work]]/(Tasks[[#This Row],[_FinishWorkday]]-Tasks[[#This Row],[_StartWorkday]]+1),0)</f>
        <v/>
      </c>
      <c r="EF157" s="42">
        <f>Tasks[[#This Row],[_Res3WorkPerWD]]*MAX(0,Tasks[[#This Row],[_StartWorkday]]-1)</f>
        <v/>
      </c>
      <c r="EG157" s="42">
        <f>Tasks[[#This Row],[_Res3Work]]*Tasks[[#This Row],[_LeafProgress]]</f>
        <v/>
      </c>
      <c r="EH157" s="42">
        <f>IF(Tasks[[#This Row],[_Res4Text]]="","",IF(Tasks[[#This Row],[_Res4Row]]&gt;0,INDEX(res_Name,Tasks[[#This Row],[_Res4Row]]),TRIM(LEFT(Tasks[[#This Row],[_Res4Text]],FIND("[",Tasks[[#This Row],[_Res4Text]]&amp;"[")-1))))</f>
        <v/>
      </c>
      <c r="EI15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7" s="42">
        <f>IF(OR(NOT(Tasks[[#This Row],[_IsLeaf]]=1),Tasks[[#This Row],[_Res4Row]]=0),0,N(Tasks[[#This Row],[_Days]])*HoursPerDay*IF(Tasks[[#This Row],[_Res4Units]]="",DefaultUnits,Tasks[[#This Row],[_Res4Units]]))</f>
        <v/>
      </c>
      <c r="EK157" s="42">
        <f>IF(AND(AND(Tasks[[#This Row],[_IsLeaf]]=1,Tasks[[#This Row],[_LeafTotalWork]]&gt;0),Tasks[[#This Row],[_Res4Work]]&gt;0),Tasks[[#This Row],[_Res4Work]]/(Tasks[[#This Row],[_FinishWorkday]]-Tasks[[#This Row],[_StartWorkday]]+1),0)</f>
        <v/>
      </c>
      <c r="EL157" s="42">
        <f>Tasks[[#This Row],[_Res4WorkPerWD]]*MAX(0,Tasks[[#This Row],[_StartWorkday]]-1)</f>
        <v/>
      </c>
      <c r="EM157" s="42">
        <f>Tasks[[#This Row],[_Res4Work]]*Tasks[[#This Row],[_LeafProgress]]</f>
        <v/>
      </c>
      <c r="EN157" s="42">
        <f>IF(ISNUMBER(Tasks[[#This Row],[% Complete]]),Tasks[[#This Row],[% Complete]],IF(Tasks[[#This Row],[Stage]]="",0,IFERROR(INDEX(stg_Pct,MATCH(Tasks[[#This Row],[Stage]],stg_Name,0)),0)))</f>
        <v/>
      </c>
      <c r="EO157" s="42">
        <f>IF(NOT(Tasks[[#This Row],[_IsLeaf]]=1),0,IF(N(Tasks[[#This Row],[Actual Finish]])&gt;0,1,MIN(1,Tasks[[#This Row],[_Pct]])))</f>
        <v/>
      </c>
      <c r="EP157" s="42">
        <f>IF(OR(NOT(Tasks[[#This Row],[_IsLeaf]]=1),Tasks[[#This Row],[_Res1Row]]=0),0,N(Tasks[[#This Row],[_Days]])*HoursPerDay*IF(Tasks[[#This Row],[_Units1]]="",DefaultUnits,Tasks[[#This Row],[_Units1]]))</f>
        <v/>
      </c>
      <c r="EQ157" s="42">
        <f>Tasks[[#This Row],[_LeafWork]]+Tasks[[#This Row],[_Res2Work]]+Tasks[[#This Row],[_Res3Work]]+Tasks[[#This Row],[_Res4Work]]</f>
        <v/>
      </c>
      <c r="ER15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7" s="42">
        <f>IF(NOT(Tasks[[#This Row],[_IsLeaf]]=1),0,MAX(_xlfn.MAXIFS(Tasks[_Row],Tasks[_Pred1UID],Tasks[[#This Row],[UID]]),_xlfn.MAXIFS(Tasks[_Row],Tasks[_Pred2UID],Tasks[[#This Row],[UID]]),_xlfn.MAXIFS(Tasks[_Row],Tasks[_Pred3UID],Tasks[[#This Row],[UID]]),_xlfn.MAXIFS(Tasks[_Row],Tasks[_Pred4UID],Tasks[[#This Row],[UID]])))</f>
        <v/>
      </c>
      <c r="FA15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7" s="88">
        <f>IF(NOT(Tasks[[#This Row],[_IsLeaf]]=1),"",IF(N(Tasks[[#This Row],[_Days]])&lt;=0,Tasks[[#This Row],[_LeafLateFinish]],WORKDAY.INTL(Tasks[[#This Row],[_LeafLateFinish]],-(Tasks[[#This Row],[_Days]]-1),WorkWeek,Holidays)))</f>
        <v/>
      </c>
      <c r="FD15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7" s="42">
        <f>AND(Tasks[[#This Row],[_IsLeaf]]=1,Tasks[[#This Row],[_LeafProgress]]&lt;1,N(Tasks[[#This Row],[_LeafTotalSlack]])&lt;=CriticalSlackDays)</f>
        <v/>
      </c>
      <c r="FF157" s="42">
        <f>IF(AND(Tasks[[#This Row],[_IsLeaf]]=1,Tasks[[#This Row],[_ConstraintCode]]=1,Tasks[[#This Row],[Mode]]&lt;&gt;"Manual",N(Tasks[[#This Row],[Actual Start]])=0),MAX(0,N(Tasks[[#This Row],[Free Slack]])),0)</f>
        <v/>
      </c>
      <c r="FG157" s="88">
        <f>IF(NOT(Tasks[[#This Row],[_IsLeaf]]=1),"",IF(Tasks[[#This Row],[_AlapShift]]=0,Tasks[[#This Row],[_LeafCalcStart]],WORKDAY.INTL(Tasks[[#This Row],[_LeafCalcStart]],Tasks[[#This Row],[_AlapShift]],WorkWeek,Holidays)))</f>
        <v/>
      </c>
      <c r="FH157" s="88">
        <f>IF(NOT(Tasks[[#This Row],[_IsLeaf]]=1),"",IF(Tasks[[#This Row],[_AlapShift]]=0,Tasks[[#This Row],[_LeafCalcFinish]],WORKDAY.INTL(Tasks[[#This Row],[_LeafCalcFinish]],Tasks[[#This Row],[_AlapShift]],WorkWeek,Holidays)))</f>
        <v/>
      </c>
      <c r="FI157" s="88">
        <f>IF(NOT(Tasks[[#This Row],[_IsLeaf]]=1),"",IF(Tasks[[#This Row],[_AlapShift]]=0,Tasks[[#This Row],[_LeafFcstStart]],WORKDAY.INTL(Tasks[[#This Row],[_LeafFcstStart]],Tasks[[#This Row],[_AlapShift]],WorkWeek,Holidays)))</f>
        <v/>
      </c>
      <c r="FJ157" s="88">
        <f>IF(NOT(Tasks[[#This Row],[_IsLeaf]]=1),"",IF(Tasks[[#This Row],[_AlapShift]]=0,Tasks[[#This Row],[_LeafFcstFinish]],WORKDAY.INTL(Tasks[[#This Row],[_LeafFcstFinish]],Tasks[[#This Row],[_AlapShift]],WorkWeek,Holidays)))</f>
        <v/>
      </c>
      <c r="FK157" s="88">
        <f>IF(Tasks[[#This Row],[Task Name]]="","",IF(Tasks[[#This Row],[_IsSummary]],MIN(INDEX(Tasks[_ShownCalcStart],Tasks[[#This Row],[_Row]]+1):INDEX(Tasks[_ShownCalcStart],Tasks[[#This Row],[_Row]]+Tasks[[#This Row],[_Descendants]])),Tasks[[#This Row],[_ShownCalcStart]]))</f>
        <v/>
      </c>
      <c r="FL157" s="88">
        <f>IF(Tasks[[#This Row],[Task Name]]="","",IF(Tasks[[#This Row],[_IsSummary]],MAX(INDEX(Tasks[_ShownCalcFinish],Tasks[[#This Row],[_Row]]+1):INDEX(Tasks[_ShownCalcFinish],Tasks[[#This Row],[_Row]]+Tasks[[#This Row],[_Descendants]])),Tasks[[#This Row],[_ShownCalcFinish]]))</f>
        <v/>
      </c>
      <c r="FM15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7" s="42">
        <f>IF(AND(Tasks[[#This Row],[_IsLeaf]]=1,Tasks[[#This Row],[_LeafTotalWork]]&gt;0),NETWORKDAYS.INTL(ProjectStart,Tasks[[#This Row],[_ShownFcstStart]],WorkWeek,Holidays),0)</f>
        <v/>
      </c>
      <c r="FZ157" s="42">
        <f>IF(AND(Tasks[[#This Row],[_IsLeaf]]=1,Tasks[[#This Row],[_LeafTotalWork]]&gt;0),MAX(Tasks[[#This Row],[_StartWorkday]],NETWORKDAYS.INTL(ProjectStart,Tasks[[#This Row],[_ShownFcstFinish]],WorkWeek,Holidays)),0)</f>
        <v/>
      </c>
      <c r="GA157" s="42">
        <f>IF(AND(Tasks[[#This Row],[_IsLeaf]]=1,Tasks[[#This Row],[_LeafTotalWork]]&gt;0),Tasks[[#This Row],[_LeafWork]]/(Tasks[[#This Row],[_FinishWorkday]]-Tasks[[#This Row],[_StartWorkday]]+1),0)</f>
        <v/>
      </c>
      <c r="GB157" s="42">
        <f>Tasks[[#This Row],[_WorkPerWorkday]]*(Tasks[[#This Row],[_StartWorkday]]-1)</f>
        <v/>
      </c>
      <c r="GC157" s="42">
        <f>IF(Tasks[[#This Row],[_IsLeaf]]=1,MAX(N(Tasks[[#This Row],[_Days]]),0.1),0)</f>
        <v/>
      </c>
      <c r="GD157" s="42">
        <f>Tasks[[#This Row],[_WeightDur]]*Tasks[[#This Row],[_LeafProgress]]</f>
        <v/>
      </c>
      <c r="GE157" s="42">
        <f>Tasks[[#This Row],[_WeightDur]]*Tasks[[#This Row],[_PlannedPct]]</f>
        <v/>
      </c>
      <c r="GF15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7" s="42">
        <f>IF(AND(Tasks[[#This Row],[_IsLeaf]]=1,N(Tasks[[#This Row],[_Days]])=0,Tasks[[#This Row],[_LeafProgress]]&lt;1),Tasks[[#This Row],[_ShownFcstFinish]]+Tasks[[#This Row],[_Row]]/100000,"")</f>
        <v/>
      </c>
      <c r="GH15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7" s="42">
        <f>IF(Tasks[[#This Row],[Task Name]]="","",LEFT(Tasks[[#This Row],[WBS]],FIND(".",Tasks[[#This Row],[WBS]]&amp;".")-1))</f>
        <v/>
      </c>
      <c r="GJ157" s="42">
        <f>IF(AND(Tasks[[#This Row],[Task Name]]&lt;&gt;"",Tasks[[#This Row],[_Level]]=1),Tasks[[#This Row],[_Row]],"")</f>
        <v/>
      </c>
      <c r="GK157" s="42">
        <f>IF(AND(Tasks[[#This Row],[_IsLeaf]]=1,N(Tasks[[#This Row],[_Days]])=0),Tasks[[#This Row],[Planned Finish]]+Tasks[[#This Row],[_Row]]/100000,"")</f>
        <v/>
      </c>
      <c r="GL157" s="42">
        <f>IF(AND(Tasks[[#This Row],[_IsLeaf]]=1,Tasks[[#This Row],[_LeafProgress]]&lt;1,OR(N(Tasks[[#This Row],[Finish Var]])&gt;0,Tasks[[#This Row],[Status]]="Late Start")),MAX(0,Tasks[[#This Row],[Finish Var]])+1-Tasks[[#This Row],[_Row]]/1000000,"")</f>
        <v/>
      </c>
      <c r="GM157" s="42">
        <f>IF(AND(Tasks[[#This Row],[_IsLeaf]]=1,N(Tasks[[#This Row],[Actual Start]])=0,Tasks[[#This Row],[_ShownFcstStart]]&gt;=StatusDate,Tasks[[#This Row],[_ShownFcstStart]]&lt;=LookaheadEnd),Tasks[[#This Row],[_ShownFcstStart]]+Tasks[[#This Row],[_Row]]/100000,"")</f>
        <v/>
      </c>
      <c r="GN157" s="42">
        <f>IF(AND(Tasks[[#This Row],[_IsLeaf]]=1,Tasks[[#This Row],[_LeafProgress]]&lt;1,Tasks[[#This Row],[_ShownFcstFinish]]&gt;=StatusDate,Tasks[[#This Row],[_ShownFcstFinish]]&lt;=LookaheadEnd),Tasks[[#This Row],[_ShownFcstFinish]]+Tasks[[#This Row],[_Row]]/100000,"")</f>
        <v/>
      </c>
      <c r="GO157" s="42">
        <f>IF(Tasks[[#This Row],[_LeafCritical]],Tasks[[#This Row],[_ShownFcstStart]]+Tasks[[#This Row],[_Row]]/100000,"")</f>
        <v/>
      </c>
      <c r="GP157" s="42">
        <f>Tasks[[#This Row],[_LeafWork]]*Tasks[[#This Row],[_LeafProgress]]</f>
        <v/>
      </c>
      <c r="GQ157" s="88">
        <f>IF(AND(Tasks[[#This Row],[_IsLeaf]]=1,Tasks[[#This Row],[_LeafProgress]]&gt;=1),IF(N(Tasks[[#This Row],[Actual Finish]])&gt;0,Tasks[[#This Row],[Actual Finish]],Tasks[[#This Row],[_ShownFcstFinish]]),"")</f>
        <v/>
      </c>
      <c r="GR157" s="42">
        <f>IF(Tasks[[#This Row],[_IsLeaf]]=1,N(Tasks[[#This Row],[Story Points]]),0)</f>
        <v/>
      </c>
      <c r="GS157" s="42">
        <f>""</f>
        <v/>
      </c>
      <c r="GT157" s="42">
        <f>IF(Tasks[[#This Row],[Task Name]]="",FALSE(),AND(Tasks[[#This Row],[_IsLeaf]]=1,N(Tasks[[#This Row],[_Days]])=0))</f>
        <v/>
      </c>
      <c r="GU157" s="88">
        <f>IF(Tasks[[#This Row],[Task Name]]="",0,IF(AND(Tasks[[#This Row],[_IsLeaf]]=1,NOT(Tasks[[#This Row],[_IsMilestone]]),N(Tasks[[#This Row],[Progress]])&gt;0),Tasks[[#This Row],[Start]],0))</f>
        <v/>
      </c>
      <c r="GV157" s="88">
        <f>IF(Tasks[[#This Row],[_DoneFrom]]=0,0,IF(Tasks[[#This Row],[Progress]]&gt;=1,Tasks[[#This Row],[Finish]],MAX(Tasks[[#This Row],[_DoneFrom]],Tasks[[#This Row],[Start]]+ROUND((Tasks[[#This Row],[Finish]]-Tasks[[#This Row],[Start]]+1)*Tasks[[#This Row],[Progress]],0)-1)))</f>
        <v/>
      </c>
      <c r="GW157" s="88">
        <f>IF(Tasks[[#This Row],[Task Name]]="",0,IF(OR(NOT(Tasks[[#This Row],[_IsLeaf]]=1),Tasks[[#This Row],[_IsMilestone]],N(Tasks[[#This Row],[Progress]])&gt;=1),0,IF(Tasks[[#This Row],[_DoneTo]]&gt;0,Tasks[[#This Row],[_DoneTo]]+1,Tasks[[#This Row],[Start]])))</f>
        <v/>
      </c>
      <c r="GX157" s="88">
        <f>IF(Tasks[[#This Row],[_RemFrom]]=0,0,Tasks[[#This Row],[Finish]])</f>
        <v/>
      </c>
      <c r="GY157" s="42">
        <f>IF(Tasks[[#This Row],[Task Name]]="",FALSE(),OR(NOT(BaselineSet),N(Tasks[[#This Row],[Baseline Start]])&gt;0))</f>
        <v/>
      </c>
      <c r="GZ157" s="42">
        <f>IF(AND(Sandbox="Yes",L_PARSE_DURATION(Tasks[[#This Row],[Sandbox Duration]])&lt;&gt;""),L_PARSE_DURATION(Tasks[[#This Row],[Sandbox Duration]]),L_PARSE_DURATION(Tasks[[#This Row],[Duration]]))</f>
        <v/>
      </c>
      <c r="HA15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7" s="42">
        <f>IF(Tasks[[#This Row],[_IsLeaf]]=1,Tasks[[#This Row],[_Row]],"")</f>
        <v/>
      </c>
      <c r="HD157" s="42">
        <f>IFERROR(INDEX(Tasks[UID],SMALL(Tasks[_PickKey],Tasks[[#This Row],[_Row]]))&amp;" "&amp;INDEX(Tasks[Task Name],SMALL(Tasks[_PickKey],Tasks[[#This Row],[_Row]])),"")</f>
        <v/>
      </c>
      <c r="HE157" s="42">
        <f>IF(Tasks[[#This Row],[Task Name]]="","",IF(Tasks[[#This Row],[_IsSummary]],NETWORKDAYS.INTL(Tasks[[#This Row],[Start]],Tasks[[#This Row],[Finish]],WorkWeek,Holidays),N(Tasks[[#This Row],[_Days]])))</f>
        <v/>
      </c>
      <c r="HF157" s="42">
        <f>IF(Tasks[[#This Row],[Expected]]="",0,((Tasks[[#This Row],[Pessimistic]]-Tasks[[#This Row],[Optimistic]])/6)^2)</f>
        <v/>
      </c>
      <c r="HG157" s="42">
        <f>IF(Tasks[[#This Row],[Expected]]="",0,Tasks[[#This Row],[Expected]]-N(Tasks[[#This Row],[_Days]]))</f>
        <v/>
      </c>
    </row>
    <row r="158">
      <c r="A158" s="21">
        <f>IF(Tasks[[#This Row],[Task Name]]="","",COUNTA(Tasks[[#Headers],[Task Name]]:Tasks[[#This Row],[Task Name]])-1)</f>
        <v/>
      </c>
      <c r="B158" s="22" t="n">
        <v>166</v>
      </c>
      <c r="C158" s="22" t="n"/>
      <c r="D158" s="23" t="n"/>
      <c r="E158" s="22" t="n"/>
      <c r="F158" s="23" t="n"/>
      <c r="G158" s="22" t="n"/>
      <c r="H158" s="22" t="n"/>
      <c r="I158" s="23" t="n"/>
      <c r="J158" s="22" t="n"/>
      <c r="K158" s="22" t="n"/>
      <c r="L158" s="23" t="n"/>
      <c r="M158" s="22" t="n"/>
      <c r="N158" s="22" t="n"/>
      <c r="O158" s="23" t="n"/>
      <c r="P158" s="22" t="n"/>
      <c r="Q158" s="22" t="n"/>
      <c r="R158" s="23" t="n"/>
      <c r="S158" s="23" t="n"/>
      <c r="T158" s="82" t="n"/>
      <c r="U158" s="23" t="n"/>
      <c r="V158" s="82" t="n"/>
      <c r="W158" s="23" t="n"/>
      <c r="X158" s="82" t="n"/>
      <c r="Y158" s="23" t="n"/>
      <c r="Z158" s="82" t="n"/>
      <c r="AA158" s="23" t="n"/>
      <c r="AB158" s="23" t="n"/>
      <c r="AC158" s="7" t="n"/>
      <c r="AD158" s="7" t="n"/>
      <c r="AE158" s="61">
        <f>IF(Tasks[[#This Row],[Task Name]]="","",IF(Tasks[[#This Row],[_IsSummary]],MIN(INDEX(Tasks[_ShownFcstStart],Tasks[[#This Row],[_Row]]+1):INDEX(Tasks[_ShownFcstStart],Tasks[[#This Row],[_Row]]+Tasks[[#This Row],[_Descendants]])),Tasks[[#This Row],[_ShownFcstStart]]))</f>
        <v/>
      </c>
      <c r="AF158" s="61">
        <f>IF(Tasks[[#This Row],[Task Name]]="","",IF(Tasks[[#This Row],[_IsSummary]],MAX(INDEX(Tasks[_ShownFcstFinish],Tasks[[#This Row],[_Row]]+1):INDEX(Tasks[_ShownFcstFinish],Tasks[[#This Row],[_Row]]+Tasks[[#This Row],[_Descendants]])),Tasks[[#This Row],[_ShownFcstFinish]]))</f>
        <v/>
      </c>
      <c r="AG158" s="21">
        <f>""</f>
        <v/>
      </c>
      <c r="AH158" s="23" t="n"/>
      <c r="AI15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8" s="7" t="n"/>
      <c r="AK158" s="22" t="n"/>
      <c r="AL158" s="23" t="n"/>
      <c r="AM158" s="7" t="n"/>
      <c r="AN158" s="21">
        <f>IF(Tasks[[#This Row],[Task Name]]="","",IF(Tasks[[#This Row],[Finish]]&gt;=Tasks[[#This Row],[Planned Finish]],NETWORKDAYS.INTL(Tasks[[#This Row],[Planned Finish]],Tasks[[#This Row],[Finish]],WorkWeek,Holidays)-1,1-NETWORKDAYS.INTL(Tasks[[#This Row],[Finish]],Tasks[[#This Row],[Planned Finish]],WorkWeek,Holidays)))</f>
        <v/>
      </c>
      <c r="AO158" s="21">
        <f>IF(Tasks[[#This Row],[Task Name]]="","",IF(Tasks[[#This Row],[Progress]]&gt;=1,"Complete",IF(OR(N(Tasks[[#This Row],[Actual Start]])&gt;0,Tasks[[#This Row],[Progress]]&gt;0),IF(Tasks[[#This Row],[Finish Var]]&gt;0,"Behind","In Progress"),IF(Tasks[[#This Row],[Planned Start]]&lt;StatusDate,"Late Start","Not Started"))))</f>
        <v/>
      </c>
      <c r="AP158" s="21">
        <f>IF(Tasks[[#This Row],[Task Name]]="","",IF(IF(Tasks[[#This Row],[_IsSummary]],COUNTIF(INDEX(Tasks[_LeafCritical],Tasks[[#This Row],[_Row]]+1):INDEX(Tasks[_LeafCritical],Tasks[[#This Row],[_Row]]+Tasks[[#This Row],[_Descendants]]),TRUE())&gt;0,Tasks[[#This Row],[_LeafCritical]]),"Yes",""))</f>
        <v/>
      </c>
      <c r="AQ158" s="61">
        <f>IF(Tasks[[#This Row],[Task Name]]="","",IF(N(Tasks[[#This Row],[Baseline Start]])&gt;0,Tasks[[#This Row],[Baseline Start]],Tasks[[#This Row],[_CalcStart]]))</f>
        <v/>
      </c>
      <c r="AR158" s="61">
        <f>IF(Tasks[[#This Row],[Task Name]]="","",IF(N(Tasks[[#This Row],[Baseline Finish]])&gt;0,Tasks[[#This Row],[Baseline Finish]],Tasks[[#This Row],[_CalcFinish]]))</f>
        <v/>
      </c>
      <c r="AS158" s="21">
        <f>IF(Tasks[[#This Row],[Task Name]]="","",IF(Tasks[[#This Row],[Start]]&gt;=Tasks[[#This Row],[Planned Start]],NETWORKDAYS.INTL(Tasks[[#This Row],[Planned Start]],Tasks[[#This Row],[Start]],WorkWeek,Holidays)-1,1-NETWORKDAYS.INTL(Tasks[[#This Row],[Start]],Tasks[[#This Row],[Planned Start]],WorkWeek,Holidays)))</f>
        <v/>
      </c>
      <c r="AT158" s="61">
        <f>IF(Tasks[[#This Row],[Task Name]]="","",IF(Tasks[[#This Row],[_IsSummary]],MIN(INDEX(Tasks[_LeafLateStart],Tasks[[#This Row],[_Row]]+1):INDEX(Tasks[_LeafLateStart],Tasks[[#This Row],[_Row]]+Tasks[[#This Row],[_Descendants]])),Tasks[[#This Row],[_LeafLateStart]]))</f>
        <v/>
      </c>
      <c r="AU158" s="61">
        <f>IF(Tasks[[#This Row],[Task Name]]="","",IF(Tasks[[#This Row],[_IsSummary]],MAX(INDEX(Tasks[_LeafLateFinish],Tasks[[#This Row],[_Row]]+1):INDEX(Tasks[_LeafLateFinish],Tasks[[#This Row],[_Row]]+Tasks[[#This Row],[_Descendants]])),Tasks[[#This Row],[_LeafLateFinish]]))</f>
        <v/>
      </c>
      <c r="AV158" s="21">
        <f>IF(Tasks[[#This Row],[Task Name]]="","",IF(Tasks[[#This Row],[_IsSummary]],MIN(INDEX(Tasks[_LeafTotalSlack],Tasks[[#This Row],[_Row]]+1):INDEX(Tasks[_LeafTotalSlack],Tasks[[#This Row],[_Row]]+Tasks[[#This Row],[_Descendants]])),Tasks[[#This Row],[_LeafTotalSlack]]))</f>
        <v/>
      </c>
      <c r="AW15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3" t="n"/>
      <c r="BA15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f>IF(Tasks[[#This Row],[Task Name]]="","",IF(Tasks[[#This Row],[_Level]]&lt;=OutlineShowLevel,"Yes","No"))</f>
        <v/>
      </c>
      <c r="BE158" s="84">
        <f>IF(Tasks[[#This Row],[Task Name]]="","",IF(Tasks[[#This Row],[_IsSummary]],SUM(INDEX(Tasks[_LeafTotalWork],Tasks[[#This Row],[_Row]]+1):INDEX(Tasks[_LeafTotalWork],Tasks[[#This Row],[_Row]]+Tasks[[#This Row],[_Descendants]])),Tasks[[#This Row],[_LeafTotalWork]]))</f>
        <v/>
      </c>
      <c r="BF158" s="23" t="n"/>
      <c r="BG15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f>""</f>
        <v/>
      </c>
      <c r="BI158" s="85" t="n"/>
      <c r="BJ158" s="22" t="n"/>
      <c r="BK158" s="21">
        <f>IF(OR(Tasks[[#This Row],[Task Name]]="",Tasks[[#This Row],[Baseline Duration]]=""),"",Tasks[[#This Row],[_SpanDays]]-N(Tasks[[#This Row],[Baseline Duration]]))</f>
        <v/>
      </c>
      <c r="BL158" s="84">
        <f>IF(OR(Tasks[[#This Row],[Task Name]]="",Tasks[[#This Row],[Baseline Work]]=""),"",Tasks[[#This Row],[Work]]-N(Tasks[[#This Row],[Baseline Work]]))</f>
        <v/>
      </c>
      <c r="BM158" s="61">
        <f>IF(Tasks[[#This Row],[Task Name]]="","",IF(OR(TakeBaseline="Yes",N(Tasks[[#This Row],[Baseline Start]])=0),Tasks[[#This Row],[Start]],Tasks[[#This Row],[Baseline Start]]))</f>
        <v/>
      </c>
      <c r="BN158" s="61">
        <f>IF(Tasks[[#This Row],[Task Name]]="","",IF(OR(TakeBaseline="Yes",N(Tasks[[#This Row],[Baseline Finish]])=0),Tasks[[#This Row],[Finish]],Tasks[[#This Row],[Baseline Finish]]))</f>
        <v/>
      </c>
      <c r="BO158" s="21">
        <f>IF(Tasks[[#This Row],[Task Name]]="","",IF(OR(TakeBaseline="Yes",N(Tasks[[#This Row],[Baseline Duration]])=0),Tasks[[#This Row],[_SpanDays]],Tasks[[#This Row],[Baseline Duration]]))</f>
        <v/>
      </c>
      <c r="BP158" s="84">
        <f>IF(Tasks[[#This Row],[Task Name]]="","",IF(OR(TakeBaseline="Yes",N(Tasks[[#This Row],[Baseline Work]])=0),Tasks[[#This Row],[Work]],Tasks[[#This Row],[Baseline Work]]))</f>
        <v/>
      </c>
      <c r="BQ158" s="7" t="n"/>
      <c r="BR158" s="7" t="n"/>
      <c r="BS158" s="22" t="n"/>
      <c r="BT158" s="86" t="n"/>
      <c r="BU158" s="23" t="n"/>
      <c r="BV158" s="23" t="n"/>
      <c r="BW158" s="23" t="n"/>
      <c r="BX158" s="87">
        <f>IF(AND(Tasks[[#This Row],[_IsLeaf]]=1,ISNUMBER(Tasks[[#This Row],[Optimistic]]),ISNUMBER(Tasks[[#This Row],[Pessimistic]])),ROUND((Tasks[[#This Row],[Optimistic]]+4*N(Tasks[[#This Row],[_Days]])+Tasks[[#This Row],[Pessimistic]])/6,1),"")</f>
        <v/>
      </c>
      <c r="BY158" s="85" t="n"/>
      <c r="BZ158" s="85" t="n"/>
      <c r="CA158" s="22" t="n"/>
      <c r="CB158" s="42">
        <f>IF(Tasks[[#This Row],[Task Name]]="","",MAX(1,N(Tasks[[#This Row],[Level]])))</f>
        <v/>
      </c>
      <c r="CC158" s="42">
        <f>ROW()-ROW(Tasks[[#Headers],[ID]])</f>
        <v/>
      </c>
      <c r="CD158" s="42">
        <f>IF(OR(Tasks[[#This Row],[Task Name]]="",Tasks[[#This Row],[_Level]]&lt;=1),0,IFERROR(LOOKUP(2,1/(Tasks[[#Headers],[_Level]]:Tasks[[#This Row],[_Level]]=Tasks[[#This Row],[_Level]]-1),ROW(Tasks[[#Headers],[_Level]]:Tasks[[#This Row],[_Level]])),0))</f>
        <v/>
      </c>
      <c r="CE158" s="42">
        <f>IFERROR(N(INDEX(Tasks[_Level],Tasks[[#This Row],[_Row]]+1)),0)</f>
        <v/>
      </c>
      <c r="CF158" s="42">
        <f>AND(Tasks[[#This Row],[Task Name]]&lt;&gt;"",Tasks[[#This Row],[_NextLevel]]&gt;Tasks[[#This Row],[_Level]])</f>
        <v/>
      </c>
      <c r="CG158" s="42">
        <f>IF(Tasks[[#This Row],[_IsSummary]],COUNTIF(Tasks[WBS],Tasks[[#This Row],[WBS]]&amp;".*"),0)</f>
        <v/>
      </c>
      <c r="CH158" s="42">
        <f>IF(AND(Tasks[[#This Row],[Task Name]]&lt;&gt;"",NOT(Tasks[[#This Row],[_IsSummary]])),1,0)</f>
        <v/>
      </c>
      <c r="CI158" s="42">
        <f>IF(N(Tasks[[#This Row],[_Pred1UID]])=0,0,IFERROR(MATCH(Tasks[[#This Row],[_Pred1UID]],Tasks[UID],0),-1))</f>
        <v/>
      </c>
      <c r="CJ158" s="42">
        <f>IF(N(Tasks[[#This Row],[_Pred2UID]])=0,0,IFERROR(MATCH(Tasks[[#This Row],[_Pred2UID]],Tasks[UID],0),-1))</f>
        <v/>
      </c>
      <c r="CK158" s="42">
        <f>IF(N(Tasks[[#This Row],[_Pred3UID]])=0,0,IFERROR(MATCH(Tasks[[#This Row],[_Pred3UID]],Tasks[UID],0),-1))</f>
        <v/>
      </c>
      <c r="CL158" s="42">
        <f>IF(N(Tasks[[#This Row],[_Pred4UID]])=0,0,IFERROR(MATCH(Tasks[[#This Row],[_Pred4UID]],Tasks[UID],0),-1))</f>
        <v/>
      </c>
      <c r="CM15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8" s="88">
        <f>IF(N(Tasks[[#This Row],[Constraint Date]])=0,0,IF(AND(OR(Tasks[[#This Row],[_ConstraintCode]]=3,Tasks[[#This Row],[_ConstraintCode]]=6,Tasks[[#This Row],[_ConstraintCode]]=7),N(Tasks[[#This Row],[_Days]])&gt;1),WORKDAY.INTL(N(Tasks[[#This Row],[Constraint Date]]),-(N(Tasks[[#This Row],[_Days]])-1),WorkWeek,Holidays),N(Tasks[[#This Row],[Constraint Date]])))</f>
        <v/>
      </c>
      <c r="CO158" s="88">
        <f>IF(OR(Tasks[[#This Row],[_ConstraintCode]]=2,Tasks[[#This Row],[_ConstraintCode]]=3,Tasks[[#This Row],[_ConstraintCode]]=4,Tasks[[#This Row],[_ConstraintCode]]=6),Tasks[[#This Row],[_ConstraintStart]],0)</f>
        <v/>
      </c>
      <c r="CP158" s="88">
        <f>IF(OR(Tasks[[#This Row],[_ConstraintCode]]=2,Tasks[[#This Row],[_ConstraintCode]]=3,Tasks[[#This Row],[_ConstraintCode]]=5,Tasks[[#This Row],[_ConstraintCode]]=7),Tasks[[#This Row],[_ConstraintStart]],2958465)</f>
        <v/>
      </c>
      <c r="CQ15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8" s="88">
        <f>IF(NOT(Tasks[[#This Row],[_IsLeaf]]=1),"",IF(N(Tasks[[#This Row],[_Days]])&lt;=0,Tasks[[#This Row],[_LeafCalcStart]],WORKDAY.INTL(Tasks[[#This Row],[_LeafCalcStart]],Tasks[[#This Row],[_Days]]-1,WorkWeek,Holidays)))</f>
        <v/>
      </c>
      <c r="CS15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8" s="42">
        <f>IF(Tasks[[#This Row],[_Predecessors]]="","",TRIM(MID(SUBSTITUTE(SUBSTITUTE(SUBSTITUTE(UPPER(Tasks[[#This Row],[_Predecessors]]),";",",")," ",""),",",REPT(" ",99)),1,99)))</f>
        <v/>
      </c>
      <c r="CV158" s="42">
        <f>IF(Tasks[[#This Row],[_Pred1Text]]="","",IFERROR(VALUE(LEFT(Tasks[[#This Row],[_Pred1Text]],MIN(FIND("F",Tasks[[#This Row],[_Pred1Text]]&amp;"F"),FIND("S",Tasks[[#This Row],[_Pred1Text]]&amp;"S"),FIND("+",Tasks[[#This Row],[_Pred1Text]]&amp;"+"),FIND("-",Tasks[[#This Row],[_Pred1Text]]&amp;"-"))-1)),""))</f>
        <v/>
      </c>
      <c r="CW15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8" s="42">
        <f>IF(Tasks[[#This Row],[_Pred1Text]]="","",TRIM(MID(SUBSTITUTE(SUBSTITUTE(SUBSTITUTE(UPPER(Tasks[[#This Row],[_Predecessors]]),";",",")," ",""),",",REPT(" ",99)),100,99)))</f>
        <v/>
      </c>
      <c r="CZ158" s="42">
        <f>IF(Tasks[[#This Row],[_Pred2Text]]="","",IFERROR(VALUE(LEFT(Tasks[[#This Row],[_Pred2Text]],MIN(FIND("F",Tasks[[#This Row],[_Pred2Text]]&amp;"F"),FIND("S",Tasks[[#This Row],[_Pred2Text]]&amp;"S"),FIND("+",Tasks[[#This Row],[_Pred2Text]]&amp;"+"),FIND("-",Tasks[[#This Row],[_Pred2Text]]&amp;"-"))-1)),""))</f>
        <v/>
      </c>
      <c r="DA15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8" s="42">
        <f>IF(Tasks[[#This Row],[_Pred2Text]]="","",TRIM(MID(SUBSTITUTE(SUBSTITUTE(SUBSTITUTE(UPPER(Tasks[[#This Row],[_Predecessors]]),";",",")," ",""),",",REPT(" ",99)),199,99)))</f>
        <v/>
      </c>
      <c r="DD158" s="42">
        <f>IF(Tasks[[#This Row],[_Pred3Text]]="","",IFERROR(VALUE(LEFT(Tasks[[#This Row],[_Pred3Text]],MIN(FIND("F",Tasks[[#This Row],[_Pred3Text]]&amp;"F"),FIND("S",Tasks[[#This Row],[_Pred3Text]]&amp;"S"),FIND("+",Tasks[[#This Row],[_Pred3Text]]&amp;"+"),FIND("-",Tasks[[#This Row],[_Pred3Text]]&amp;"-"))-1)),""))</f>
        <v/>
      </c>
      <c r="DE15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8" s="42">
        <f>IF(Tasks[[#This Row],[_Pred3Text]]="","",TRIM(MID(SUBSTITUTE(SUBSTITUTE(SUBSTITUTE(UPPER(Tasks[[#This Row],[_Predecessors]]),";",",")," ",""),",",REPT(" ",99)),298,99)))</f>
        <v/>
      </c>
      <c r="DH158" s="42">
        <f>IF(Tasks[[#This Row],[_Pred4Text]]="","",IFERROR(VALUE(LEFT(Tasks[[#This Row],[_Pred4Text]],MIN(FIND("F",Tasks[[#This Row],[_Pred4Text]]&amp;"F"),FIND("S",Tasks[[#This Row],[_Pred4Text]]&amp;"S"),FIND("+",Tasks[[#This Row],[_Pred4Text]]&amp;"+"),FIND("-",Tasks[[#This Row],[_Pred4Text]]&amp;"-"))-1)),""))</f>
        <v/>
      </c>
      <c r="DI15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8" s="42">
        <f>IF(OR(Tasks[[#This Row],[Task Name]]="",Tasks[[#This Row],[_Resources]]=""),"",TRIM(MID(SUBSTITUTE(Tasks[[#This Row],[_Resources]],",",REPT(" ",99)),1,99)))</f>
        <v/>
      </c>
      <c r="DL158" s="42">
        <f>IF(Tasks[[#This Row],[_Res1Text]]="","",TRIM(MID(SUBSTITUTE(Tasks[[#This Row],[_Resources]],",",REPT(" ",99)),100,99)))</f>
        <v/>
      </c>
      <c r="DM158" s="42">
        <f>IF(Tasks[[#This Row],[_Res2Text]]="","",TRIM(MID(SUBSTITUTE(Tasks[[#This Row],[_Resources]],",",REPT(" ",99)),199,99)))</f>
        <v/>
      </c>
      <c r="DN158" s="42">
        <f>IF(Tasks[[#This Row],[_Res3Text]]="","",TRIM(MID(SUBSTITUTE(Tasks[[#This Row],[_Resources]],",",REPT(" ",99)),298,99)))</f>
        <v/>
      </c>
      <c r="DO158" s="42">
        <f>IF(Tasks[[#This Row],[_Res1Text]]="",0,IFERROR(MATCH(TRIM(LEFT(Tasks[[#This Row],[_Res1Text]],FIND("[",Tasks[[#This Row],[_Res1Text]]&amp;"[")-1)),res_Name,0),IFERROR(MATCH(TRIM(LEFT(Tasks[[#This Row],[_Res1Text]],FIND("[",Tasks[[#This Row],[_Res1Text]]&amp;"[")-1)),res_Initials,0),0)))</f>
        <v/>
      </c>
      <c r="DP158" s="42">
        <f>IF(Tasks[[#This Row],[_Res2Text]]="",0,IFERROR(MATCH(TRIM(LEFT(Tasks[[#This Row],[_Res2Text]],FIND("[",Tasks[[#This Row],[_Res2Text]]&amp;"[")-1)),res_Name,0),IFERROR(MATCH(TRIM(LEFT(Tasks[[#This Row],[_Res2Text]],FIND("[",Tasks[[#This Row],[_Res2Text]]&amp;"[")-1)),res_Initials,0),0)))</f>
        <v/>
      </c>
      <c r="DQ158" s="42">
        <f>IF(Tasks[[#This Row],[_Res3Text]]="",0,IFERROR(MATCH(TRIM(LEFT(Tasks[[#This Row],[_Res3Text]],FIND("[",Tasks[[#This Row],[_Res3Text]]&amp;"[")-1)),res_Name,0),IFERROR(MATCH(TRIM(LEFT(Tasks[[#This Row],[_Res3Text]],FIND("[",Tasks[[#This Row],[_Res3Text]]&amp;"[")-1)),res_Initials,0),0)))</f>
        <v/>
      </c>
      <c r="DR158" s="42">
        <f>IF(Tasks[[#This Row],[_Res4Text]]="",0,IFERROR(MATCH(TRIM(LEFT(Tasks[[#This Row],[_Res4Text]],FIND("[",Tasks[[#This Row],[_Res4Text]]&amp;"[")-1)),res_Name,0),IFERROR(MATCH(TRIM(LEFT(Tasks[[#This Row],[_Res4Text]],FIND("[",Tasks[[#This Row],[_Res4Text]]&amp;"[")-1)),res_Initials,0),0)))</f>
        <v/>
      </c>
      <c r="DS158" s="42">
        <f>IF(Tasks[[#This Row],[_Res1Text]]="","",IF(Tasks[[#This Row],[_Res1Row]]&gt;0,INDEX(res_Name,Tasks[[#This Row],[_Res1Row]]),TRIM(LEFT(Tasks[[#This Row],[_Res1Text]],FIND("[",Tasks[[#This Row],[_Res1Text]]&amp;"[")-1))))</f>
        <v/>
      </c>
      <c r="DT15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8" s="42">
        <f>IF(NOT(Tasks[[#This Row],[_IsLeaf]]=1),0,(Tasks[[#This Row],[_Resource1]]&lt;&gt;"")+(Tasks[[#This Row],[_Res2]]&lt;&gt;"")+(Tasks[[#This Row],[_Res3]]&lt;&gt;"")+(Tasks[[#This Row],[_Res4]]&lt;&gt;""))</f>
        <v/>
      </c>
      <c r="DV158" s="42">
        <f>IF(Tasks[[#This Row],[_Res2Text]]="","",IF(Tasks[[#This Row],[_Res2Row]]&gt;0,INDEX(res_Name,Tasks[[#This Row],[_Res2Row]]),TRIM(LEFT(Tasks[[#This Row],[_Res2Text]],FIND("[",Tasks[[#This Row],[_Res2Text]]&amp;"[")-1))))</f>
        <v/>
      </c>
      <c r="DW15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8" s="42">
        <f>IF(OR(NOT(Tasks[[#This Row],[_IsLeaf]]=1),Tasks[[#This Row],[_Res2Row]]=0),0,N(Tasks[[#This Row],[_Days]])*HoursPerDay*IF(Tasks[[#This Row],[_Res2Units]]="",DefaultUnits,Tasks[[#This Row],[_Res2Units]]))</f>
        <v/>
      </c>
      <c r="DY158" s="42">
        <f>IF(AND(AND(Tasks[[#This Row],[_IsLeaf]]=1,Tasks[[#This Row],[_LeafTotalWork]]&gt;0),Tasks[[#This Row],[_Res2Work]]&gt;0),Tasks[[#This Row],[_Res2Work]]/(Tasks[[#This Row],[_FinishWorkday]]-Tasks[[#This Row],[_StartWorkday]]+1),0)</f>
        <v/>
      </c>
      <c r="DZ158" s="42">
        <f>Tasks[[#This Row],[_Res2WorkPerWD]]*MAX(0,Tasks[[#This Row],[_StartWorkday]]-1)</f>
        <v/>
      </c>
      <c r="EA158" s="42">
        <f>Tasks[[#This Row],[_Res2Work]]*Tasks[[#This Row],[_LeafProgress]]</f>
        <v/>
      </c>
      <c r="EB158" s="42">
        <f>IF(Tasks[[#This Row],[_Res3Text]]="","",IF(Tasks[[#This Row],[_Res3Row]]&gt;0,INDEX(res_Name,Tasks[[#This Row],[_Res3Row]]),TRIM(LEFT(Tasks[[#This Row],[_Res3Text]],FIND("[",Tasks[[#This Row],[_Res3Text]]&amp;"[")-1))))</f>
        <v/>
      </c>
      <c r="EC15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8" s="42">
        <f>IF(OR(NOT(Tasks[[#This Row],[_IsLeaf]]=1),Tasks[[#This Row],[_Res3Row]]=0),0,N(Tasks[[#This Row],[_Days]])*HoursPerDay*IF(Tasks[[#This Row],[_Res3Units]]="",DefaultUnits,Tasks[[#This Row],[_Res3Units]]))</f>
        <v/>
      </c>
      <c r="EE158" s="42">
        <f>IF(AND(AND(Tasks[[#This Row],[_IsLeaf]]=1,Tasks[[#This Row],[_LeafTotalWork]]&gt;0),Tasks[[#This Row],[_Res3Work]]&gt;0),Tasks[[#This Row],[_Res3Work]]/(Tasks[[#This Row],[_FinishWorkday]]-Tasks[[#This Row],[_StartWorkday]]+1),0)</f>
        <v/>
      </c>
      <c r="EF158" s="42">
        <f>Tasks[[#This Row],[_Res3WorkPerWD]]*MAX(0,Tasks[[#This Row],[_StartWorkday]]-1)</f>
        <v/>
      </c>
      <c r="EG158" s="42">
        <f>Tasks[[#This Row],[_Res3Work]]*Tasks[[#This Row],[_LeafProgress]]</f>
        <v/>
      </c>
      <c r="EH158" s="42">
        <f>IF(Tasks[[#This Row],[_Res4Text]]="","",IF(Tasks[[#This Row],[_Res4Row]]&gt;0,INDEX(res_Name,Tasks[[#This Row],[_Res4Row]]),TRIM(LEFT(Tasks[[#This Row],[_Res4Text]],FIND("[",Tasks[[#This Row],[_Res4Text]]&amp;"[")-1))))</f>
        <v/>
      </c>
      <c r="EI15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8" s="42">
        <f>IF(OR(NOT(Tasks[[#This Row],[_IsLeaf]]=1),Tasks[[#This Row],[_Res4Row]]=0),0,N(Tasks[[#This Row],[_Days]])*HoursPerDay*IF(Tasks[[#This Row],[_Res4Units]]="",DefaultUnits,Tasks[[#This Row],[_Res4Units]]))</f>
        <v/>
      </c>
      <c r="EK158" s="42">
        <f>IF(AND(AND(Tasks[[#This Row],[_IsLeaf]]=1,Tasks[[#This Row],[_LeafTotalWork]]&gt;0),Tasks[[#This Row],[_Res4Work]]&gt;0),Tasks[[#This Row],[_Res4Work]]/(Tasks[[#This Row],[_FinishWorkday]]-Tasks[[#This Row],[_StartWorkday]]+1),0)</f>
        <v/>
      </c>
      <c r="EL158" s="42">
        <f>Tasks[[#This Row],[_Res4WorkPerWD]]*MAX(0,Tasks[[#This Row],[_StartWorkday]]-1)</f>
        <v/>
      </c>
      <c r="EM158" s="42">
        <f>Tasks[[#This Row],[_Res4Work]]*Tasks[[#This Row],[_LeafProgress]]</f>
        <v/>
      </c>
      <c r="EN158" s="42">
        <f>IF(ISNUMBER(Tasks[[#This Row],[% Complete]]),Tasks[[#This Row],[% Complete]],IF(Tasks[[#This Row],[Stage]]="",0,IFERROR(INDEX(stg_Pct,MATCH(Tasks[[#This Row],[Stage]],stg_Name,0)),0)))</f>
        <v/>
      </c>
      <c r="EO158" s="42">
        <f>IF(NOT(Tasks[[#This Row],[_IsLeaf]]=1),0,IF(N(Tasks[[#This Row],[Actual Finish]])&gt;0,1,MIN(1,Tasks[[#This Row],[_Pct]])))</f>
        <v/>
      </c>
      <c r="EP158" s="42">
        <f>IF(OR(NOT(Tasks[[#This Row],[_IsLeaf]]=1),Tasks[[#This Row],[_Res1Row]]=0),0,N(Tasks[[#This Row],[_Days]])*HoursPerDay*IF(Tasks[[#This Row],[_Units1]]="",DefaultUnits,Tasks[[#This Row],[_Units1]]))</f>
        <v/>
      </c>
      <c r="EQ158" s="42">
        <f>Tasks[[#This Row],[_LeafWork]]+Tasks[[#This Row],[_Res2Work]]+Tasks[[#This Row],[_Res3Work]]+Tasks[[#This Row],[_Res4Work]]</f>
        <v/>
      </c>
      <c r="ER15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8" s="42">
        <f>IF(NOT(Tasks[[#This Row],[_IsLeaf]]=1),0,MAX(_xlfn.MAXIFS(Tasks[_Row],Tasks[_Pred1UID],Tasks[[#This Row],[UID]]),_xlfn.MAXIFS(Tasks[_Row],Tasks[_Pred2UID],Tasks[[#This Row],[UID]]),_xlfn.MAXIFS(Tasks[_Row],Tasks[_Pred3UID],Tasks[[#This Row],[UID]]),_xlfn.MAXIFS(Tasks[_Row],Tasks[_Pred4UID],Tasks[[#This Row],[UID]])))</f>
        <v/>
      </c>
      <c r="FA15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8" s="88">
        <f>IF(NOT(Tasks[[#This Row],[_IsLeaf]]=1),"",IF(N(Tasks[[#This Row],[_Days]])&lt;=0,Tasks[[#This Row],[_LeafLateFinish]],WORKDAY.INTL(Tasks[[#This Row],[_LeafLateFinish]],-(Tasks[[#This Row],[_Days]]-1),WorkWeek,Holidays)))</f>
        <v/>
      </c>
      <c r="FD15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8" s="42">
        <f>AND(Tasks[[#This Row],[_IsLeaf]]=1,Tasks[[#This Row],[_LeafProgress]]&lt;1,N(Tasks[[#This Row],[_LeafTotalSlack]])&lt;=CriticalSlackDays)</f>
        <v/>
      </c>
      <c r="FF158" s="42">
        <f>IF(AND(Tasks[[#This Row],[_IsLeaf]]=1,Tasks[[#This Row],[_ConstraintCode]]=1,Tasks[[#This Row],[Mode]]&lt;&gt;"Manual",N(Tasks[[#This Row],[Actual Start]])=0),MAX(0,N(Tasks[[#This Row],[Free Slack]])),0)</f>
        <v/>
      </c>
      <c r="FG158" s="88">
        <f>IF(NOT(Tasks[[#This Row],[_IsLeaf]]=1),"",IF(Tasks[[#This Row],[_AlapShift]]=0,Tasks[[#This Row],[_LeafCalcStart]],WORKDAY.INTL(Tasks[[#This Row],[_LeafCalcStart]],Tasks[[#This Row],[_AlapShift]],WorkWeek,Holidays)))</f>
        <v/>
      </c>
      <c r="FH158" s="88">
        <f>IF(NOT(Tasks[[#This Row],[_IsLeaf]]=1),"",IF(Tasks[[#This Row],[_AlapShift]]=0,Tasks[[#This Row],[_LeafCalcFinish]],WORKDAY.INTL(Tasks[[#This Row],[_LeafCalcFinish]],Tasks[[#This Row],[_AlapShift]],WorkWeek,Holidays)))</f>
        <v/>
      </c>
      <c r="FI158" s="88">
        <f>IF(NOT(Tasks[[#This Row],[_IsLeaf]]=1),"",IF(Tasks[[#This Row],[_AlapShift]]=0,Tasks[[#This Row],[_LeafFcstStart]],WORKDAY.INTL(Tasks[[#This Row],[_LeafFcstStart]],Tasks[[#This Row],[_AlapShift]],WorkWeek,Holidays)))</f>
        <v/>
      </c>
      <c r="FJ158" s="88">
        <f>IF(NOT(Tasks[[#This Row],[_IsLeaf]]=1),"",IF(Tasks[[#This Row],[_AlapShift]]=0,Tasks[[#This Row],[_LeafFcstFinish]],WORKDAY.INTL(Tasks[[#This Row],[_LeafFcstFinish]],Tasks[[#This Row],[_AlapShift]],WorkWeek,Holidays)))</f>
        <v/>
      </c>
      <c r="FK158" s="88">
        <f>IF(Tasks[[#This Row],[Task Name]]="","",IF(Tasks[[#This Row],[_IsSummary]],MIN(INDEX(Tasks[_ShownCalcStart],Tasks[[#This Row],[_Row]]+1):INDEX(Tasks[_ShownCalcStart],Tasks[[#This Row],[_Row]]+Tasks[[#This Row],[_Descendants]])),Tasks[[#This Row],[_ShownCalcStart]]))</f>
        <v/>
      </c>
      <c r="FL158" s="88">
        <f>IF(Tasks[[#This Row],[Task Name]]="","",IF(Tasks[[#This Row],[_IsSummary]],MAX(INDEX(Tasks[_ShownCalcFinish],Tasks[[#This Row],[_Row]]+1):INDEX(Tasks[_ShownCalcFinish],Tasks[[#This Row],[_Row]]+Tasks[[#This Row],[_Descendants]])),Tasks[[#This Row],[_ShownCalcFinish]]))</f>
        <v/>
      </c>
      <c r="FM15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8" s="42">
        <f>IF(AND(Tasks[[#This Row],[_IsLeaf]]=1,Tasks[[#This Row],[_LeafTotalWork]]&gt;0),NETWORKDAYS.INTL(ProjectStart,Tasks[[#This Row],[_ShownFcstStart]],WorkWeek,Holidays),0)</f>
        <v/>
      </c>
      <c r="FZ158" s="42">
        <f>IF(AND(Tasks[[#This Row],[_IsLeaf]]=1,Tasks[[#This Row],[_LeafTotalWork]]&gt;0),MAX(Tasks[[#This Row],[_StartWorkday]],NETWORKDAYS.INTL(ProjectStart,Tasks[[#This Row],[_ShownFcstFinish]],WorkWeek,Holidays)),0)</f>
        <v/>
      </c>
      <c r="GA158" s="42">
        <f>IF(AND(Tasks[[#This Row],[_IsLeaf]]=1,Tasks[[#This Row],[_LeafTotalWork]]&gt;0),Tasks[[#This Row],[_LeafWork]]/(Tasks[[#This Row],[_FinishWorkday]]-Tasks[[#This Row],[_StartWorkday]]+1),0)</f>
        <v/>
      </c>
      <c r="GB158" s="42">
        <f>Tasks[[#This Row],[_WorkPerWorkday]]*(Tasks[[#This Row],[_StartWorkday]]-1)</f>
        <v/>
      </c>
      <c r="GC158" s="42">
        <f>IF(Tasks[[#This Row],[_IsLeaf]]=1,MAX(N(Tasks[[#This Row],[_Days]]),0.1),0)</f>
        <v/>
      </c>
      <c r="GD158" s="42">
        <f>Tasks[[#This Row],[_WeightDur]]*Tasks[[#This Row],[_LeafProgress]]</f>
        <v/>
      </c>
      <c r="GE158" s="42">
        <f>Tasks[[#This Row],[_WeightDur]]*Tasks[[#This Row],[_PlannedPct]]</f>
        <v/>
      </c>
      <c r="GF15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8" s="42">
        <f>IF(AND(Tasks[[#This Row],[_IsLeaf]]=1,N(Tasks[[#This Row],[_Days]])=0,Tasks[[#This Row],[_LeafProgress]]&lt;1),Tasks[[#This Row],[_ShownFcstFinish]]+Tasks[[#This Row],[_Row]]/100000,"")</f>
        <v/>
      </c>
      <c r="GH15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8" s="42">
        <f>IF(Tasks[[#This Row],[Task Name]]="","",LEFT(Tasks[[#This Row],[WBS]],FIND(".",Tasks[[#This Row],[WBS]]&amp;".")-1))</f>
        <v/>
      </c>
      <c r="GJ158" s="42">
        <f>IF(AND(Tasks[[#This Row],[Task Name]]&lt;&gt;"",Tasks[[#This Row],[_Level]]=1),Tasks[[#This Row],[_Row]],"")</f>
        <v/>
      </c>
      <c r="GK158" s="42">
        <f>IF(AND(Tasks[[#This Row],[_IsLeaf]]=1,N(Tasks[[#This Row],[_Days]])=0),Tasks[[#This Row],[Planned Finish]]+Tasks[[#This Row],[_Row]]/100000,"")</f>
        <v/>
      </c>
      <c r="GL158" s="42">
        <f>IF(AND(Tasks[[#This Row],[_IsLeaf]]=1,Tasks[[#This Row],[_LeafProgress]]&lt;1,OR(N(Tasks[[#This Row],[Finish Var]])&gt;0,Tasks[[#This Row],[Status]]="Late Start")),MAX(0,Tasks[[#This Row],[Finish Var]])+1-Tasks[[#This Row],[_Row]]/1000000,"")</f>
        <v/>
      </c>
      <c r="GM158" s="42">
        <f>IF(AND(Tasks[[#This Row],[_IsLeaf]]=1,N(Tasks[[#This Row],[Actual Start]])=0,Tasks[[#This Row],[_ShownFcstStart]]&gt;=StatusDate,Tasks[[#This Row],[_ShownFcstStart]]&lt;=LookaheadEnd),Tasks[[#This Row],[_ShownFcstStart]]+Tasks[[#This Row],[_Row]]/100000,"")</f>
        <v/>
      </c>
      <c r="GN158" s="42">
        <f>IF(AND(Tasks[[#This Row],[_IsLeaf]]=1,Tasks[[#This Row],[_LeafProgress]]&lt;1,Tasks[[#This Row],[_ShownFcstFinish]]&gt;=StatusDate,Tasks[[#This Row],[_ShownFcstFinish]]&lt;=LookaheadEnd),Tasks[[#This Row],[_ShownFcstFinish]]+Tasks[[#This Row],[_Row]]/100000,"")</f>
        <v/>
      </c>
      <c r="GO158" s="42">
        <f>IF(Tasks[[#This Row],[_LeafCritical]],Tasks[[#This Row],[_ShownFcstStart]]+Tasks[[#This Row],[_Row]]/100000,"")</f>
        <v/>
      </c>
      <c r="GP158" s="42">
        <f>Tasks[[#This Row],[_LeafWork]]*Tasks[[#This Row],[_LeafProgress]]</f>
        <v/>
      </c>
      <c r="GQ158" s="88">
        <f>IF(AND(Tasks[[#This Row],[_IsLeaf]]=1,Tasks[[#This Row],[_LeafProgress]]&gt;=1),IF(N(Tasks[[#This Row],[Actual Finish]])&gt;0,Tasks[[#This Row],[Actual Finish]],Tasks[[#This Row],[_ShownFcstFinish]]),"")</f>
        <v/>
      </c>
      <c r="GR158" s="42">
        <f>IF(Tasks[[#This Row],[_IsLeaf]]=1,N(Tasks[[#This Row],[Story Points]]),0)</f>
        <v/>
      </c>
      <c r="GS158" s="42">
        <f>""</f>
        <v/>
      </c>
      <c r="GT158" s="42">
        <f>IF(Tasks[[#This Row],[Task Name]]="",FALSE(),AND(Tasks[[#This Row],[_IsLeaf]]=1,N(Tasks[[#This Row],[_Days]])=0))</f>
        <v/>
      </c>
      <c r="GU158" s="88">
        <f>IF(Tasks[[#This Row],[Task Name]]="",0,IF(AND(Tasks[[#This Row],[_IsLeaf]]=1,NOT(Tasks[[#This Row],[_IsMilestone]]),N(Tasks[[#This Row],[Progress]])&gt;0),Tasks[[#This Row],[Start]],0))</f>
        <v/>
      </c>
      <c r="GV158" s="88">
        <f>IF(Tasks[[#This Row],[_DoneFrom]]=0,0,IF(Tasks[[#This Row],[Progress]]&gt;=1,Tasks[[#This Row],[Finish]],MAX(Tasks[[#This Row],[_DoneFrom]],Tasks[[#This Row],[Start]]+ROUND((Tasks[[#This Row],[Finish]]-Tasks[[#This Row],[Start]]+1)*Tasks[[#This Row],[Progress]],0)-1)))</f>
        <v/>
      </c>
      <c r="GW158" s="88">
        <f>IF(Tasks[[#This Row],[Task Name]]="",0,IF(OR(NOT(Tasks[[#This Row],[_IsLeaf]]=1),Tasks[[#This Row],[_IsMilestone]],N(Tasks[[#This Row],[Progress]])&gt;=1),0,IF(Tasks[[#This Row],[_DoneTo]]&gt;0,Tasks[[#This Row],[_DoneTo]]+1,Tasks[[#This Row],[Start]])))</f>
        <v/>
      </c>
      <c r="GX158" s="88">
        <f>IF(Tasks[[#This Row],[_RemFrom]]=0,0,Tasks[[#This Row],[Finish]])</f>
        <v/>
      </c>
      <c r="GY158" s="42">
        <f>IF(Tasks[[#This Row],[Task Name]]="",FALSE(),OR(NOT(BaselineSet),N(Tasks[[#This Row],[Baseline Start]])&gt;0))</f>
        <v/>
      </c>
      <c r="GZ158" s="42">
        <f>IF(AND(Sandbox="Yes",L_PARSE_DURATION(Tasks[[#This Row],[Sandbox Duration]])&lt;&gt;""),L_PARSE_DURATION(Tasks[[#This Row],[Sandbox Duration]]),L_PARSE_DURATION(Tasks[[#This Row],[Duration]]))</f>
        <v/>
      </c>
      <c r="HA15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8" s="42">
        <f>IF(Tasks[[#This Row],[_IsLeaf]]=1,Tasks[[#This Row],[_Row]],"")</f>
        <v/>
      </c>
      <c r="HD158" s="42">
        <f>IFERROR(INDEX(Tasks[UID],SMALL(Tasks[_PickKey],Tasks[[#This Row],[_Row]]))&amp;" "&amp;INDEX(Tasks[Task Name],SMALL(Tasks[_PickKey],Tasks[[#This Row],[_Row]])),"")</f>
        <v/>
      </c>
      <c r="HE158" s="42">
        <f>IF(Tasks[[#This Row],[Task Name]]="","",IF(Tasks[[#This Row],[_IsSummary]],NETWORKDAYS.INTL(Tasks[[#This Row],[Start]],Tasks[[#This Row],[Finish]],WorkWeek,Holidays),N(Tasks[[#This Row],[_Days]])))</f>
        <v/>
      </c>
      <c r="HF158" s="42">
        <f>IF(Tasks[[#This Row],[Expected]]="",0,((Tasks[[#This Row],[Pessimistic]]-Tasks[[#This Row],[Optimistic]])/6)^2)</f>
        <v/>
      </c>
      <c r="HG158" s="42">
        <f>IF(Tasks[[#This Row],[Expected]]="",0,Tasks[[#This Row],[Expected]]-N(Tasks[[#This Row],[_Days]]))</f>
        <v/>
      </c>
    </row>
    <row r="159">
      <c r="A159" s="21">
        <f>IF(Tasks[[#This Row],[Task Name]]="","",COUNTA(Tasks[[#Headers],[Task Name]]:Tasks[[#This Row],[Task Name]])-1)</f>
        <v/>
      </c>
      <c r="B159" s="22" t="n">
        <v>167</v>
      </c>
      <c r="C159" s="22" t="n"/>
      <c r="D159" s="23" t="n"/>
      <c r="E159" s="22" t="n"/>
      <c r="F159" s="23" t="n"/>
      <c r="G159" s="22" t="n"/>
      <c r="H159" s="22" t="n"/>
      <c r="I159" s="23" t="n"/>
      <c r="J159" s="22" t="n"/>
      <c r="K159" s="22" t="n"/>
      <c r="L159" s="23" t="n"/>
      <c r="M159" s="22" t="n"/>
      <c r="N159" s="22" t="n"/>
      <c r="O159" s="23" t="n"/>
      <c r="P159" s="22" t="n"/>
      <c r="Q159" s="22" t="n"/>
      <c r="R159" s="23" t="n"/>
      <c r="S159" s="23" t="n"/>
      <c r="T159" s="82" t="n"/>
      <c r="U159" s="23" t="n"/>
      <c r="V159" s="82" t="n"/>
      <c r="W159" s="23" t="n"/>
      <c r="X159" s="82" t="n"/>
      <c r="Y159" s="23" t="n"/>
      <c r="Z159" s="82" t="n"/>
      <c r="AA159" s="23" t="n"/>
      <c r="AB159" s="23" t="n"/>
      <c r="AC159" s="7" t="n"/>
      <c r="AD159" s="7" t="n"/>
      <c r="AE159" s="61">
        <f>IF(Tasks[[#This Row],[Task Name]]="","",IF(Tasks[[#This Row],[_IsSummary]],MIN(INDEX(Tasks[_ShownFcstStart],Tasks[[#This Row],[_Row]]+1):INDEX(Tasks[_ShownFcstStart],Tasks[[#This Row],[_Row]]+Tasks[[#This Row],[_Descendants]])),Tasks[[#This Row],[_ShownFcstStart]]))</f>
        <v/>
      </c>
      <c r="AF159" s="61">
        <f>IF(Tasks[[#This Row],[Task Name]]="","",IF(Tasks[[#This Row],[_IsSummary]],MAX(INDEX(Tasks[_ShownFcstFinish],Tasks[[#This Row],[_Row]]+1):INDEX(Tasks[_ShownFcstFinish],Tasks[[#This Row],[_Row]]+Tasks[[#This Row],[_Descendants]])),Tasks[[#This Row],[_ShownFcstFinish]]))</f>
        <v/>
      </c>
      <c r="AG159" s="21">
        <f>""</f>
        <v/>
      </c>
      <c r="AH159" s="23" t="n"/>
      <c r="AI15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59" s="7" t="n"/>
      <c r="AK159" s="22" t="n"/>
      <c r="AL159" s="23" t="n"/>
      <c r="AM159" s="7" t="n"/>
      <c r="AN159" s="21">
        <f>IF(Tasks[[#This Row],[Task Name]]="","",IF(Tasks[[#This Row],[Finish]]&gt;=Tasks[[#This Row],[Planned Finish]],NETWORKDAYS.INTL(Tasks[[#This Row],[Planned Finish]],Tasks[[#This Row],[Finish]],WorkWeek,Holidays)-1,1-NETWORKDAYS.INTL(Tasks[[#This Row],[Finish]],Tasks[[#This Row],[Planned Finish]],WorkWeek,Holidays)))</f>
        <v/>
      </c>
      <c r="AO159" s="21">
        <f>IF(Tasks[[#This Row],[Task Name]]="","",IF(Tasks[[#This Row],[Progress]]&gt;=1,"Complete",IF(OR(N(Tasks[[#This Row],[Actual Start]])&gt;0,Tasks[[#This Row],[Progress]]&gt;0),IF(Tasks[[#This Row],[Finish Var]]&gt;0,"Behind","In Progress"),IF(Tasks[[#This Row],[Planned Start]]&lt;StatusDate,"Late Start","Not Started"))))</f>
        <v/>
      </c>
      <c r="AP159" s="21">
        <f>IF(Tasks[[#This Row],[Task Name]]="","",IF(IF(Tasks[[#This Row],[_IsSummary]],COUNTIF(INDEX(Tasks[_LeafCritical],Tasks[[#This Row],[_Row]]+1):INDEX(Tasks[_LeafCritical],Tasks[[#This Row],[_Row]]+Tasks[[#This Row],[_Descendants]]),TRUE())&gt;0,Tasks[[#This Row],[_LeafCritical]]),"Yes",""))</f>
        <v/>
      </c>
      <c r="AQ159" s="61">
        <f>IF(Tasks[[#This Row],[Task Name]]="","",IF(N(Tasks[[#This Row],[Baseline Start]])&gt;0,Tasks[[#This Row],[Baseline Start]],Tasks[[#This Row],[_CalcStart]]))</f>
        <v/>
      </c>
      <c r="AR159" s="61">
        <f>IF(Tasks[[#This Row],[Task Name]]="","",IF(N(Tasks[[#This Row],[Baseline Finish]])&gt;0,Tasks[[#This Row],[Baseline Finish]],Tasks[[#This Row],[_CalcFinish]]))</f>
        <v/>
      </c>
      <c r="AS159" s="21">
        <f>IF(Tasks[[#This Row],[Task Name]]="","",IF(Tasks[[#This Row],[Start]]&gt;=Tasks[[#This Row],[Planned Start]],NETWORKDAYS.INTL(Tasks[[#This Row],[Planned Start]],Tasks[[#This Row],[Start]],WorkWeek,Holidays)-1,1-NETWORKDAYS.INTL(Tasks[[#This Row],[Start]],Tasks[[#This Row],[Planned Start]],WorkWeek,Holidays)))</f>
        <v/>
      </c>
      <c r="AT159" s="61">
        <f>IF(Tasks[[#This Row],[Task Name]]="","",IF(Tasks[[#This Row],[_IsSummary]],MIN(INDEX(Tasks[_LeafLateStart],Tasks[[#This Row],[_Row]]+1):INDEX(Tasks[_LeafLateStart],Tasks[[#This Row],[_Row]]+Tasks[[#This Row],[_Descendants]])),Tasks[[#This Row],[_LeafLateStart]]))</f>
        <v/>
      </c>
      <c r="AU159" s="61">
        <f>IF(Tasks[[#This Row],[Task Name]]="","",IF(Tasks[[#This Row],[_IsSummary]],MAX(INDEX(Tasks[_LeafLateFinish],Tasks[[#This Row],[_Row]]+1):INDEX(Tasks[_LeafLateFinish],Tasks[[#This Row],[_Row]]+Tasks[[#This Row],[_Descendants]])),Tasks[[#This Row],[_LeafLateFinish]]))</f>
        <v/>
      </c>
      <c r="AV159" s="21">
        <f>IF(Tasks[[#This Row],[Task Name]]="","",IF(Tasks[[#This Row],[_IsSummary]],MIN(INDEX(Tasks[_LeafTotalSlack],Tasks[[#This Row],[_Row]]+1):INDEX(Tasks[_LeafTotalSlack],Tasks[[#This Row],[_Row]]+Tasks[[#This Row],[_Descendants]])),Tasks[[#This Row],[_LeafTotalSlack]]))</f>
        <v/>
      </c>
      <c r="AW15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3" t="n"/>
      <c r="BA15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f>IF(Tasks[[#This Row],[Task Name]]="","",IF(Tasks[[#This Row],[_Level]]&lt;=OutlineShowLevel,"Yes","No"))</f>
        <v/>
      </c>
      <c r="BE159" s="84">
        <f>IF(Tasks[[#This Row],[Task Name]]="","",IF(Tasks[[#This Row],[_IsSummary]],SUM(INDEX(Tasks[_LeafTotalWork],Tasks[[#This Row],[_Row]]+1):INDEX(Tasks[_LeafTotalWork],Tasks[[#This Row],[_Row]]+Tasks[[#This Row],[_Descendants]])),Tasks[[#This Row],[_LeafTotalWork]]))</f>
        <v/>
      </c>
      <c r="BF159" s="23" t="n"/>
      <c r="BG15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f>""</f>
        <v/>
      </c>
      <c r="BI159" s="85" t="n"/>
      <c r="BJ159" s="22" t="n"/>
      <c r="BK159" s="21">
        <f>IF(OR(Tasks[[#This Row],[Task Name]]="",Tasks[[#This Row],[Baseline Duration]]=""),"",Tasks[[#This Row],[_SpanDays]]-N(Tasks[[#This Row],[Baseline Duration]]))</f>
        <v/>
      </c>
      <c r="BL159" s="84">
        <f>IF(OR(Tasks[[#This Row],[Task Name]]="",Tasks[[#This Row],[Baseline Work]]=""),"",Tasks[[#This Row],[Work]]-N(Tasks[[#This Row],[Baseline Work]]))</f>
        <v/>
      </c>
      <c r="BM159" s="61">
        <f>IF(Tasks[[#This Row],[Task Name]]="","",IF(OR(TakeBaseline="Yes",N(Tasks[[#This Row],[Baseline Start]])=0),Tasks[[#This Row],[Start]],Tasks[[#This Row],[Baseline Start]]))</f>
        <v/>
      </c>
      <c r="BN159" s="61">
        <f>IF(Tasks[[#This Row],[Task Name]]="","",IF(OR(TakeBaseline="Yes",N(Tasks[[#This Row],[Baseline Finish]])=0),Tasks[[#This Row],[Finish]],Tasks[[#This Row],[Baseline Finish]]))</f>
        <v/>
      </c>
      <c r="BO159" s="21">
        <f>IF(Tasks[[#This Row],[Task Name]]="","",IF(OR(TakeBaseline="Yes",N(Tasks[[#This Row],[Baseline Duration]])=0),Tasks[[#This Row],[_SpanDays]],Tasks[[#This Row],[Baseline Duration]]))</f>
        <v/>
      </c>
      <c r="BP159" s="84">
        <f>IF(Tasks[[#This Row],[Task Name]]="","",IF(OR(TakeBaseline="Yes",N(Tasks[[#This Row],[Baseline Work]])=0),Tasks[[#This Row],[Work]],Tasks[[#This Row],[Baseline Work]]))</f>
        <v/>
      </c>
      <c r="BQ159" s="7" t="n"/>
      <c r="BR159" s="7" t="n"/>
      <c r="BS159" s="22" t="n"/>
      <c r="BT159" s="86" t="n"/>
      <c r="BU159" s="23" t="n"/>
      <c r="BV159" s="23" t="n"/>
      <c r="BW159" s="23" t="n"/>
      <c r="BX159" s="87">
        <f>IF(AND(Tasks[[#This Row],[_IsLeaf]]=1,ISNUMBER(Tasks[[#This Row],[Optimistic]]),ISNUMBER(Tasks[[#This Row],[Pessimistic]])),ROUND((Tasks[[#This Row],[Optimistic]]+4*N(Tasks[[#This Row],[_Days]])+Tasks[[#This Row],[Pessimistic]])/6,1),"")</f>
        <v/>
      </c>
      <c r="BY159" s="85" t="n"/>
      <c r="BZ159" s="85" t="n"/>
      <c r="CA159" s="22" t="n"/>
      <c r="CB159" s="42">
        <f>IF(Tasks[[#This Row],[Task Name]]="","",MAX(1,N(Tasks[[#This Row],[Level]])))</f>
        <v/>
      </c>
      <c r="CC159" s="42">
        <f>ROW()-ROW(Tasks[[#Headers],[ID]])</f>
        <v/>
      </c>
      <c r="CD159" s="42">
        <f>IF(OR(Tasks[[#This Row],[Task Name]]="",Tasks[[#This Row],[_Level]]&lt;=1),0,IFERROR(LOOKUP(2,1/(Tasks[[#Headers],[_Level]]:Tasks[[#This Row],[_Level]]=Tasks[[#This Row],[_Level]]-1),ROW(Tasks[[#Headers],[_Level]]:Tasks[[#This Row],[_Level]])),0))</f>
        <v/>
      </c>
      <c r="CE159" s="42">
        <f>IFERROR(N(INDEX(Tasks[_Level],Tasks[[#This Row],[_Row]]+1)),0)</f>
        <v/>
      </c>
      <c r="CF159" s="42">
        <f>AND(Tasks[[#This Row],[Task Name]]&lt;&gt;"",Tasks[[#This Row],[_NextLevel]]&gt;Tasks[[#This Row],[_Level]])</f>
        <v/>
      </c>
      <c r="CG159" s="42">
        <f>IF(Tasks[[#This Row],[_IsSummary]],COUNTIF(Tasks[WBS],Tasks[[#This Row],[WBS]]&amp;".*"),0)</f>
        <v/>
      </c>
      <c r="CH159" s="42">
        <f>IF(AND(Tasks[[#This Row],[Task Name]]&lt;&gt;"",NOT(Tasks[[#This Row],[_IsSummary]])),1,0)</f>
        <v/>
      </c>
      <c r="CI159" s="42">
        <f>IF(N(Tasks[[#This Row],[_Pred1UID]])=0,0,IFERROR(MATCH(Tasks[[#This Row],[_Pred1UID]],Tasks[UID],0),-1))</f>
        <v/>
      </c>
      <c r="CJ159" s="42">
        <f>IF(N(Tasks[[#This Row],[_Pred2UID]])=0,0,IFERROR(MATCH(Tasks[[#This Row],[_Pred2UID]],Tasks[UID],0),-1))</f>
        <v/>
      </c>
      <c r="CK159" s="42">
        <f>IF(N(Tasks[[#This Row],[_Pred3UID]])=0,0,IFERROR(MATCH(Tasks[[#This Row],[_Pred3UID]],Tasks[UID],0),-1))</f>
        <v/>
      </c>
      <c r="CL159" s="42">
        <f>IF(N(Tasks[[#This Row],[_Pred4UID]])=0,0,IFERROR(MATCH(Tasks[[#This Row],[_Pred4UID]],Tasks[UID],0),-1))</f>
        <v/>
      </c>
      <c r="CM15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9" s="88">
        <f>IF(N(Tasks[[#This Row],[Constraint Date]])=0,0,IF(AND(OR(Tasks[[#This Row],[_ConstraintCode]]=3,Tasks[[#This Row],[_ConstraintCode]]=6,Tasks[[#This Row],[_ConstraintCode]]=7),N(Tasks[[#This Row],[_Days]])&gt;1),WORKDAY.INTL(N(Tasks[[#This Row],[Constraint Date]]),-(N(Tasks[[#This Row],[_Days]])-1),WorkWeek,Holidays),N(Tasks[[#This Row],[Constraint Date]])))</f>
        <v/>
      </c>
      <c r="CO159" s="88">
        <f>IF(OR(Tasks[[#This Row],[_ConstraintCode]]=2,Tasks[[#This Row],[_ConstraintCode]]=3,Tasks[[#This Row],[_ConstraintCode]]=4,Tasks[[#This Row],[_ConstraintCode]]=6),Tasks[[#This Row],[_ConstraintStart]],0)</f>
        <v/>
      </c>
      <c r="CP159" s="88">
        <f>IF(OR(Tasks[[#This Row],[_ConstraintCode]]=2,Tasks[[#This Row],[_ConstraintCode]]=3,Tasks[[#This Row],[_ConstraintCode]]=5,Tasks[[#This Row],[_ConstraintCode]]=7),Tasks[[#This Row],[_ConstraintStart]],2958465)</f>
        <v/>
      </c>
      <c r="CQ15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9" s="88">
        <f>IF(NOT(Tasks[[#This Row],[_IsLeaf]]=1),"",IF(N(Tasks[[#This Row],[_Days]])&lt;=0,Tasks[[#This Row],[_LeafCalcStart]],WORKDAY.INTL(Tasks[[#This Row],[_LeafCalcStart]],Tasks[[#This Row],[_Days]]-1,WorkWeek,Holidays)))</f>
        <v/>
      </c>
      <c r="CS15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9" s="42">
        <f>IF(Tasks[[#This Row],[_Predecessors]]="","",TRIM(MID(SUBSTITUTE(SUBSTITUTE(SUBSTITUTE(UPPER(Tasks[[#This Row],[_Predecessors]]),";",",")," ",""),",",REPT(" ",99)),1,99)))</f>
        <v/>
      </c>
      <c r="CV159" s="42">
        <f>IF(Tasks[[#This Row],[_Pred1Text]]="","",IFERROR(VALUE(LEFT(Tasks[[#This Row],[_Pred1Text]],MIN(FIND("F",Tasks[[#This Row],[_Pred1Text]]&amp;"F"),FIND("S",Tasks[[#This Row],[_Pred1Text]]&amp;"S"),FIND("+",Tasks[[#This Row],[_Pred1Text]]&amp;"+"),FIND("-",Tasks[[#This Row],[_Pred1Text]]&amp;"-"))-1)),""))</f>
        <v/>
      </c>
      <c r="CW15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9" s="42">
        <f>IF(Tasks[[#This Row],[_Pred1Text]]="","",TRIM(MID(SUBSTITUTE(SUBSTITUTE(SUBSTITUTE(UPPER(Tasks[[#This Row],[_Predecessors]]),";",",")," ",""),",",REPT(" ",99)),100,99)))</f>
        <v/>
      </c>
      <c r="CZ159" s="42">
        <f>IF(Tasks[[#This Row],[_Pred2Text]]="","",IFERROR(VALUE(LEFT(Tasks[[#This Row],[_Pred2Text]],MIN(FIND("F",Tasks[[#This Row],[_Pred2Text]]&amp;"F"),FIND("S",Tasks[[#This Row],[_Pred2Text]]&amp;"S"),FIND("+",Tasks[[#This Row],[_Pred2Text]]&amp;"+"),FIND("-",Tasks[[#This Row],[_Pred2Text]]&amp;"-"))-1)),""))</f>
        <v/>
      </c>
      <c r="DA15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9" s="42">
        <f>IF(Tasks[[#This Row],[_Pred2Text]]="","",TRIM(MID(SUBSTITUTE(SUBSTITUTE(SUBSTITUTE(UPPER(Tasks[[#This Row],[_Predecessors]]),";",",")," ",""),",",REPT(" ",99)),199,99)))</f>
        <v/>
      </c>
      <c r="DD159" s="42">
        <f>IF(Tasks[[#This Row],[_Pred3Text]]="","",IFERROR(VALUE(LEFT(Tasks[[#This Row],[_Pred3Text]],MIN(FIND("F",Tasks[[#This Row],[_Pred3Text]]&amp;"F"),FIND("S",Tasks[[#This Row],[_Pred3Text]]&amp;"S"),FIND("+",Tasks[[#This Row],[_Pred3Text]]&amp;"+"),FIND("-",Tasks[[#This Row],[_Pred3Text]]&amp;"-"))-1)),""))</f>
        <v/>
      </c>
      <c r="DE15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9" s="42">
        <f>IF(Tasks[[#This Row],[_Pred3Text]]="","",TRIM(MID(SUBSTITUTE(SUBSTITUTE(SUBSTITUTE(UPPER(Tasks[[#This Row],[_Predecessors]]),";",",")," ",""),",",REPT(" ",99)),298,99)))</f>
        <v/>
      </c>
      <c r="DH159" s="42">
        <f>IF(Tasks[[#This Row],[_Pred4Text]]="","",IFERROR(VALUE(LEFT(Tasks[[#This Row],[_Pred4Text]],MIN(FIND("F",Tasks[[#This Row],[_Pred4Text]]&amp;"F"),FIND("S",Tasks[[#This Row],[_Pred4Text]]&amp;"S"),FIND("+",Tasks[[#This Row],[_Pred4Text]]&amp;"+"),FIND("-",Tasks[[#This Row],[_Pred4Text]]&amp;"-"))-1)),""))</f>
        <v/>
      </c>
      <c r="DI15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9" s="42">
        <f>IF(OR(Tasks[[#This Row],[Task Name]]="",Tasks[[#This Row],[_Resources]]=""),"",TRIM(MID(SUBSTITUTE(Tasks[[#This Row],[_Resources]],",",REPT(" ",99)),1,99)))</f>
        <v/>
      </c>
      <c r="DL159" s="42">
        <f>IF(Tasks[[#This Row],[_Res1Text]]="","",TRIM(MID(SUBSTITUTE(Tasks[[#This Row],[_Resources]],",",REPT(" ",99)),100,99)))</f>
        <v/>
      </c>
      <c r="DM159" s="42">
        <f>IF(Tasks[[#This Row],[_Res2Text]]="","",TRIM(MID(SUBSTITUTE(Tasks[[#This Row],[_Resources]],",",REPT(" ",99)),199,99)))</f>
        <v/>
      </c>
      <c r="DN159" s="42">
        <f>IF(Tasks[[#This Row],[_Res3Text]]="","",TRIM(MID(SUBSTITUTE(Tasks[[#This Row],[_Resources]],",",REPT(" ",99)),298,99)))</f>
        <v/>
      </c>
      <c r="DO159" s="42">
        <f>IF(Tasks[[#This Row],[_Res1Text]]="",0,IFERROR(MATCH(TRIM(LEFT(Tasks[[#This Row],[_Res1Text]],FIND("[",Tasks[[#This Row],[_Res1Text]]&amp;"[")-1)),res_Name,0),IFERROR(MATCH(TRIM(LEFT(Tasks[[#This Row],[_Res1Text]],FIND("[",Tasks[[#This Row],[_Res1Text]]&amp;"[")-1)),res_Initials,0),0)))</f>
        <v/>
      </c>
      <c r="DP159" s="42">
        <f>IF(Tasks[[#This Row],[_Res2Text]]="",0,IFERROR(MATCH(TRIM(LEFT(Tasks[[#This Row],[_Res2Text]],FIND("[",Tasks[[#This Row],[_Res2Text]]&amp;"[")-1)),res_Name,0),IFERROR(MATCH(TRIM(LEFT(Tasks[[#This Row],[_Res2Text]],FIND("[",Tasks[[#This Row],[_Res2Text]]&amp;"[")-1)),res_Initials,0),0)))</f>
        <v/>
      </c>
      <c r="DQ159" s="42">
        <f>IF(Tasks[[#This Row],[_Res3Text]]="",0,IFERROR(MATCH(TRIM(LEFT(Tasks[[#This Row],[_Res3Text]],FIND("[",Tasks[[#This Row],[_Res3Text]]&amp;"[")-1)),res_Name,0),IFERROR(MATCH(TRIM(LEFT(Tasks[[#This Row],[_Res3Text]],FIND("[",Tasks[[#This Row],[_Res3Text]]&amp;"[")-1)),res_Initials,0),0)))</f>
        <v/>
      </c>
      <c r="DR159" s="42">
        <f>IF(Tasks[[#This Row],[_Res4Text]]="",0,IFERROR(MATCH(TRIM(LEFT(Tasks[[#This Row],[_Res4Text]],FIND("[",Tasks[[#This Row],[_Res4Text]]&amp;"[")-1)),res_Name,0),IFERROR(MATCH(TRIM(LEFT(Tasks[[#This Row],[_Res4Text]],FIND("[",Tasks[[#This Row],[_Res4Text]]&amp;"[")-1)),res_Initials,0),0)))</f>
        <v/>
      </c>
      <c r="DS159" s="42">
        <f>IF(Tasks[[#This Row],[_Res1Text]]="","",IF(Tasks[[#This Row],[_Res1Row]]&gt;0,INDEX(res_Name,Tasks[[#This Row],[_Res1Row]]),TRIM(LEFT(Tasks[[#This Row],[_Res1Text]],FIND("[",Tasks[[#This Row],[_Res1Text]]&amp;"[")-1))))</f>
        <v/>
      </c>
      <c r="DT15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9" s="42">
        <f>IF(NOT(Tasks[[#This Row],[_IsLeaf]]=1),0,(Tasks[[#This Row],[_Resource1]]&lt;&gt;"")+(Tasks[[#This Row],[_Res2]]&lt;&gt;"")+(Tasks[[#This Row],[_Res3]]&lt;&gt;"")+(Tasks[[#This Row],[_Res4]]&lt;&gt;""))</f>
        <v/>
      </c>
      <c r="DV159" s="42">
        <f>IF(Tasks[[#This Row],[_Res2Text]]="","",IF(Tasks[[#This Row],[_Res2Row]]&gt;0,INDEX(res_Name,Tasks[[#This Row],[_Res2Row]]),TRIM(LEFT(Tasks[[#This Row],[_Res2Text]],FIND("[",Tasks[[#This Row],[_Res2Text]]&amp;"[")-1))))</f>
        <v/>
      </c>
      <c r="DW15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9" s="42">
        <f>IF(OR(NOT(Tasks[[#This Row],[_IsLeaf]]=1),Tasks[[#This Row],[_Res2Row]]=0),0,N(Tasks[[#This Row],[_Days]])*HoursPerDay*IF(Tasks[[#This Row],[_Res2Units]]="",DefaultUnits,Tasks[[#This Row],[_Res2Units]]))</f>
        <v/>
      </c>
      <c r="DY159" s="42">
        <f>IF(AND(AND(Tasks[[#This Row],[_IsLeaf]]=1,Tasks[[#This Row],[_LeafTotalWork]]&gt;0),Tasks[[#This Row],[_Res2Work]]&gt;0),Tasks[[#This Row],[_Res2Work]]/(Tasks[[#This Row],[_FinishWorkday]]-Tasks[[#This Row],[_StartWorkday]]+1),0)</f>
        <v/>
      </c>
      <c r="DZ159" s="42">
        <f>Tasks[[#This Row],[_Res2WorkPerWD]]*MAX(0,Tasks[[#This Row],[_StartWorkday]]-1)</f>
        <v/>
      </c>
      <c r="EA159" s="42">
        <f>Tasks[[#This Row],[_Res2Work]]*Tasks[[#This Row],[_LeafProgress]]</f>
        <v/>
      </c>
      <c r="EB159" s="42">
        <f>IF(Tasks[[#This Row],[_Res3Text]]="","",IF(Tasks[[#This Row],[_Res3Row]]&gt;0,INDEX(res_Name,Tasks[[#This Row],[_Res3Row]]),TRIM(LEFT(Tasks[[#This Row],[_Res3Text]],FIND("[",Tasks[[#This Row],[_Res3Text]]&amp;"[")-1))))</f>
        <v/>
      </c>
      <c r="EC15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9" s="42">
        <f>IF(OR(NOT(Tasks[[#This Row],[_IsLeaf]]=1),Tasks[[#This Row],[_Res3Row]]=0),0,N(Tasks[[#This Row],[_Days]])*HoursPerDay*IF(Tasks[[#This Row],[_Res3Units]]="",DefaultUnits,Tasks[[#This Row],[_Res3Units]]))</f>
        <v/>
      </c>
      <c r="EE159" s="42">
        <f>IF(AND(AND(Tasks[[#This Row],[_IsLeaf]]=1,Tasks[[#This Row],[_LeafTotalWork]]&gt;0),Tasks[[#This Row],[_Res3Work]]&gt;0),Tasks[[#This Row],[_Res3Work]]/(Tasks[[#This Row],[_FinishWorkday]]-Tasks[[#This Row],[_StartWorkday]]+1),0)</f>
        <v/>
      </c>
      <c r="EF159" s="42">
        <f>Tasks[[#This Row],[_Res3WorkPerWD]]*MAX(0,Tasks[[#This Row],[_StartWorkday]]-1)</f>
        <v/>
      </c>
      <c r="EG159" s="42">
        <f>Tasks[[#This Row],[_Res3Work]]*Tasks[[#This Row],[_LeafProgress]]</f>
        <v/>
      </c>
      <c r="EH159" s="42">
        <f>IF(Tasks[[#This Row],[_Res4Text]]="","",IF(Tasks[[#This Row],[_Res4Row]]&gt;0,INDEX(res_Name,Tasks[[#This Row],[_Res4Row]]),TRIM(LEFT(Tasks[[#This Row],[_Res4Text]],FIND("[",Tasks[[#This Row],[_Res4Text]]&amp;"[")-1))))</f>
        <v/>
      </c>
      <c r="EI15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9" s="42">
        <f>IF(OR(NOT(Tasks[[#This Row],[_IsLeaf]]=1),Tasks[[#This Row],[_Res4Row]]=0),0,N(Tasks[[#This Row],[_Days]])*HoursPerDay*IF(Tasks[[#This Row],[_Res4Units]]="",DefaultUnits,Tasks[[#This Row],[_Res4Units]]))</f>
        <v/>
      </c>
      <c r="EK159" s="42">
        <f>IF(AND(AND(Tasks[[#This Row],[_IsLeaf]]=1,Tasks[[#This Row],[_LeafTotalWork]]&gt;0),Tasks[[#This Row],[_Res4Work]]&gt;0),Tasks[[#This Row],[_Res4Work]]/(Tasks[[#This Row],[_FinishWorkday]]-Tasks[[#This Row],[_StartWorkday]]+1),0)</f>
        <v/>
      </c>
      <c r="EL159" s="42">
        <f>Tasks[[#This Row],[_Res4WorkPerWD]]*MAX(0,Tasks[[#This Row],[_StartWorkday]]-1)</f>
        <v/>
      </c>
      <c r="EM159" s="42">
        <f>Tasks[[#This Row],[_Res4Work]]*Tasks[[#This Row],[_LeafProgress]]</f>
        <v/>
      </c>
      <c r="EN159" s="42">
        <f>IF(ISNUMBER(Tasks[[#This Row],[% Complete]]),Tasks[[#This Row],[% Complete]],IF(Tasks[[#This Row],[Stage]]="",0,IFERROR(INDEX(stg_Pct,MATCH(Tasks[[#This Row],[Stage]],stg_Name,0)),0)))</f>
        <v/>
      </c>
      <c r="EO159" s="42">
        <f>IF(NOT(Tasks[[#This Row],[_IsLeaf]]=1),0,IF(N(Tasks[[#This Row],[Actual Finish]])&gt;0,1,MIN(1,Tasks[[#This Row],[_Pct]])))</f>
        <v/>
      </c>
      <c r="EP159" s="42">
        <f>IF(OR(NOT(Tasks[[#This Row],[_IsLeaf]]=1),Tasks[[#This Row],[_Res1Row]]=0),0,N(Tasks[[#This Row],[_Days]])*HoursPerDay*IF(Tasks[[#This Row],[_Units1]]="",DefaultUnits,Tasks[[#This Row],[_Units1]]))</f>
        <v/>
      </c>
      <c r="EQ159" s="42">
        <f>Tasks[[#This Row],[_LeafWork]]+Tasks[[#This Row],[_Res2Work]]+Tasks[[#This Row],[_Res3Work]]+Tasks[[#This Row],[_Res4Work]]</f>
        <v/>
      </c>
      <c r="ER15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9" s="42">
        <f>IF(NOT(Tasks[[#This Row],[_IsLeaf]]=1),0,MAX(_xlfn.MAXIFS(Tasks[_Row],Tasks[_Pred1UID],Tasks[[#This Row],[UID]]),_xlfn.MAXIFS(Tasks[_Row],Tasks[_Pred2UID],Tasks[[#This Row],[UID]]),_xlfn.MAXIFS(Tasks[_Row],Tasks[_Pred3UID],Tasks[[#This Row],[UID]]),_xlfn.MAXIFS(Tasks[_Row],Tasks[_Pred4UID],Tasks[[#This Row],[UID]])))</f>
        <v/>
      </c>
      <c r="FA15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9" s="88">
        <f>IF(NOT(Tasks[[#This Row],[_IsLeaf]]=1),"",IF(N(Tasks[[#This Row],[_Days]])&lt;=0,Tasks[[#This Row],[_LeafLateFinish]],WORKDAY.INTL(Tasks[[#This Row],[_LeafLateFinish]],-(Tasks[[#This Row],[_Days]]-1),WorkWeek,Holidays)))</f>
        <v/>
      </c>
      <c r="FD15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9" s="42">
        <f>AND(Tasks[[#This Row],[_IsLeaf]]=1,Tasks[[#This Row],[_LeafProgress]]&lt;1,N(Tasks[[#This Row],[_LeafTotalSlack]])&lt;=CriticalSlackDays)</f>
        <v/>
      </c>
      <c r="FF159" s="42">
        <f>IF(AND(Tasks[[#This Row],[_IsLeaf]]=1,Tasks[[#This Row],[_ConstraintCode]]=1,Tasks[[#This Row],[Mode]]&lt;&gt;"Manual",N(Tasks[[#This Row],[Actual Start]])=0),MAX(0,N(Tasks[[#This Row],[Free Slack]])),0)</f>
        <v/>
      </c>
      <c r="FG159" s="88">
        <f>IF(NOT(Tasks[[#This Row],[_IsLeaf]]=1),"",IF(Tasks[[#This Row],[_AlapShift]]=0,Tasks[[#This Row],[_LeafCalcStart]],WORKDAY.INTL(Tasks[[#This Row],[_LeafCalcStart]],Tasks[[#This Row],[_AlapShift]],WorkWeek,Holidays)))</f>
        <v/>
      </c>
      <c r="FH159" s="88">
        <f>IF(NOT(Tasks[[#This Row],[_IsLeaf]]=1),"",IF(Tasks[[#This Row],[_AlapShift]]=0,Tasks[[#This Row],[_LeafCalcFinish]],WORKDAY.INTL(Tasks[[#This Row],[_LeafCalcFinish]],Tasks[[#This Row],[_AlapShift]],WorkWeek,Holidays)))</f>
        <v/>
      </c>
      <c r="FI159" s="88">
        <f>IF(NOT(Tasks[[#This Row],[_IsLeaf]]=1),"",IF(Tasks[[#This Row],[_AlapShift]]=0,Tasks[[#This Row],[_LeafFcstStart]],WORKDAY.INTL(Tasks[[#This Row],[_LeafFcstStart]],Tasks[[#This Row],[_AlapShift]],WorkWeek,Holidays)))</f>
        <v/>
      </c>
      <c r="FJ159" s="88">
        <f>IF(NOT(Tasks[[#This Row],[_IsLeaf]]=1),"",IF(Tasks[[#This Row],[_AlapShift]]=0,Tasks[[#This Row],[_LeafFcstFinish]],WORKDAY.INTL(Tasks[[#This Row],[_LeafFcstFinish]],Tasks[[#This Row],[_AlapShift]],WorkWeek,Holidays)))</f>
        <v/>
      </c>
      <c r="FK159" s="88">
        <f>IF(Tasks[[#This Row],[Task Name]]="","",IF(Tasks[[#This Row],[_IsSummary]],MIN(INDEX(Tasks[_ShownCalcStart],Tasks[[#This Row],[_Row]]+1):INDEX(Tasks[_ShownCalcStart],Tasks[[#This Row],[_Row]]+Tasks[[#This Row],[_Descendants]])),Tasks[[#This Row],[_ShownCalcStart]]))</f>
        <v/>
      </c>
      <c r="FL159" s="88">
        <f>IF(Tasks[[#This Row],[Task Name]]="","",IF(Tasks[[#This Row],[_IsSummary]],MAX(INDEX(Tasks[_ShownCalcFinish],Tasks[[#This Row],[_Row]]+1):INDEX(Tasks[_ShownCalcFinish],Tasks[[#This Row],[_Row]]+Tasks[[#This Row],[_Descendants]])),Tasks[[#This Row],[_ShownCalcFinish]]))</f>
        <v/>
      </c>
      <c r="FM15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9" s="42">
        <f>IF(AND(Tasks[[#This Row],[_IsLeaf]]=1,Tasks[[#This Row],[_LeafTotalWork]]&gt;0),NETWORKDAYS.INTL(ProjectStart,Tasks[[#This Row],[_ShownFcstStart]],WorkWeek,Holidays),0)</f>
        <v/>
      </c>
      <c r="FZ159" s="42">
        <f>IF(AND(Tasks[[#This Row],[_IsLeaf]]=1,Tasks[[#This Row],[_LeafTotalWork]]&gt;0),MAX(Tasks[[#This Row],[_StartWorkday]],NETWORKDAYS.INTL(ProjectStart,Tasks[[#This Row],[_ShownFcstFinish]],WorkWeek,Holidays)),0)</f>
        <v/>
      </c>
      <c r="GA159" s="42">
        <f>IF(AND(Tasks[[#This Row],[_IsLeaf]]=1,Tasks[[#This Row],[_LeafTotalWork]]&gt;0),Tasks[[#This Row],[_LeafWork]]/(Tasks[[#This Row],[_FinishWorkday]]-Tasks[[#This Row],[_StartWorkday]]+1),0)</f>
        <v/>
      </c>
      <c r="GB159" s="42">
        <f>Tasks[[#This Row],[_WorkPerWorkday]]*(Tasks[[#This Row],[_StartWorkday]]-1)</f>
        <v/>
      </c>
      <c r="GC159" s="42">
        <f>IF(Tasks[[#This Row],[_IsLeaf]]=1,MAX(N(Tasks[[#This Row],[_Days]]),0.1),0)</f>
        <v/>
      </c>
      <c r="GD159" s="42">
        <f>Tasks[[#This Row],[_WeightDur]]*Tasks[[#This Row],[_LeafProgress]]</f>
        <v/>
      </c>
      <c r="GE159" s="42">
        <f>Tasks[[#This Row],[_WeightDur]]*Tasks[[#This Row],[_PlannedPct]]</f>
        <v/>
      </c>
      <c r="GF15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9" s="42">
        <f>IF(AND(Tasks[[#This Row],[_IsLeaf]]=1,N(Tasks[[#This Row],[_Days]])=0,Tasks[[#This Row],[_LeafProgress]]&lt;1),Tasks[[#This Row],[_ShownFcstFinish]]+Tasks[[#This Row],[_Row]]/100000,"")</f>
        <v/>
      </c>
      <c r="GH15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9" s="42">
        <f>IF(Tasks[[#This Row],[Task Name]]="","",LEFT(Tasks[[#This Row],[WBS]],FIND(".",Tasks[[#This Row],[WBS]]&amp;".")-1))</f>
        <v/>
      </c>
      <c r="GJ159" s="42">
        <f>IF(AND(Tasks[[#This Row],[Task Name]]&lt;&gt;"",Tasks[[#This Row],[_Level]]=1),Tasks[[#This Row],[_Row]],"")</f>
        <v/>
      </c>
      <c r="GK159" s="42">
        <f>IF(AND(Tasks[[#This Row],[_IsLeaf]]=1,N(Tasks[[#This Row],[_Days]])=0),Tasks[[#This Row],[Planned Finish]]+Tasks[[#This Row],[_Row]]/100000,"")</f>
        <v/>
      </c>
      <c r="GL159" s="42">
        <f>IF(AND(Tasks[[#This Row],[_IsLeaf]]=1,Tasks[[#This Row],[_LeafProgress]]&lt;1,OR(N(Tasks[[#This Row],[Finish Var]])&gt;0,Tasks[[#This Row],[Status]]="Late Start")),MAX(0,Tasks[[#This Row],[Finish Var]])+1-Tasks[[#This Row],[_Row]]/1000000,"")</f>
        <v/>
      </c>
      <c r="GM159" s="42">
        <f>IF(AND(Tasks[[#This Row],[_IsLeaf]]=1,N(Tasks[[#This Row],[Actual Start]])=0,Tasks[[#This Row],[_ShownFcstStart]]&gt;=StatusDate,Tasks[[#This Row],[_ShownFcstStart]]&lt;=LookaheadEnd),Tasks[[#This Row],[_ShownFcstStart]]+Tasks[[#This Row],[_Row]]/100000,"")</f>
        <v/>
      </c>
      <c r="GN159" s="42">
        <f>IF(AND(Tasks[[#This Row],[_IsLeaf]]=1,Tasks[[#This Row],[_LeafProgress]]&lt;1,Tasks[[#This Row],[_ShownFcstFinish]]&gt;=StatusDate,Tasks[[#This Row],[_ShownFcstFinish]]&lt;=LookaheadEnd),Tasks[[#This Row],[_ShownFcstFinish]]+Tasks[[#This Row],[_Row]]/100000,"")</f>
        <v/>
      </c>
      <c r="GO159" s="42">
        <f>IF(Tasks[[#This Row],[_LeafCritical]],Tasks[[#This Row],[_ShownFcstStart]]+Tasks[[#This Row],[_Row]]/100000,"")</f>
        <v/>
      </c>
      <c r="GP159" s="42">
        <f>Tasks[[#This Row],[_LeafWork]]*Tasks[[#This Row],[_LeafProgress]]</f>
        <v/>
      </c>
      <c r="GQ159" s="88">
        <f>IF(AND(Tasks[[#This Row],[_IsLeaf]]=1,Tasks[[#This Row],[_LeafProgress]]&gt;=1),IF(N(Tasks[[#This Row],[Actual Finish]])&gt;0,Tasks[[#This Row],[Actual Finish]],Tasks[[#This Row],[_ShownFcstFinish]]),"")</f>
        <v/>
      </c>
      <c r="GR159" s="42">
        <f>IF(Tasks[[#This Row],[_IsLeaf]]=1,N(Tasks[[#This Row],[Story Points]]),0)</f>
        <v/>
      </c>
      <c r="GS159" s="42">
        <f>""</f>
        <v/>
      </c>
      <c r="GT159" s="42">
        <f>IF(Tasks[[#This Row],[Task Name]]="",FALSE(),AND(Tasks[[#This Row],[_IsLeaf]]=1,N(Tasks[[#This Row],[_Days]])=0))</f>
        <v/>
      </c>
      <c r="GU159" s="88">
        <f>IF(Tasks[[#This Row],[Task Name]]="",0,IF(AND(Tasks[[#This Row],[_IsLeaf]]=1,NOT(Tasks[[#This Row],[_IsMilestone]]),N(Tasks[[#This Row],[Progress]])&gt;0),Tasks[[#This Row],[Start]],0))</f>
        <v/>
      </c>
      <c r="GV159" s="88">
        <f>IF(Tasks[[#This Row],[_DoneFrom]]=0,0,IF(Tasks[[#This Row],[Progress]]&gt;=1,Tasks[[#This Row],[Finish]],MAX(Tasks[[#This Row],[_DoneFrom]],Tasks[[#This Row],[Start]]+ROUND((Tasks[[#This Row],[Finish]]-Tasks[[#This Row],[Start]]+1)*Tasks[[#This Row],[Progress]],0)-1)))</f>
        <v/>
      </c>
      <c r="GW159" s="88">
        <f>IF(Tasks[[#This Row],[Task Name]]="",0,IF(OR(NOT(Tasks[[#This Row],[_IsLeaf]]=1),Tasks[[#This Row],[_IsMilestone]],N(Tasks[[#This Row],[Progress]])&gt;=1),0,IF(Tasks[[#This Row],[_DoneTo]]&gt;0,Tasks[[#This Row],[_DoneTo]]+1,Tasks[[#This Row],[Start]])))</f>
        <v/>
      </c>
      <c r="GX159" s="88">
        <f>IF(Tasks[[#This Row],[_RemFrom]]=0,0,Tasks[[#This Row],[Finish]])</f>
        <v/>
      </c>
      <c r="GY159" s="42">
        <f>IF(Tasks[[#This Row],[Task Name]]="",FALSE(),OR(NOT(BaselineSet),N(Tasks[[#This Row],[Baseline Start]])&gt;0))</f>
        <v/>
      </c>
      <c r="GZ159" s="42">
        <f>IF(AND(Sandbox="Yes",L_PARSE_DURATION(Tasks[[#This Row],[Sandbox Duration]])&lt;&gt;""),L_PARSE_DURATION(Tasks[[#This Row],[Sandbox Duration]]),L_PARSE_DURATION(Tasks[[#This Row],[Duration]]))</f>
        <v/>
      </c>
      <c r="HA15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5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9" s="42">
        <f>IF(Tasks[[#This Row],[_IsLeaf]]=1,Tasks[[#This Row],[_Row]],"")</f>
        <v/>
      </c>
      <c r="HD159" s="42">
        <f>IFERROR(INDEX(Tasks[UID],SMALL(Tasks[_PickKey],Tasks[[#This Row],[_Row]]))&amp;" "&amp;INDEX(Tasks[Task Name],SMALL(Tasks[_PickKey],Tasks[[#This Row],[_Row]])),"")</f>
        <v/>
      </c>
      <c r="HE159" s="42">
        <f>IF(Tasks[[#This Row],[Task Name]]="","",IF(Tasks[[#This Row],[_IsSummary]],NETWORKDAYS.INTL(Tasks[[#This Row],[Start]],Tasks[[#This Row],[Finish]],WorkWeek,Holidays),N(Tasks[[#This Row],[_Days]])))</f>
        <v/>
      </c>
      <c r="HF159" s="42">
        <f>IF(Tasks[[#This Row],[Expected]]="",0,((Tasks[[#This Row],[Pessimistic]]-Tasks[[#This Row],[Optimistic]])/6)^2)</f>
        <v/>
      </c>
      <c r="HG159" s="42">
        <f>IF(Tasks[[#This Row],[Expected]]="",0,Tasks[[#This Row],[Expected]]-N(Tasks[[#This Row],[_Days]]))</f>
        <v/>
      </c>
    </row>
    <row r="160">
      <c r="A160" s="21">
        <f>IF(Tasks[[#This Row],[Task Name]]="","",COUNTA(Tasks[[#Headers],[Task Name]]:Tasks[[#This Row],[Task Name]])-1)</f>
        <v/>
      </c>
      <c r="B160" s="22" t="n">
        <v>168</v>
      </c>
      <c r="C160" s="22" t="n"/>
      <c r="D160" s="23" t="n"/>
      <c r="E160" s="22" t="n"/>
      <c r="F160" s="23" t="n"/>
      <c r="G160" s="22" t="n"/>
      <c r="H160" s="22" t="n"/>
      <c r="I160" s="23" t="n"/>
      <c r="J160" s="22" t="n"/>
      <c r="K160" s="22" t="n"/>
      <c r="L160" s="23" t="n"/>
      <c r="M160" s="22" t="n"/>
      <c r="N160" s="22" t="n"/>
      <c r="O160" s="23" t="n"/>
      <c r="P160" s="22" t="n"/>
      <c r="Q160" s="22" t="n"/>
      <c r="R160" s="23" t="n"/>
      <c r="S160" s="23" t="n"/>
      <c r="T160" s="82" t="n"/>
      <c r="U160" s="23" t="n"/>
      <c r="V160" s="82" t="n"/>
      <c r="W160" s="23" t="n"/>
      <c r="X160" s="82" t="n"/>
      <c r="Y160" s="23" t="n"/>
      <c r="Z160" s="82" t="n"/>
      <c r="AA160" s="23" t="n"/>
      <c r="AB160" s="23" t="n"/>
      <c r="AC160" s="7" t="n"/>
      <c r="AD160" s="7" t="n"/>
      <c r="AE160" s="61">
        <f>IF(Tasks[[#This Row],[Task Name]]="","",IF(Tasks[[#This Row],[_IsSummary]],MIN(INDEX(Tasks[_ShownFcstStart],Tasks[[#This Row],[_Row]]+1):INDEX(Tasks[_ShownFcstStart],Tasks[[#This Row],[_Row]]+Tasks[[#This Row],[_Descendants]])),Tasks[[#This Row],[_ShownFcstStart]]))</f>
        <v/>
      </c>
      <c r="AF160" s="61">
        <f>IF(Tasks[[#This Row],[Task Name]]="","",IF(Tasks[[#This Row],[_IsSummary]],MAX(INDEX(Tasks[_ShownFcstFinish],Tasks[[#This Row],[_Row]]+1):INDEX(Tasks[_ShownFcstFinish],Tasks[[#This Row],[_Row]]+Tasks[[#This Row],[_Descendants]])),Tasks[[#This Row],[_ShownFcstFinish]]))</f>
        <v/>
      </c>
      <c r="AG160" s="21">
        <f>""</f>
        <v/>
      </c>
      <c r="AH160" s="23" t="n"/>
      <c r="AI16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0" s="7" t="n"/>
      <c r="AK160" s="22" t="n"/>
      <c r="AL160" s="23" t="n"/>
      <c r="AM160" s="7" t="n"/>
      <c r="AN160" s="21">
        <f>IF(Tasks[[#This Row],[Task Name]]="","",IF(Tasks[[#This Row],[Finish]]&gt;=Tasks[[#This Row],[Planned Finish]],NETWORKDAYS.INTL(Tasks[[#This Row],[Planned Finish]],Tasks[[#This Row],[Finish]],WorkWeek,Holidays)-1,1-NETWORKDAYS.INTL(Tasks[[#This Row],[Finish]],Tasks[[#This Row],[Planned Finish]],WorkWeek,Holidays)))</f>
        <v/>
      </c>
      <c r="AO160" s="21">
        <f>IF(Tasks[[#This Row],[Task Name]]="","",IF(Tasks[[#This Row],[Progress]]&gt;=1,"Complete",IF(OR(N(Tasks[[#This Row],[Actual Start]])&gt;0,Tasks[[#This Row],[Progress]]&gt;0),IF(Tasks[[#This Row],[Finish Var]]&gt;0,"Behind","In Progress"),IF(Tasks[[#This Row],[Planned Start]]&lt;StatusDate,"Late Start","Not Started"))))</f>
        <v/>
      </c>
      <c r="AP160" s="21">
        <f>IF(Tasks[[#This Row],[Task Name]]="","",IF(IF(Tasks[[#This Row],[_IsSummary]],COUNTIF(INDEX(Tasks[_LeafCritical],Tasks[[#This Row],[_Row]]+1):INDEX(Tasks[_LeafCritical],Tasks[[#This Row],[_Row]]+Tasks[[#This Row],[_Descendants]]),TRUE())&gt;0,Tasks[[#This Row],[_LeafCritical]]),"Yes",""))</f>
        <v/>
      </c>
      <c r="AQ160" s="61">
        <f>IF(Tasks[[#This Row],[Task Name]]="","",IF(N(Tasks[[#This Row],[Baseline Start]])&gt;0,Tasks[[#This Row],[Baseline Start]],Tasks[[#This Row],[_CalcStart]]))</f>
        <v/>
      </c>
      <c r="AR160" s="61">
        <f>IF(Tasks[[#This Row],[Task Name]]="","",IF(N(Tasks[[#This Row],[Baseline Finish]])&gt;0,Tasks[[#This Row],[Baseline Finish]],Tasks[[#This Row],[_CalcFinish]]))</f>
        <v/>
      </c>
      <c r="AS160" s="21">
        <f>IF(Tasks[[#This Row],[Task Name]]="","",IF(Tasks[[#This Row],[Start]]&gt;=Tasks[[#This Row],[Planned Start]],NETWORKDAYS.INTL(Tasks[[#This Row],[Planned Start]],Tasks[[#This Row],[Start]],WorkWeek,Holidays)-1,1-NETWORKDAYS.INTL(Tasks[[#This Row],[Start]],Tasks[[#This Row],[Planned Start]],WorkWeek,Holidays)))</f>
        <v/>
      </c>
      <c r="AT160" s="61">
        <f>IF(Tasks[[#This Row],[Task Name]]="","",IF(Tasks[[#This Row],[_IsSummary]],MIN(INDEX(Tasks[_LeafLateStart],Tasks[[#This Row],[_Row]]+1):INDEX(Tasks[_LeafLateStart],Tasks[[#This Row],[_Row]]+Tasks[[#This Row],[_Descendants]])),Tasks[[#This Row],[_LeafLateStart]]))</f>
        <v/>
      </c>
      <c r="AU160" s="61">
        <f>IF(Tasks[[#This Row],[Task Name]]="","",IF(Tasks[[#This Row],[_IsSummary]],MAX(INDEX(Tasks[_LeafLateFinish],Tasks[[#This Row],[_Row]]+1):INDEX(Tasks[_LeafLateFinish],Tasks[[#This Row],[_Row]]+Tasks[[#This Row],[_Descendants]])),Tasks[[#This Row],[_LeafLateFinish]]))</f>
        <v/>
      </c>
      <c r="AV160" s="21">
        <f>IF(Tasks[[#This Row],[Task Name]]="","",IF(Tasks[[#This Row],[_IsSummary]],MIN(INDEX(Tasks[_LeafTotalSlack],Tasks[[#This Row],[_Row]]+1):INDEX(Tasks[_LeafTotalSlack],Tasks[[#This Row],[_Row]]+Tasks[[#This Row],[_Descendants]])),Tasks[[#This Row],[_LeafTotalSlack]]))</f>
        <v/>
      </c>
      <c r="AW16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3" t="n"/>
      <c r="BA16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f>IF(Tasks[[#This Row],[Task Name]]="","",IF(Tasks[[#This Row],[_Level]]&lt;=OutlineShowLevel,"Yes","No"))</f>
        <v/>
      </c>
      <c r="BE160" s="84">
        <f>IF(Tasks[[#This Row],[Task Name]]="","",IF(Tasks[[#This Row],[_IsSummary]],SUM(INDEX(Tasks[_LeafTotalWork],Tasks[[#This Row],[_Row]]+1):INDEX(Tasks[_LeafTotalWork],Tasks[[#This Row],[_Row]]+Tasks[[#This Row],[_Descendants]])),Tasks[[#This Row],[_LeafTotalWork]]))</f>
        <v/>
      </c>
      <c r="BF160" s="23" t="n"/>
      <c r="BG16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f>""</f>
        <v/>
      </c>
      <c r="BI160" s="85" t="n"/>
      <c r="BJ160" s="22" t="n"/>
      <c r="BK160" s="21">
        <f>IF(OR(Tasks[[#This Row],[Task Name]]="",Tasks[[#This Row],[Baseline Duration]]=""),"",Tasks[[#This Row],[_SpanDays]]-N(Tasks[[#This Row],[Baseline Duration]]))</f>
        <v/>
      </c>
      <c r="BL160" s="84">
        <f>IF(OR(Tasks[[#This Row],[Task Name]]="",Tasks[[#This Row],[Baseline Work]]=""),"",Tasks[[#This Row],[Work]]-N(Tasks[[#This Row],[Baseline Work]]))</f>
        <v/>
      </c>
      <c r="BM160" s="61">
        <f>IF(Tasks[[#This Row],[Task Name]]="","",IF(OR(TakeBaseline="Yes",N(Tasks[[#This Row],[Baseline Start]])=0),Tasks[[#This Row],[Start]],Tasks[[#This Row],[Baseline Start]]))</f>
        <v/>
      </c>
      <c r="BN160" s="61">
        <f>IF(Tasks[[#This Row],[Task Name]]="","",IF(OR(TakeBaseline="Yes",N(Tasks[[#This Row],[Baseline Finish]])=0),Tasks[[#This Row],[Finish]],Tasks[[#This Row],[Baseline Finish]]))</f>
        <v/>
      </c>
      <c r="BO160" s="21">
        <f>IF(Tasks[[#This Row],[Task Name]]="","",IF(OR(TakeBaseline="Yes",N(Tasks[[#This Row],[Baseline Duration]])=0),Tasks[[#This Row],[_SpanDays]],Tasks[[#This Row],[Baseline Duration]]))</f>
        <v/>
      </c>
      <c r="BP160" s="84">
        <f>IF(Tasks[[#This Row],[Task Name]]="","",IF(OR(TakeBaseline="Yes",N(Tasks[[#This Row],[Baseline Work]])=0),Tasks[[#This Row],[Work]],Tasks[[#This Row],[Baseline Work]]))</f>
        <v/>
      </c>
      <c r="BQ160" s="7" t="n"/>
      <c r="BR160" s="7" t="n"/>
      <c r="BS160" s="22" t="n"/>
      <c r="BT160" s="86" t="n"/>
      <c r="BU160" s="23" t="n"/>
      <c r="BV160" s="23" t="n"/>
      <c r="BW160" s="23" t="n"/>
      <c r="BX160" s="87">
        <f>IF(AND(Tasks[[#This Row],[_IsLeaf]]=1,ISNUMBER(Tasks[[#This Row],[Optimistic]]),ISNUMBER(Tasks[[#This Row],[Pessimistic]])),ROUND((Tasks[[#This Row],[Optimistic]]+4*N(Tasks[[#This Row],[_Days]])+Tasks[[#This Row],[Pessimistic]])/6,1),"")</f>
        <v/>
      </c>
      <c r="BY160" s="85" t="n"/>
      <c r="BZ160" s="85" t="n"/>
      <c r="CA160" s="22" t="n"/>
      <c r="CB160" s="42">
        <f>IF(Tasks[[#This Row],[Task Name]]="","",MAX(1,N(Tasks[[#This Row],[Level]])))</f>
        <v/>
      </c>
      <c r="CC160" s="42">
        <f>ROW()-ROW(Tasks[[#Headers],[ID]])</f>
        <v/>
      </c>
      <c r="CD160" s="42">
        <f>IF(OR(Tasks[[#This Row],[Task Name]]="",Tasks[[#This Row],[_Level]]&lt;=1),0,IFERROR(LOOKUP(2,1/(Tasks[[#Headers],[_Level]]:Tasks[[#This Row],[_Level]]=Tasks[[#This Row],[_Level]]-1),ROW(Tasks[[#Headers],[_Level]]:Tasks[[#This Row],[_Level]])),0))</f>
        <v/>
      </c>
      <c r="CE160" s="42">
        <f>IFERROR(N(INDEX(Tasks[_Level],Tasks[[#This Row],[_Row]]+1)),0)</f>
        <v/>
      </c>
      <c r="CF160" s="42">
        <f>AND(Tasks[[#This Row],[Task Name]]&lt;&gt;"",Tasks[[#This Row],[_NextLevel]]&gt;Tasks[[#This Row],[_Level]])</f>
        <v/>
      </c>
      <c r="CG160" s="42">
        <f>IF(Tasks[[#This Row],[_IsSummary]],COUNTIF(Tasks[WBS],Tasks[[#This Row],[WBS]]&amp;".*"),0)</f>
        <v/>
      </c>
      <c r="CH160" s="42">
        <f>IF(AND(Tasks[[#This Row],[Task Name]]&lt;&gt;"",NOT(Tasks[[#This Row],[_IsSummary]])),1,0)</f>
        <v/>
      </c>
      <c r="CI160" s="42">
        <f>IF(N(Tasks[[#This Row],[_Pred1UID]])=0,0,IFERROR(MATCH(Tasks[[#This Row],[_Pred1UID]],Tasks[UID],0),-1))</f>
        <v/>
      </c>
      <c r="CJ160" s="42">
        <f>IF(N(Tasks[[#This Row],[_Pred2UID]])=0,0,IFERROR(MATCH(Tasks[[#This Row],[_Pred2UID]],Tasks[UID],0),-1))</f>
        <v/>
      </c>
      <c r="CK160" s="42">
        <f>IF(N(Tasks[[#This Row],[_Pred3UID]])=0,0,IFERROR(MATCH(Tasks[[#This Row],[_Pred3UID]],Tasks[UID],0),-1))</f>
        <v/>
      </c>
      <c r="CL160" s="42">
        <f>IF(N(Tasks[[#This Row],[_Pred4UID]])=0,0,IFERROR(MATCH(Tasks[[#This Row],[_Pred4UID]],Tasks[UID],0),-1))</f>
        <v/>
      </c>
      <c r="CM16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0" s="88">
        <f>IF(N(Tasks[[#This Row],[Constraint Date]])=0,0,IF(AND(OR(Tasks[[#This Row],[_ConstraintCode]]=3,Tasks[[#This Row],[_ConstraintCode]]=6,Tasks[[#This Row],[_ConstraintCode]]=7),N(Tasks[[#This Row],[_Days]])&gt;1),WORKDAY.INTL(N(Tasks[[#This Row],[Constraint Date]]),-(N(Tasks[[#This Row],[_Days]])-1),WorkWeek,Holidays),N(Tasks[[#This Row],[Constraint Date]])))</f>
        <v/>
      </c>
      <c r="CO160" s="88">
        <f>IF(OR(Tasks[[#This Row],[_ConstraintCode]]=2,Tasks[[#This Row],[_ConstraintCode]]=3,Tasks[[#This Row],[_ConstraintCode]]=4,Tasks[[#This Row],[_ConstraintCode]]=6),Tasks[[#This Row],[_ConstraintStart]],0)</f>
        <v/>
      </c>
      <c r="CP160" s="88">
        <f>IF(OR(Tasks[[#This Row],[_ConstraintCode]]=2,Tasks[[#This Row],[_ConstraintCode]]=3,Tasks[[#This Row],[_ConstraintCode]]=5,Tasks[[#This Row],[_ConstraintCode]]=7),Tasks[[#This Row],[_ConstraintStart]],2958465)</f>
        <v/>
      </c>
      <c r="CQ16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0" s="88">
        <f>IF(NOT(Tasks[[#This Row],[_IsLeaf]]=1),"",IF(N(Tasks[[#This Row],[_Days]])&lt;=0,Tasks[[#This Row],[_LeafCalcStart]],WORKDAY.INTL(Tasks[[#This Row],[_LeafCalcStart]],Tasks[[#This Row],[_Days]]-1,WorkWeek,Holidays)))</f>
        <v/>
      </c>
      <c r="CS16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0" s="42">
        <f>IF(Tasks[[#This Row],[_Predecessors]]="","",TRIM(MID(SUBSTITUTE(SUBSTITUTE(SUBSTITUTE(UPPER(Tasks[[#This Row],[_Predecessors]]),";",",")," ",""),",",REPT(" ",99)),1,99)))</f>
        <v/>
      </c>
      <c r="CV160" s="42">
        <f>IF(Tasks[[#This Row],[_Pred1Text]]="","",IFERROR(VALUE(LEFT(Tasks[[#This Row],[_Pred1Text]],MIN(FIND("F",Tasks[[#This Row],[_Pred1Text]]&amp;"F"),FIND("S",Tasks[[#This Row],[_Pred1Text]]&amp;"S"),FIND("+",Tasks[[#This Row],[_Pred1Text]]&amp;"+"),FIND("-",Tasks[[#This Row],[_Pred1Text]]&amp;"-"))-1)),""))</f>
        <v/>
      </c>
      <c r="CW16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0" s="42">
        <f>IF(Tasks[[#This Row],[_Pred1Text]]="","",TRIM(MID(SUBSTITUTE(SUBSTITUTE(SUBSTITUTE(UPPER(Tasks[[#This Row],[_Predecessors]]),";",",")," ",""),",",REPT(" ",99)),100,99)))</f>
        <v/>
      </c>
      <c r="CZ160" s="42">
        <f>IF(Tasks[[#This Row],[_Pred2Text]]="","",IFERROR(VALUE(LEFT(Tasks[[#This Row],[_Pred2Text]],MIN(FIND("F",Tasks[[#This Row],[_Pred2Text]]&amp;"F"),FIND("S",Tasks[[#This Row],[_Pred2Text]]&amp;"S"),FIND("+",Tasks[[#This Row],[_Pred2Text]]&amp;"+"),FIND("-",Tasks[[#This Row],[_Pred2Text]]&amp;"-"))-1)),""))</f>
        <v/>
      </c>
      <c r="DA16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0" s="42">
        <f>IF(Tasks[[#This Row],[_Pred2Text]]="","",TRIM(MID(SUBSTITUTE(SUBSTITUTE(SUBSTITUTE(UPPER(Tasks[[#This Row],[_Predecessors]]),";",",")," ",""),",",REPT(" ",99)),199,99)))</f>
        <v/>
      </c>
      <c r="DD160" s="42">
        <f>IF(Tasks[[#This Row],[_Pred3Text]]="","",IFERROR(VALUE(LEFT(Tasks[[#This Row],[_Pred3Text]],MIN(FIND("F",Tasks[[#This Row],[_Pred3Text]]&amp;"F"),FIND("S",Tasks[[#This Row],[_Pred3Text]]&amp;"S"),FIND("+",Tasks[[#This Row],[_Pred3Text]]&amp;"+"),FIND("-",Tasks[[#This Row],[_Pred3Text]]&amp;"-"))-1)),""))</f>
        <v/>
      </c>
      <c r="DE16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0" s="42">
        <f>IF(Tasks[[#This Row],[_Pred3Text]]="","",TRIM(MID(SUBSTITUTE(SUBSTITUTE(SUBSTITUTE(UPPER(Tasks[[#This Row],[_Predecessors]]),";",",")," ",""),",",REPT(" ",99)),298,99)))</f>
        <v/>
      </c>
      <c r="DH160" s="42">
        <f>IF(Tasks[[#This Row],[_Pred4Text]]="","",IFERROR(VALUE(LEFT(Tasks[[#This Row],[_Pred4Text]],MIN(FIND("F",Tasks[[#This Row],[_Pred4Text]]&amp;"F"),FIND("S",Tasks[[#This Row],[_Pred4Text]]&amp;"S"),FIND("+",Tasks[[#This Row],[_Pred4Text]]&amp;"+"),FIND("-",Tasks[[#This Row],[_Pred4Text]]&amp;"-"))-1)),""))</f>
        <v/>
      </c>
      <c r="DI16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0" s="42">
        <f>IF(OR(Tasks[[#This Row],[Task Name]]="",Tasks[[#This Row],[_Resources]]=""),"",TRIM(MID(SUBSTITUTE(Tasks[[#This Row],[_Resources]],",",REPT(" ",99)),1,99)))</f>
        <v/>
      </c>
      <c r="DL160" s="42">
        <f>IF(Tasks[[#This Row],[_Res1Text]]="","",TRIM(MID(SUBSTITUTE(Tasks[[#This Row],[_Resources]],",",REPT(" ",99)),100,99)))</f>
        <v/>
      </c>
      <c r="DM160" s="42">
        <f>IF(Tasks[[#This Row],[_Res2Text]]="","",TRIM(MID(SUBSTITUTE(Tasks[[#This Row],[_Resources]],",",REPT(" ",99)),199,99)))</f>
        <v/>
      </c>
      <c r="DN160" s="42">
        <f>IF(Tasks[[#This Row],[_Res3Text]]="","",TRIM(MID(SUBSTITUTE(Tasks[[#This Row],[_Resources]],",",REPT(" ",99)),298,99)))</f>
        <v/>
      </c>
      <c r="DO160" s="42">
        <f>IF(Tasks[[#This Row],[_Res1Text]]="",0,IFERROR(MATCH(TRIM(LEFT(Tasks[[#This Row],[_Res1Text]],FIND("[",Tasks[[#This Row],[_Res1Text]]&amp;"[")-1)),res_Name,0),IFERROR(MATCH(TRIM(LEFT(Tasks[[#This Row],[_Res1Text]],FIND("[",Tasks[[#This Row],[_Res1Text]]&amp;"[")-1)),res_Initials,0),0)))</f>
        <v/>
      </c>
      <c r="DP160" s="42">
        <f>IF(Tasks[[#This Row],[_Res2Text]]="",0,IFERROR(MATCH(TRIM(LEFT(Tasks[[#This Row],[_Res2Text]],FIND("[",Tasks[[#This Row],[_Res2Text]]&amp;"[")-1)),res_Name,0),IFERROR(MATCH(TRIM(LEFT(Tasks[[#This Row],[_Res2Text]],FIND("[",Tasks[[#This Row],[_Res2Text]]&amp;"[")-1)),res_Initials,0),0)))</f>
        <v/>
      </c>
      <c r="DQ160" s="42">
        <f>IF(Tasks[[#This Row],[_Res3Text]]="",0,IFERROR(MATCH(TRIM(LEFT(Tasks[[#This Row],[_Res3Text]],FIND("[",Tasks[[#This Row],[_Res3Text]]&amp;"[")-1)),res_Name,0),IFERROR(MATCH(TRIM(LEFT(Tasks[[#This Row],[_Res3Text]],FIND("[",Tasks[[#This Row],[_Res3Text]]&amp;"[")-1)),res_Initials,0),0)))</f>
        <v/>
      </c>
      <c r="DR160" s="42">
        <f>IF(Tasks[[#This Row],[_Res4Text]]="",0,IFERROR(MATCH(TRIM(LEFT(Tasks[[#This Row],[_Res4Text]],FIND("[",Tasks[[#This Row],[_Res4Text]]&amp;"[")-1)),res_Name,0),IFERROR(MATCH(TRIM(LEFT(Tasks[[#This Row],[_Res4Text]],FIND("[",Tasks[[#This Row],[_Res4Text]]&amp;"[")-1)),res_Initials,0),0)))</f>
        <v/>
      </c>
      <c r="DS160" s="42">
        <f>IF(Tasks[[#This Row],[_Res1Text]]="","",IF(Tasks[[#This Row],[_Res1Row]]&gt;0,INDEX(res_Name,Tasks[[#This Row],[_Res1Row]]),TRIM(LEFT(Tasks[[#This Row],[_Res1Text]],FIND("[",Tasks[[#This Row],[_Res1Text]]&amp;"[")-1))))</f>
        <v/>
      </c>
      <c r="DT16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0" s="42">
        <f>IF(NOT(Tasks[[#This Row],[_IsLeaf]]=1),0,(Tasks[[#This Row],[_Resource1]]&lt;&gt;"")+(Tasks[[#This Row],[_Res2]]&lt;&gt;"")+(Tasks[[#This Row],[_Res3]]&lt;&gt;"")+(Tasks[[#This Row],[_Res4]]&lt;&gt;""))</f>
        <v/>
      </c>
      <c r="DV160" s="42">
        <f>IF(Tasks[[#This Row],[_Res2Text]]="","",IF(Tasks[[#This Row],[_Res2Row]]&gt;0,INDEX(res_Name,Tasks[[#This Row],[_Res2Row]]),TRIM(LEFT(Tasks[[#This Row],[_Res2Text]],FIND("[",Tasks[[#This Row],[_Res2Text]]&amp;"[")-1))))</f>
        <v/>
      </c>
      <c r="DW16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0" s="42">
        <f>IF(OR(NOT(Tasks[[#This Row],[_IsLeaf]]=1),Tasks[[#This Row],[_Res2Row]]=0),0,N(Tasks[[#This Row],[_Days]])*HoursPerDay*IF(Tasks[[#This Row],[_Res2Units]]="",DefaultUnits,Tasks[[#This Row],[_Res2Units]]))</f>
        <v/>
      </c>
      <c r="DY160" s="42">
        <f>IF(AND(AND(Tasks[[#This Row],[_IsLeaf]]=1,Tasks[[#This Row],[_LeafTotalWork]]&gt;0),Tasks[[#This Row],[_Res2Work]]&gt;0),Tasks[[#This Row],[_Res2Work]]/(Tasks[[#This Row],[_FinishWorkday]]-Tasks[[#This Row],[_StartWorkday]]+1),0)</f>
        <v/>
      </c>
      <c r="DZ160" s="42">
        <f>Tasks[[#This Row],[_Res2WorkPerWD]]*MAX(0,Tasks[[#This Row],[_StartWorkday]]-1)</f>
        <v/>
      </c>
      <c r="EA160" s="42">
        <f>Tasks[[#This Row],[_Res2Work]]*Tasks[[#This Row],[_LeafProgress]]</f>
        <v/>
      </c>
      <c r="EB160" s="42">
        <f>IF(Tasks[[#This Row],[_Res3Text]]="","",IF(Tasks[[#This Row],[_Res3Row]]&gt;0,INDEX(res_Name,Tasks[[#This Row],[_Res3Row]]),TRIM(LEFT(Tasks[[#This Row],[_Res3Text]],FIND("[",Tasks[[#This Row],[_Res3Text]]&amp;"[")-1))))</f>
        <v/>
      </c>
      <c r="EC16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0" s="42">
        <f>IF(OR(NOT(Tasks[[#This Row],[_IsLeaf]]=1),Tasks[[#This Row],[_Res3Row]]=0),0,N(Tasks[[#This Row],[_Days]])*HoursPerDay*IF(Tasks[[#This Row],[_Res3Units]]="",DefaultUnits,Tasks[[#This Row],[_Res3Units]]))</f>
        <v/>
      </c>
      <c r="EE160" s="42">
        <f>IF(AND(AND(Tasks[[#This Row],[_IsLeaf]]=1,Tasks[[#This Row],[_LeafTotalWork]]&gt;0),Tasks[[#This Row],[_Res3Work]]&gt;0),Tasks[[#This Row],[_Res3Work]]/(Tasks[[#This Row],[_FinishWorkday]]-Tasks[[#This Row],[_StartWorkday]]+1),0)</f>
        <v/>
      </c>
      <c r="EF160" s="42">
        <f>Tasks[[#This Row],[_Res3WorkPerWD]]*MAX(0,Tasks[[#This Row],[_StartWorkday]]-1)</f>
        <v/>
      </c>
      <c r="EG160" s="42">
        <f>Tasks[[#This Row],[_Res3Work]]*Tasks[[#This Row],[_LeafProgress]]</f>
        <v/>
      </c>
      <c r="EH160" s="42">
        <f>IF(Tasks[[#This Row],[_Res4Text]]="","",IF(Tasks[[#This Row],[_Res4Row]]&gt;0,INDEX(res_Name,Tasks[[#This Row],[_Res4Row]]),TRIM(LEFT(Tasks[[#This Row],[_Res4Text]],FIND("[",Tasks[[#This Row],[_Res4Text]]&amp;"[")-1))))</f>
        <v/>
      </c>
      <c r="EI16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0" s="42">
        <f>IF(OR(NOT(Tasks[[#This Row],[_IsLeaf]]=1),Tasks[[#This Row],[_Res4Row]]=0),0,N(Tasks[[#This Row],[_Days]])*HoursPerDay*IF(Tasks[[#This Row],[_Res4Units]]="",DefaultUnits,Tasks[[#This Row],[_Res4Units]]))</f>
        <v/>
      </c>
      <c r="EK160" s="42">
        <f>IF(AND(AND(Tasks[[#This Row],[_IsLeaf]]=1,Tasks[[#This Row],[_LeafTotalWork]]&gt;0),Tasks[[#This Row],[_Res4Work]]&gt;0),Tasks[[#This Row],[_Res4Work]]/(Tasks[[#This Row],[_FinishWorkday]]-Tasks[[#This Row],[_StartWorkday]]+1),0)</f>
        <v/>
      </c>
      <c r="EL160" s="42">
        <f>Tasks[[#This Row],[_Res4WorkPerWD]]*MAX(0,Tasks[[#This Row],[_StartWorkday]]-1)</f>
        <v/>
      </c>
      <c r="EM160" s="42">
        <f>Tasks[[#This Row],[_Res4Work]]*Tasks[[#This Row],[_LeafProgress]]</f>
        <v/>
      </c>
      <c r="EN160" s="42">
        <f>IF(ISNUMBER(Tasks[[#This Row],[% Complete]]),Tasks[[#This Row],[% Complete]],IF(Tasks[[#This Row],[Stage]]="",0,IFERROR(INDEX(stg_Pct,MATCH(Tasks[[#This Row],[Stage]],stg_Name,0)),0)))</f>
        <v/>
      </c>
      <c r="EO160" s="42">
        <f>IF(NOT(Tasks[[#This Row],[_IsLeaf]]=1),0,IF(N(Tasks[[#This Row],[Actual Finish]])&gt;0,1,MIN(1,Tasks[[#This Row],[_Pct]])))</f>
        <v/>
      </c>
      <c r="EP160" s="42">
        <f>IF(OR(NOT(Tasks[[#This Row],[_IsLeaf]]=1),Tasks[[#This Row],[_Res1Row]]=0),0,N(Tasks[[#This Row],[_Days]])*HoursPerDay*IF(Tasks[[#This Row],[_Units1]]="",DefaultUnits,Tasks[[#This Row],[_Units1]]))</f>
        <v/>
      </c>
      <c r="EQ160" s="42">
        <f>Tasks[[#This Row],[_LeafWork]]+Tasks[[#This Row],[_Res2Work]]+Tasks[[#This Row],[_Res3Work]]+Tasks[[#This Row],[_Res4Work]]</f>
        <v/>
      </c>
      <c r="ER16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0" s="42">
        <f>IF(NOT(Tasks[[#This Row],[_IsLeaf]]=1),0,MAX(_xlfn.MAXIFS(Tasks[_Row],Tasks[_Pred1UID],Tasks[[#This Row],[UID]]),_xlfn.MAXIFS(Tasks[_Row],Tasks[_Pred2UID],Tasks[[#This Row],[UID]]),_xlfn.MAXIFS(Tasks[_Row],Tasks[_Pred3UID],Tasks[[#This Row],[UID]]),_xlfn.MAXIFS(Tasks[_Row],Tasks[_Pred4UID],Tasks[[#This Row],[UID]])))</f>
        <v/>
      </c>
      <c r="FA16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0" s="88">
        <f>IF(NOT(Tasks[[#This Row],[_IsLeaf]]=1),"",IF(N(Tasks[[#This Row],[_Days]])&lt;=0,Tasks[[#This Row],[_LeafLateFinish]],WORKDAY.INTL(Tasks[[#This Row],[_LeafLateFinish]],-(Tasks[[#This Row],[_Days]]-1),WorkWeek,Holidays)))</f>
        <v/>
      </c>
      <c r="FD16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0" s="42">
        <f>AND(Tasks[[#This Row],[_IsLeaf]]=1,Tasks[[#This Row],[_LeafProgress]]&lt;1,N(Tasks[[#This Row],[_LeafTotalSlack]])&lt;=CriticalSlackDays)</f>
        <v/>
      </c>
      <c r="FF160" s="42">
        <f>IF(AND(Tasks[[#This Row],[_IsLeaf]]=1,Tasks[[#This Row],[_ConstraintCode]]=1,Tasks[[#This Row],[Mode]]&lt;&gt;"Manual",N(Tasks[[#This Row],[Actual Start]])=0),MAX(0,N(Tasks[[#This Row],[Free Slack]])),0)</f>
        <v/>
      </c>
      <c r="FG160" s="88">
        <f>IF(NOT(Tasks[[#This Row],[_IsLeaf]]=1),"",IF(Tasks[[#This Row],[_AlapShift]]=0,Tasks[[#This Row],[_LeafCalcStart]],WORKDAY.INTL(Tasks[[#This Row],[_LeafCalcStart]],Tasks[[#This Row],[_AlapShift]],WorkWeek,Holidays)))</f>
        <v/>
      </c>
      <c r="FH160" s="88">
        <f>IF(NOT(Tasks[[#This Row],[_IsLeaf]]=1),"",IF(Tasks[[#This Row],[_AlapShift]]=0,Tasks[[#This Row],[_LeafCalcFinish]],WORKDAY.INTL(Tasks[[#This Row],[_LeafCalcFinish]],Tasks[[#This Row],[_AlapShift]],WorkWeek,Holidays)))</f>
        <v/>
      </c>
      <c r="FI160" s="88">
        <f>IF(NOT(Tasks[[#This Row],[_IsLeaf]]=1),"",IF(Tasks[[#This Row],[_AlapShift]]=0,Tasks[[#This Row],[_LeafFcstStart]],WORKDAY.INTL(Tasks[[#This Row],[_LeafFcstStart]],Tasks[[#This Row],[_AlapShift]],WorkWeek,Holidays)))</f>
        <v/>
      </c>
      <c r="FJ160" s="88">
        <f>IF(NOT(Tasks[[#This Row],[_IsLeaf]]=1),"",IF(Tasks[[#This Row],[_AlapShift]]=0,Tasks[[#This Row],[_LeafFcstFinish]],WORKDAY.INTL(Tasks[[#This Row],[_LeafFcstFinish]],Tasks[[#This Row],[_AlapShift]],WorkWeek,Holidays)))</f>
        <v/>
      </c>
      <c r="FK160" s="88">
        <f>IF(Tasks[[#This Row],[Task Name]]="","",IF(Tasks[[#This Row],[_IsSummary]],MIN(INDEX(Tasks[_ShownCalcStart],Tasks[[#This Row],[_Row]]+1):INDEX(Tasks[_ShownCalcStart],Tasks[[#This Row],[_Row]]+Tasks[[#This Row],[_Descendants]])),Tasks[[#This Row],[_ShownCalcStart]]))</f>
        <v/>
      </c>
      <c r="FL160" s="88">
        <f>IF(Tasks[[#This Row],[Task Name]]="","",IF(Tasks[[#This Row],[_IsSummary]],MAX(INDEX(Tasks[_ShownCalcFinish],Tasks[[#This Row],[_Row]]+1):INDEX(Tasks[_ShownCalcFinish],Tasks[[#This Row],[_Row]]+Tasks[[#This Row],[_Descendants]])),Tasks[[#This Row],[_ShownCalcFinish]]))</f>
        <v/>
      </c>
      <c r="FM16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0" s="42">
        <f>IF(AND(Tasks[[#This Row],[_IsLeaf]]=1,Tasks[[#This Row],[_LeafTotalWork]]&gt;0),NETWORKDAYS.INTL(ProjectStart,Tasks[[#This Row],[_ShownFcstStart]],WorkWeek,Holidays),0)</f>
        <v/>
      </c>
      <c r="FZ160" s="42">
        <f>IF(AND(Tasks[[#This Row],[_IsLeaf]]=1,Tasks[[#This Row],[_LeafTotalWork]]&gt;0),MAX(Tasks[[#This Row],[_StartWorkday]],NETWORKDAYS.INTL(ProjectStart,Tasks[[#This Row],[_ShownFcstFinish]],WorkWeek,Holidays)),0)</f>
        <v/>
      </c>
      <c r="GA160" s="42">
        <f>IF(AND(Tasks[[#This Row],[_IsLeaf]]=1,Tasks[[#This Row],[_LeafTotalWork]]&gt;0),Tasks[[#This Row],[_LeafWork]]/(Tasks[[#This Row],[_FinishWorkday]]-Tasks[[#This Row],[_StartWorkday]]+1),0)</f>
        <v/>
      </c>
      <c r="GB160" s="42">
        <f>Tasks[[#This Row],[_WorkPerWorkday]]*(Tasks[[#This Row],[_StartWorkday]]-1)</f>
        <v/>
      </c>
      <c r="GC160" s="42">
        <f>IF(Tasks[[#This Row],[_IsLeaf]]=1,MAX(N(Tasks[[#This Row],[_Days]]),0.1),0)</f>
        <v/>
      </c>
      <c r="GD160" s="42">
        <f>Tasks[[#This Row],[_WeightDur]]*Tasks[[#This Row],[_LeafProgress]]</f>
        <v/>
      </c>
      <c r="GE160" s="42">
        <f>Tasks[[#This Row],[_WeightDur]]*Tasks[[#This Row],[_PlannedPct]]</f>
        <v/>
      </c>
      <c r="GF16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0" s="42">
        <f>IF(AND(Tasks[[#This Row],[_IsLeaf]]=1,N(Tasks[[#This Row],[_Days]])=0,Tasks[[#This Row],[_LeafProgress]]&lt;1),Tasks[[#This Row],[_ShownFcstFinish]]+Tasks[[#This Row],[_Row]]/100000,"")</f>
        <v/>
      </c>
      <c r="GH16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0" s="42">
        <f>IF(Tasks[[#This Row],[Task Name]]="","",LEFT(Tasks[[#This Row],[WBS]],FIND(".",Tasks[[#This Row],[WBS]]&amp;".")-1))</f>
        <v/>
      </c>
      <c r="GJ160" s="42">
        <f>IF(AND(Tasks[[#This Row],[Task Name]]&lt;&gt;"",Tasks[[#This Row],[_Level]]=1),Tasks[[#This Row],[_Row]],"")</f>
        <v/>
      </c>
      <c r="GK160" s="42">
        <f>IF(AND(Tasks[[#This Row],[_IsLeaf]]=1,N(Tasks[[#This Row],[_Days]])=0),Tasks[[#This Row],[Planned Finish]]+Tasks[[#This Row],[_Row]]/100000,"")</f>
        <v/>
      </c>
      <c r="GL160" s="42">
        <f>IF(AND(Tasks[[#This Row],[_IsLeaf]]=1,Tasks[[#This Row],[_LeafProgress]]&lt;1,OR(N(Tasks[[#This Row],[Finish Var]])&gt;0,Tasks[[#This Row],[Status]]="Late Start")),MAX(0,Tasks[[#This Row],[Finish Var]])+1-Tasks[[#This Row],[_Row]]/1000000,"")</f>
        <v/>
      </c>
      <c r="GM160" s="42">
        <f>IF(AND(Tasks[[#This Row],[_IsLeaf]]=1,N(Tasks[[#This Row],[Actual Start]])=0,Tasks[[#This Row],[_ShownFcstStart]]&gt;=StatusDate,Tasks[[#This Row],[_ShownFcstStart]]&lt;=LookaheadEnd),Tasks[[#This Row],[_ShownFcstStart]]+Tasks[[#This Row],[_Row]]/100000,"")</f>
        <v/>
      </c>
      <c r="GN160" s="42">
        <f>IF(AND(Tasks[[#This Row],[_IsLeaf]]=1,Tasks[[#This Row],[_LeafProgress]]&lt;1,Tasks[[#This Row],[_ShownFcstFinish]]&gt;=StatusDate,Tasks[[#This Row],[_ShownFcstFinish]]&lt;=LookaheadEnd),Tasks[[#This Row],[_ShownFcstFinish]]+Tasks[[#This Row],[_Row]]/100000,"")</f>
        <v/>
      </c>
      <c r="GO160" s="42">
        <f>IF(Tasks[[#This Row],[_LeafCritical]],Tasks[[#This Row],[_ShownFcstStart]]+Tasks[[#This Row],[_Row]]/100000,"")</f>
        <v/>
      </c>
      <c r="GP160" s="42">
        <f>Tasks[[#This Row],[_LeafWork]]*Tasks[[#This Row],[_LeafProgress]]</f>
        <v/>
      </c>
      <c r="GQ160" s="88">
        <f>IF(AND(Tasks[[#This Row],[_IsLeaf]]=1,Tasks[[#This Row],[_LeafProgress]]&gt;=1),IF(N(Tasks[[#This Row],[Actual Finish]])&gt;0,Tasks[[#This Row],[Actual Finish]],Tasks[[#This Row],[_ShownFcstFinish]]),"")</f>
        <v/>
      </c>
      <c r="GR160" s="42">
        <f>IF(Tasks[[#This Row],[_IsLeaf]]=1,N(Tasks[[#This Row],[Story Points]]),0)</f>
        <v/>
      </c>
      <c r="GS160" s="42">
        <f>""</f>
        <v/>
      </c>
      <c r="GT160" s="42">
        <f>IF(Tasks[[#This Row],[Task Name]]="",FALSE(),AND(Tasks[[#This Row],[_IsLeaf]]=1,N(Tasks[[#This Row],[_Days]])=0))</f>
        <v/>
      </c>
      <c r="GU160" s="88">
        <f>IF(Tasks[[#This Row],[Task Name]]="",0,IF(AND(Tasks[[#This Row],[_IsLeaf]]=1,NOT(Tasks[[#This Row],[_IsMilestone]]),N(Tasks[[#This Row],[Progress]])&gt;0),Tasks[[#This Row],[Start]],0))</f>
        <v/>
      </c>
      <c r="GV160" s="88">
        <f>IF(Tasks[[#This Row],[_DoneFrom]]=0,0,IF(Tasks[[#This Row],[Progress]]&gt;=1,Tasks[[#This Row],[Finish]],MAX(Tasks[[#This Row],[_DoneFrom]],Tasks[[#This Row],[Start]]+ROUND((Tasks[[#This Row],[Finish]]-Tasks[[#This Row],[Start]]+1)*Tasks[[#This Row],[Progress]],0)-1)))</f>
        <v/>
      </c>
      <c r="GW160" s="88">
        <f>IF(Tasks[[#This Row],[Task Name]]="",0,IF(OR(NOT(Tasks[[#This Row],[_IsLeaf]]=1),Tasks[[#This Row],[_IsMilestone]],N(Tasks[[#This Row],[Progress]])&gt;=1),0,IF(Tasks[[#This Row],[_DoneTo]]&gt;0,Tasks[[#This Row],[_DoneTo]]+1,Tasks[[#This Row],[Start]])))</f>
        <v/>
      </c>
      <c r="GX160" s="88">
        <f>IF(Tasks[[#This Row],[_RemFrom]]=0,0,Tasks[[#This Row],[Finish]])</f>
        <v/>
      </c>
      <c r="GY160" s="42">
        <f>IF(Tasks[[#This Row],[Task Name]]="",FALSE(),OR(NOT(BaselineSet),N(Tasks[[#This Row],[Baseline Start]])&gt;0))</f>
        <v/>
      </c>
      <c r="GZ160" s="42">
        <f>IF(AND(Sandbox="Yes",L_PARSE_DURATION(Tasks[[#This Row],[Sandbox Duration]])&lt;&gt;""),L_PARSE_DURATION(Tasks[[#This Row],[Sandbox Duration]]),L_PARSE_DURATION(Tasks[[#This Row],[Duration]]))</f>
        <v/>
      </c>
      <c r="HA16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0" s="42">
        <f>IF(Tasks[[#This Row],[_IsLeaf]]=1,Tasks[[#This Row],[_Row]],"")</f>
        <v/>
      </c>
      <c r="HD160" s="42">
        <f>IFERROR(INDEX(Tasks[UID],SMALL(Tasks[_PickKey],Tasks[[#This Row],[_Row]]))&amp;" "&amp;INDEX(Tasks[Task Name],SMALL(Tasks[_PickKey],Tasks[[#This Row],[_Row]])),"")</f>
        <v/>
      </c>
      <c r="HE160" s="42">
        <f>IF(Tasks[[#This Row],[Task Name]]="","",IF(Tasks[[#This Row],[_IsSummary]],NETWORKDAYS.INTL(Tasks[[#This Row],[Start]],Tasks[[#This Row],[Finish]],WorkWeek,Holidays),N(Tasks[[#This Row],[_Days]])))</f>
        <v/>
      </c>
      <c r="HF160" s="42">
        <f>IF(Tasks[[#This Row],[Expected]]="",0,((Tasks[[#This Row],[Pessimistic]]-Tasks[[#This Row],[Optimistic]])/6)^2)</f>
        <v/>
      </c>
      <c r="HG160" s="42">
        <f>IF(Tasks[[#This Row],[Expected]]="",0,Tasks[[#This Row],[Expected]]-N(Tasks[[#This Row],[_Days]]))</f>
        <v/>
      </c>
    </row>
    <row r="161">
      <c r="A161" s="21">
        <f>IF(Tasks[[#This Row],[Task Name]]="","",COUNTA(Tasks[[#Headers],[Task Name]]:Tasks[[#This Row],[Task Name]])-1)</f>
        <v/>
      </c>
      <c r="B161" s="22" t="n">
        <v>169</v>
      </c>
      <c r="C161" s="22" t="n"/>
      <c r="D161" s="23" t="n"/>
      <c r="E161" s="22" t="n"/>
      <c r="F161" s="23" t="n"/>
      <c r="G161" s="22" t="n"/>
      <c r="H161" s="22" t="n"/>
      <c r="I161" s="23" t="n"/>
      <c r="J161" s="22" t="n"/>
      <c r="K161" s="22" t="n"/>
      <c r="L161" s="23" t="n"/>
      <c r="M161" s="22" t="n"/>
      <c r="N161" s="22" t="n"/>
      <c r="O161" s="23" t="n"/>
      <c r="P161" s="22" t="n"/>
      <c r="Q161" s="22" t="n"/>
      <c r="R161" s="23" t="n"/>
      <c r="S161" s="23" t="n"/>
      <c r="T161" s="82" t="n"/>
      <c r="U161" s="23" t="n"/>
      <c r="V161" s="82" t="n"/>
      <c r="W161" s="23" t="n"/>
      <c r="X161" s="82" t="n"/>
      <c r="Y161" s="23" t="n"/>
      <c r="Z161" s="82" t="n"/>
      <c r="AA161" s="23" t="n"/>
      <c r="AB161" s="23" t="n"/>
      <c r="AC161" s="7" t="n"/>
      <c r="AD161" s="7" t="n"/>
      <c r="AE161" s="61">
        <f>IF(Tasks[[#This Row],[Task Name]]="","",IF(Tasks[[#This Row],[_IsSummary]],MIN(INDEX(Tasks[_ShownFcstStart],Tasks[[#This Row],[_Row]]+1):INDEX(Tasks[_ShownFcstStart],Tasks[[#This Row],[_Row]]+Tasks[[#This Row],[_Descendants]])),Tasks[[#This Row],[_ShownFcstStart]]))</f>
        <v/>
      </c>
      <c r="AF161" s="61">
        <f>IF(Tasks[[#This Row],[Task Name]]="","",IF(Tasks[[#This Row],[_IsSummary]],MAX(INDEX(Tasks[_ShownFcstFinish],Tasks[[#This Row],[_Row]]+1):INDEX(Tasks[_ShownFcstFinish],Tasks[[#This Row],[_Row]]+Tasks[[#This Row],[_Descendants]])),Tasks[[#This Row],[_ShownFcstFinish]]))</f>
        <v/>
      </c>
      <c r="AG161" s="21">
        <f>""</f>
        <v/>
      </c>
      <c r="AH161" s="23" t="n"/>
      <c r="AI16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1" s="7" t="n"/>
      <c r="AK161" s="22" t="n"/>
      <c r="AL161" s="23" t="n"/>
      <c r="AM161" s="7" t="n"/>
      <c r="AN161" s="21">
        <f>IF(Tasks[[#This Row],[Task Name]]="","",IF(Tasks[[#This Row],[Finish]]&gt;=Tasks[[#This Row],[Planned Finish]],NETWORKDAYS.INTL(Tasks[[#This Row],[Planned Finish]],Tasks[[#This Row],[Finish]],WorkWeek,Holidays)-1,1-NETWORKDAYS.INTL(Tasks[[#This Row],[Finish]],Tasks[[#This Row],[Planned Finish]],WorkWeek,Holidays)))</f>
        <v/>
      </c>
      <c r="AO161" s="21">
        <f>IF(Tasks[[#This Row],[Task Name]]="","",IF(Tasks[[#This Row],[Progress]]&gt;=1,"Complete",IF(OR(N(Tasks[[#This Row],[Actual Start]])&gt;0,Tasks[[#This Row],[Progress]]&gt;0),IF(Tasks[[#This Row],[Finish Var]]&gt;0,"Behind","In Progress"),IF(Tasks[[#This Row],[Planned Start]]&lt;StatusDate,"Late Start","Not Started"))))</f>
        <v/>
      </c>
      <c r="AP161" s="21">
        <f>IF(Tasks[[#This Row],[Task Name]]="","",IF(IF(Tasks[[#This Row],[_IsSummary]],COUNTIF(INDEX(Tasks[_LeafCritical],Tasks[[#This Row],[_Row]]+1):INDEX(Tasks[_LeafCritical],Tasks[[#This Row],[_Row]]+Tasks[[#This Row],[_Descendants]]),TRUE())&gt;0,Tasks[[#This Row],[_LeafCritical]]),"Yes",""))</f>
        <v/>
      </c>
      <c r="AQ161" s="61">
        <f>IF(Tasks[[#This Row],[Task Name]]="","",IF(N(Tasks[[#This Row],[Baseline Start]])&gt;0,Tasks[[#This Row],[Baseline Start]],Tasks[[#This Row],[_CalcStart]]))</f>
        <v/>
      </c>
      <c r="AR161" s="61">
        <f>IF(Tasks[[#This Row],[Task Name]]="","",IF(N(Tasks[[#This Row],[Baseline Finish]])&gt;0,Tasks[[#This Row],[Baseline Finish]],Tasks[[#This Row],[_CalcFinish]]))</f>
        <v/>
      </c>
      <c r="AS161" s="21">
        <f>IF(Tasks[[#This Row],[Task Name]]="","",IF(Tasks[[#This Row],[Start]]&gt;=Tasks[[#This Row],[Planned Start]],NETWORKDAYS.INTL(Tasks[[#This Row],[Planned Start]],Tasks[[#This Row],[Start]],WorkWeek,Holidays)-1,1-NETWORKDAYS.INTL(Tasks[[#This Row],[Start]],Tasks[[#This Row],[Planned Start]],WorkWeek,Holidays)))</f>
        <v/>
      </c>
      <c r="AT161" s="61">
        <f>IF(Tasks[[#This Row],[Task Name]]="","",IF(Tasks[[#This Row],[_IsSummary]],MIN(INDEX(Tasks[_LeafLateStart],Tasks[[#This Row],[_Row]]+1):INDEX(Tasks[_LeafLateStart],Tasks[[#This Row],[_Row]]+Tasks[[#This Row],[_Descendants]])),Tasks[[#This Row],[_LeafLateStart]]))</f>
        <v/>
      </c>
      <c r="AU161" s="61">
        <f>IF(Tasks[[#This Row],[Task Name]]="","",IF(Tasks[[#This Row],[_IsSummary]],MAX(INDEX(Tasks[_LeafLateFinish],Tasks[[#This Row],[_Row]]+1):INDEX(Tasks[_LeafLateFinish],Tasks[[#This Row],[_Row]]+Tasks[[#This Row],[_Descendants]])),Tasks[[#This Row],[_LeafLateFinish]]))</f>
        <v/>
      </c>
      <c r="AV161" s="21">
        <f>IF(Tasks[[#This Row],[Task Name]]="","",IF(Tasks[[#This Row],[_IsSummary]],MIN(INDEX(Tasks[_LeafTotalSlack],Tasks[[#This Row],[_Row]]+1):INDEX(Tasks[_LeafTotalSlack],Tasks[[#This Row],[_Row]]+Tasks[[#This Row],[_Descendants]])),Tasks[[#This Row],[_LeafTotalSlack]]))</f>
        <v/>
      </c>
      <c r="AW16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3" t="n"/>
      <c r="BA16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f>IF(Tasks[[#This Row],[Task Name]]="","",IF(Tasks[[#This Row],[_Level]]&lt;=OutlineShowLevel,"Yes","No"))</f>
        <v/>
      </c>
      <c r="BE161" s="84">
        <f>IF(Tasks[[#This Row],[Task Name]]="","",IF(Tasks[[#This Row],[_IsSummary]],SUM(INDEX(Tasks[_LeafTotalWork],Tasks[[#This Row],[_Row]]+1):INDEX(Tasks[_LeafTotalWork],Tasks[[#This Row],[_Row]]+Tasks[[#This Row],[_Descendants]])),Tasks[[#This Row],[_LeafTotalWork]]))</f>
        <v/>
      </c>
      <c r="BF161" s="23" t="n"/>
      <c r="BG16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f>""</f>
        <v/>
      </c>
      <c r="BI161" s="85" t="n"/>
      <c r="BJ161" s="22" t="n"/>
      <c r="BK161" s="21">
        <f>IF(OR(Tasks[[#This Row],[Task Name]]="",Tasks[[#This Row],[Baseline Duration]]=""),"",Tasks[[#This Row],[_SpanDays]]-N(Tasks[[#This Row],[Baseline Duration]]))</f>
        <v/>
      </c>
      <c r="BL161" s="84">
        <f>IF(OR(Tasks[[#This Row],[Task Name]]="",Tasks[[#This Row],[Baseline Work]]=""),"",Tasks[[#This Row],[Work]]-N(Tasks[[#This Row],[Baseline Work]]))</f>
        <v/>
      </c>
      <c r="BM161" s="61">
        <f>IF(Tasks[[#This Row],[Task Name]]="","",IF(OR(TakeBaseline="Yes",N(Tasks[[#This Row],[Baseline Start]])=0),Tasks[[#This Row],[Start]],Tasks[[#This Row],[Baseline Start]]))</f>
        <v/>
      </c>
      <c r="BN161" s="61">
        <f>IF(Tasks[[#This Row],[Task Name]]="","",IF(OR(TakeBaseline="Yes",N(Tasks[[#This Row],[Baseline Finish]])=0),Tasks[[#This Row],[Finish]],Tasks[[#This Row],[Baseline Finish]]))</f>
        <v/>
      </c>
      <c r="BO161" s="21">
        <f>IF(Tasks[[#This Row],[Task Name]]="","",IF(OR(TakeBaseline="Yes",N(Tasks[[#This Row],[Baseline Duration]])=0),Tasks[[#This Row],[_SpanDays]],Tasks[[#This Row],[Baseline Duration]]))</f>
        <v/>
      </c>
      <c r="BP161" s="84">
        <f>IF(Tasks[[#This Row],[Task Name]]="","",IF(OR(TakeBaseline="Yes",N(Tasks[[#This Row],[Baseline Work]])=0),Tasks[[#This Row],[Work]],Tasks[[#This Row],[Baseline Work]]))</f>
        <v/>
      </c>
      <c r="BQ161" s="7" t="n"/>
      <c r="BR161" s="7" t="n"/>
      <c r="BS161" s="22" t="n"/>
      <c r="BT161" s="86" t="n"/>
      <c r="BU161" s="23" t="n"/>
      <c r="BV161" s="23" t="n"/>
      <c r="BW161" s="23" t="n"/>
      <c r="BX161" s="87">
        <f>IF(AND(Tasks[[#This Row],[_IsLeaf]]=1,ISNUMBER(Tasks[[#This Row],[Optimistic]]),ISNUMBER(Tasks[[#This Row],[Pessimistic]])),ROUND((Tasks[[#This Row],[Optimistic]]+4*N(Tasks[[#This Row],[_Days]])+Tasks[[#This Row],[Pessimistic]])/6,1),"")</f>
        <v/>
      </c>
      <c r="BY161" s="85" t="n"/>
      <c r="BZ161" s="85" t="n"/>
      <c r="CA161" s="22" t="n"/>
      <c r="CB161" s="42">
        <f>IF(Tasks[[#This Row],[Task Name]]="","",MAX(1,N(Tasks[[#This Row],[Level]])))</f>
        <v/>
      </c>
      <c r="CC161" s="42">
        <f>ROW()-ROW(Tasks[[#Headers],[ID]])</f>
        <v/>
      </c>
      <c r="CD161" s="42">
        <f>IF(OR(Tasks[[#This Row],[Task Name]]="",Tasks[[#This Row],[_Level]]&lt;=1),0,IFERROR(LOOKUP(2,1/(Tasks[[#Headers],[_Level]]:Tasks[[#This Row],[_Level]]=Tasks[[#This Row],[_Level]]-1),ROW(Tasks[[#Headers],[_Level]]:Tasks[[#This Row],[_Level]])),0))</f>
        <v/>
      </c>
      <c r="CE161" s="42">
        <f>IFERROR(N(INDEX(Tasks[_Level],Tasks[[#This Row],[_Row]]+1)),0)</f>
        <v/>
      </c>
      <c r="CF161" s="42">
        <f>AND(Tasks[[#This Row],[Task Name]]&lt;&gt;"",Tasks[[#This Row],[_NextLevel]]&gt;Tasks[[#This Row],[_Level]])</f>
        <v/>
      </c>
      <c r="CG161" s="42">
        <f>IF(Tasks[[#This Row],[_IsSummary]],COUNTIF(Tasks[WBS],Tasks[[#This Row],[WBS]]&amp;".*"),0)</f>
        <v/>
      </c>
      <c r="CH161" s="42">
        <f>IF(AND(Tasks[[#This Row],[Task Name]]&lt;&gt;"",NOT(Tasks[[#This Row],[_IsSummary]])),1,0)</f>
        <v/>
      </c>
      <c r="CI161" s="42">
        <f>IF(N(Tasks[[#This Row],[_Pred1UID]])=0,0,IFERROR(MATCH(Tasks[[#This Row],[_Pred1UID]],Tasks[UID],0),-1))</f>
        <v/>
      </c>
      <c r="CJ161" s="42">
        <f>IF(N(Tasks[[#This Row],[_Pred2UID]])=0,0,IFERROR(MATCH(Tasks[[#This Row],[_Pred2UID]],Tasks[UID],0),-1))</f>
        <v/>
      </c>
      <c r="CK161" s="42">
        <f>IF(N(Tasks[[#This Row],[_Pred3UID]])=0,0,IFERROR(MATCH(Tasks[[#This Row],[_Pred3UID]],Tasks[UID],0),-1))</f>
        <v/>
      </c>
      <c r="CL161" s="42">
        <f>IF(N(Tasks[[#This Row],[_Pred4UID]])=0,0,IFERROR(MATCH(Tasks[[#This Row],[_Pred4UID]],Tasks[UID],0),-1))</f>
        <v/>
      </c>
      <c r="CM16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1" s="88">
        <f>IF(N(Tasks[[#This Row],[Constraint Date]])=0,0,IF(AND(OR(Tasks[[#This Row],[_ConstraintCode]]=3,Tasks[[#This Row],[_ConstraintCode]]=6,Tasks[[#This Row],[_ConstraintCode]]=7),N(Tasks[[#This Row],[_Days]])&gt;1),WORKDAY.INTL(N(Tasks[[#This Row],[Constraint Date]]),-(N(Tasks[[#This Row],[_Days]])-1),WorkWeek,Holidays),N(Tasks[[#This Row],[Constraint Date]])))</f>
        <v/>
      </c>
      <c r="CO161" s="88">
        <f>IF(OR(Tasks[[#This Row],[_ConstraintCode]]=2,Tasks[[#This Row],[_ConstraintCode]]=3,Tasks[[#This Row],[_ConstraintCode]]=4,Tasks[[#This Row],[_ConstraintCode]]=6),Tasks[[#This Row],[_ConstraintStart]],0)</f>
        <v/>
      </c>
      <c r="CP161" s="88">
        <f>IF(OR(Tasks[[#This Row],[_ConstraintCode]]=2,Tasks[[#This Row],[_ConstraintCode]]=3,Tasks[[#This Row],[_ConstraintCode]]=5,Tasks[[#This Row],[_ConstraintCode]]=7),Tasks[[#This Row],[_ConstraintStart]],2958465)</f>
        <v/>
      </c>
      <c r="CQ16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1" s="88">
        <f>IF(NOT(Tasks[[#This Row],[_IsLeaf]]=1),"",IF(N(Tasks[[#This Row],[_Days]])&lt;=0,Tasks[[#This Row],[_LeafCalcStart]],WORKDAY.INTL(Tasks[[#This Row],[_LeafCalcStart]],Tasks[[#This Row],[_Days]]-1,WorkWeek,Holidays)))</f>
        <v/>
      </c>
      <c r="CS16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1" s="42">
        <f>IF(Tasks[[#This Row],[_Predecessors]]="","",TRIM(MID(SUBSTITUTE(SUBSTITUTE(SUBSTITUTE(UPPER(Tasks[[#This Row],[_Predecessors]]),";",",")," ",""),",",REPT(" ",99)),1,99)))</f>
        <v/>
      </c>
      <c r="CV161" s="42">
        <f>IF(Tasks[[#This Row],[_Pred1Text]]="","",IFERROR(VALUE(LEFT(Tasks[[#This Row],[_Pred1Text]],MIN(FIND("F",Tasks[[#This Row],[_Pred1Text]]&amp;"F"),FIND("S",Tasks[[#This Row],[_Pred1Text]]&amp;"S"),FIND("+",Tasks[[#This Row],[_Pred1Text]]&amp;"+"),FIND("-",Tasks[[#This Row],[_Pred1Text]]&amp;"-"))-1)),""))</f>
        <v/>
      </c>
      <c r="CW16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1" s="42">
        <f>IF(Tasks[[#This Row],[_Pred1Text]]="","",TRIM(MID(SUBSTITUTE(SUBSTITUTE(SUBSTITUTE(UPPER(Tasks[[#This Row],[_Predecessors]]),";",",")," ",""),",",REPT(" ",99)),100,99)))</f>
        <v/>
      </c>
      <c r="CZ161" s="42">
        <f>IF(Tasks[[#This Row],[_Pred2Text]]="","",IFERROR(VALUE(LEFT(Tasks[[#This Row],[_Pred2Text]],MIN(FIND("F",Tasks[[#This Row],[_Pred2Text]]&amp;"F"),FIND("S",Tasks[[#This Row],[_Pred2Text]]&amp;"S"),FIND("+",Tasks[[#This Row],[_Pred2Text]]&amp;"+"),FIND("-",Tasks[[#This Row],[_Pred2Text]]&amp;"-"))-1)),""))</f>
        <v/>
      </c>
      <c r="DA16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1" s="42">
        <f>IF(Tasks[[#This Row],[_Pred2Text]]="","",TRIM(MID(SUBSTITUTE(SUBSTITUTE(SUBSTITUTE(UPPER(Tasks[[#This Row],[_Predecessors]]),";",",")," ",""),",",REPT(" ",99)),199,99)))</f>
        <v/>
      </c>
      <c r="DD161" s="42">
        <f>IF(Tasks[[#This Row],[_Pred3Text]]="","",IFERROR(VALUE(LEFT(Tasks[[#This Row],[_Pred3Text]],MIN(FIND("F",Tasks[[#This Row],[_Pred3Text]]&amp;"F"),FIND("S",Tasks[[#This Row],[_Pred3Text]]&amp;"S"),FIND("+",Tasks[[#This Row],[_Pred3Text]]&amp;"+"),FIND("-",Tasks[[#This Row],[_Pred3Text]]&amp;"-"))-1)),""))</f>
        <v/>
      </c>
      <c r="DE16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1" s="42">
        <f>IF(Tasks[[#This Row],[_Pred3Text]]="","",TRIM(MID(SUBSTITUTE(SUBSTITUTE(SUBSTITUTE(UPPER(Tasks[[#This Row],[_Predecessors]]),";",",")," ",""),",",REPT(" ",99)),298,99)))</f>
        <v/>
      </c>
      <c r="DH161" s="42">
        <f>IF(Tasks[[#This Row],[_Pred4Text]]="","",IFERROR(VALUE(LEFT(Tasks[[#This Row],[_Pred4Text]],MIN(FIND("F",Tasks[[#This Row],[_Pred4Text]]&amp;"F"),FIND("S",Tasks[[#This Row],[_Pred4Text]]&amp;"S"),FIND("+",Tasks[[#This Row],[_Pred4Text]]&amp;"+"),FIND("-",Tasks[[#This Row],[_Pred4Text]]&amp;"-"))-1)),""))</f>
        <v/>
      </c>
      <c r="DI16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1" s="42">
        <f>IF(OR(Tasks[[#This Row],[Task Name]]="",Tasks[[#This Row],[_Resources]]=""),"",TRIM(MID(SUBSTITUTE(Tasks[[#This Row],[_Resources]],",",REPT(" ",99)),1,99)))</f>
        <v/>
      </c>
      <c r="DL161" s="42">
        <f>IF(Tasks[[#This Row],[_Res1Text]]="","",TRIM(MID(SUBSTITUTE(Tasks[[#This Row],[_Resources]],",",REPT(" ",99)),100,99)))</f>
        <v/>
      </c>
      <c r="DM161" s="42">
        <f>IF(Tasks[[#This Row],[_Res2Text]]="","",TRIM(MID(SUBSTITUTE(Tasks[[#This Row],[_Resources]],",",REPT(" ",99)),199,99)))</f>
        <v/>
      </c>
      <c r="DN161" s="42">
        <f>IF(Tasks[[#This Row],[_Res3Text]]="","",TRIM(MID(SUBSTITUTE(Tasks[[#This Row],[_Resources]],",",REPT(" ",99)),298,99)))</f>
        <v/>
      </c>
      <c r="DO161" s="42">
        <f>IF(Tasks[[#This Row],[_Res1Text]]="",0,IFERROR(MATCH(TRIM(LEFT(Tasks[[#This Row],[_Res1Text]],FIND("[",Tasks[[#This Row],[_Res1Text]]&amp;"[")-1)),res_Name,0),IFERROR(MATCH(TRIM(LEFT(Tasks[[#This Row],[_Res1Text]],FIND("[",Tasks[[#This Row],[_Res1Text]]&amp;"[")-1)),res_Initials,0),0)))</f>
        <v/>
      </c>
      <c r="DP161" s="42">
        <f>IF(Tasks[[#This Row],[_Res2Text]]="",0,IFERROR(MATCH(TRIM(LEFT(Tasks[[#This Row],[_Res2Text]],FIND("[",Tasks[[#This Row],[_Res2Text]]&amp;"[")-1)),res_Name,0),IFERROR(MATCH(TRIM(LEFT(Tasks[[#This Row],[_Res2Text]],FIND("[",Tasks[[#This Row],[_Res2Text]]&amp;"[")-1)),res_Initials,0),0)))</f>
        <v/>
      </c>
      <c r="DQ161" s="42">
        <f>IF(Tasks[[#This Row],[_Res3Text]]="",0,IFERROR(MATCH(TRIM(LEFT(Tasks[[#This Row],[_Res3Text]],FIND("[",Tasks[[#This Row],[_Res3Text]]&amp;"[")-1)),res_Name,0),IFERROR(MATCH(TRIM(LEFT(Tasks[[#This Row],[_Res3Text]],FIND("[",Tasks[[#This Row],[_Res3Text]]&amp;"[")-1)),res_Initials,0),0)))</f>
        <v/>
      </c>
      <c r="DR161" s="42">
        <f>IF(Tasks[[#This Row],[_Res4Text]]="",0,IFERROR(MATCH(TRIM(LEFT(Tasks[[#This Row],[_Res4Text]],FIND("[",Tasks[[#This Row],[_Res4Text]]&amp;"[")-1)),res_Name,0),IFERROR(MATCH(TRIM(LEFT(Tasks[[#This Row],[_Res4Text]],FIND("[",Tasks[[#This Row],[_Res4Text]]&amp;"[")-1)),res_Initials,0),0)))</f>
        <v/>
      </c>
      <c r="DS161" s="42">
        <f>IF(Tasks[[#This Row],[_Res1Text]]="","",IF(Tasks[[#This Row],[_Res1Row]]&gt;0,INDEX(res_Name,Tasks[[#This Row],[_Res1Row]]),TRIM(LEFT(Tasks[[#This Row],[_Res1Text]],FIND("[",Tasks[[#This Row],[_Res1Text]]&amp;"[")-1))))</f>
        <v/>
      </c>
      <c r="DT16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1" s="42">
        <f>IF(NOT(Tasks[[#This Row],[_IsLeaf]]=1),0,(Tasks[[#This Row],[_Resource1]]&lt;&gt;"")+(Tasks[[#This Row],[_Res2]]&lt;&gt;"")+(Tasks[[#This Row],[_Res3]]&lt;&gt;"")+(Tasks[[#This Row],[_Res4]]&lt;&gt;""))</f>
        <v/>
      </c>
      <c r="DV161" s="42">
        <f>IF(Tasks[[#This Row],[_Res2Text]]="","",IF(Tasks[[#This Row],[_Res2Row]]&gt;0,INDEX(res_Name,Tasks[[#This Row],[_Res2Row]]),TRIM(LEFT(Tasks[[#This Row],[_Res2Text]],FIND("[",Tasks[[#This Row],[_Res2Text]]&amp;"[")-1))))</f>
        <v/>
      </c>
      <c r="DW16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1" s="42">
        <f>IF(OR(NOT(Tasks[[#This Row],[_IsLeaf]]=1),Tasks[[#This Row],[_Res2Row]]=0),0,N(Tasks[[#This Row],[_Days]])*HoursPerDay*IF(Tasks[[#This Row],[_Res2Units]]="",DefaultUnits,Tasks[[#This Row],[_Res2Units]]))</f>
        <v/>
      </c>
      <c r="DY161" s="42">
        <f>IF(AND(AND(Tasks[[#This Row],[_IsLeaf]]=1,Tasks[[#This Row],[_LeafTotalWork]]&gt;0),Tasks[[#This Row],[_Res2Work]]&gt;0),Tasks[[#This Row],[_Res2Work]]/(Tasks[[#This Row],[_FinishWorkday]]-Tasks[[#This Row],[_StartWorkday]]+1),0)</f>
        <v/>
      </c>
      <c r="DZ161" s="42">
        <f>Tasks[[#This Row],[_Res2WorkPerWD]]*MAX(0,Tasks[[#This Row],[_StartWorkday]]-1)</f>
        <v/>
      </c>
      <c r="EA161" s="42">
        <f>Tasks[[#This Row],[_Res2Work]]*Tasks[[#This Row],[_LeafProgress]]</f>
        <v/>
      </c>
      <c r="EB161" s="42">
        <f>IF(Tasks[[#This Row],[_Res3Text]]="","",IF(Tasks[[#This Row],[_Res3Row]]&gt;0,INDEX(res_Name,Tasks[[#This Row],[_Res3Row]]),TRIM(LEFT(Tasks[[#This Row],[_Res3Text]],FIND("[",Tasks[[#This Row],[_Res3Text]]&amp;"[")-1))))</f>
        <v/>
      </c>
      <c r="EC16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1" s="42">
        <f>IF(OR(NOT(Tasks[[#This Row],[_IsLeaf]]=1),Tasks[[#This Row],[_Res3Row]]=0),0,N(Tasks[[#This Row],[_Days]])*HoursPerDay*IF(Tasks[[#This Row],[_Res3Units]]="",DefaultUnits,Tasks[[#This Row],[_Res3Units]]))</f>
        <v/>
      </c>
      <c r="EE161" s="42">
        <f>IF(AND(AND(Tasks[[#This Row],[_IsLeaf]]=1,Tasks[[#This Row],[_LeafTotalWork]]&gt;0),Tasks[[#This Row],[_Res3Work]]&gt;0),Tasks[[#This Row],[_Res3Work]]/(Tasks[[#This Row],[_FinishWorkday]]-Tasks[[#This Row],[_StartWorkday]]+1),0)</f>
        <v/>
      </c>
      <c r="EF161" s="42">
        <f>Tasks[[#This Row],[_Res3WorkPerWD]]*MAX(0,Tasks[[#This Row],[_StartWorkday]]-1)</f>
        <v/>
      </c>
      <c r="EG161" s="42">
        <f>Tasks[[#This Row],[_Res3Work]]*Tasks[[#This Row],[_LeafProgress]]</f>
        <v/>
      </c>
      <c r="EH161" s="42">
        <f>IF(Tasks[[#This Row],[_Res4Text]]="","",IF(Tasks[[#This Row],[_Res4Row]]&gt;0,INDEX(res_Name,Tasks[[#This Row],[_Res4Row]]),TRIM(LEFT(Tasks[[#This Row],[_Res4Text]],FIND("[",Tasks[[#This Row],[_Res4Text]]&amp;"[")-1))))</f>
        <v/>
      </c>
      <c r="EI16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1" s="42">
        <f>IF(OR(NOT(Tasks[[#This Row],[_IsLeaf]]=1),Tasks[[#This Row],[_Res4Row]]=0),0,N(Tasks[[#This Row],[_Days]])*HoursPerDay*IF(Tasks[[#This Row],[_Res4Units]]="",DefaultUnits,Tasks[[#This Row],[_Res4Units]]))</f>
        <v/>
      </c>
      <c r="EK161" s="42">
        <f>IF(AND(AND(Tasks[[#This Row],[_IsLeaf]]=1,Tasks[[#This Row],[_LeafTotalWork]]&gt;0),Tasks[[#This Row],[_Res4Work]]&gt;0),Tasks[[#This Row],[_Res4Work]]/(Tasks[[#This Row],[_FinishWorkday]]-Tasks[[#This Row],[_StartWorkday]]+1),0)</f>
        <v/>
      </c>
      <c r="EL161" s="42">
        <f>Tasks[[#This Row],[_Res4WorkPerWD]]*MAX(0,Tasks[[#This Row],[_StartWorkday]]-1)</f>
        <v/>
      </c>
      <c r="EM161" s="42">
        <f>Tasks[[#This Row],[_Res4Work]]*Tasks[[#This Row],[_LeafProgress]]</f>
        <v/>
      </c>
      <c r="EN161" s="42">
        <f>IF(ISNUMBER(Tasks[[#This Row],[% Complete]]),Tasks[[#This Row],[% Complete]],IF(Tasks[[#This Row],[Stage]]="",0,IFERROR(INDEX(stg_Pct,MATCH(Tasks[[#This Row],[Stage]],stg_Name,0)),0)))</f>
        <v/>
      </c>
      <c r="EO161" s="42">
        <f>IF(NOT(Tasks[[#This Row],[_IsLeaf]]=1),0,IF(N(Tasks[[#This Row],[Actual Finish]])&gt;0,1,MIN(1,Tasks[[#This Row],[_Pct]])))</f>
        <v/>
      </c>
      <c r="EP161" s="42">
        <f>IF(OR(NOT(Tasks[[#This Row],[_IsLeaf]]=1),Tasks[[#This Row],[_Res1Row]]=0),0,N(Tasks[[#This Row],[_Days]])*HoursPerDay*IF(Tasks[[#This Row],[_Units1]]="",DefaultUnits,Tasks[[#This Row],[_Units1]]))</f>
        <v/>
      </c>
      <c r="EQ161" s="42">
        <f>Tasks[[#This Row],[_LeafWork]]+Tasks[[#This Row],[_Res2Work]]+Tasks[[#This Row],[_Res3Work]]+Tasks[[#This Row],[_Res4Work]]</f>
        <v/>
      </c>
      <c r="ER16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1" s="42">
        <f>IF(NOT(Tasks[[#This Row],[_IsLeaf]]=1),0,MAX(_xlfn.MAXIFS(Tasks[_Row],Tasks[_Pred1UID],Tasks[[#This Row],[UID]]),_xlfn.MAXIFS(Tasks[_Row],Tasks[_Pred2UID],Tasks[[#This Row],[UID]]),_xlfn.MAXIFS(Tasks[_Row],Tasks[_Pred3UID],Tasks[[#This Row],[UID]]),_xlfn.MAXIFS(Tasks[_Row],Tasks[_Pred4UID],Tasks[[#This Row],[UID]])))</f>
        <v/>
      </c>
      <c r="FA16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1" s="88">
        <f>IF(NOT(Tasks[[#This Row],[_IsLeaf]]=1),"",IF(N(Tasks[[#This Row],[_Days]])&lt;=0,Tasks[[#This Row],[_LeafLateFinish]],WORKDAY.INTL(Tasks[[#This Row],[_LeafLateFinish]],-(Tasks[[#This Row],[_Days]]-1),WorkWeek,Holidays)))</f>
        <v/>
      </c>
      <c r="FD16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1" s="42">
        <f>AND(Tasks[[#This Row],[_IsLeaf]]=1,Tasks[[#This Row],[_LeafProgress]]&lt;1,N(Tasks[[#This Row],[_LeafTotalSlack]])&lt;=CriticalSlackDays)</f>
        <v/>
      </c>
      <c r="FF161" s="42">
        <f>IF(AND(Tasks[[#This Row],[_IsLeaf]]=1,Tasks[[#This Row],[_ConstraintCode]]=1,Tasks[[#This Row],[Mode]]&lt;&gt;"Manual",N(Tasks[[#This Row],[Actual Start]])=0),MAX(0,N(Tasks[[#This Row],[Free Slack]])),0)</f>
        <v/>
      </c>
      <c r="FG161" s="88">
        <f>IF(NOT(Tasks[[#This Row],[_IsLeaf]]=1),"",IF(Tasks[[#This Row],[_AlapShift]]=0,Tasks[[#This Row],[_LeafCalcStart]],WORKDAY.INTL(Tasks[[#This Row],[_LeafCalcStart]],Tasks[[#This Row],[_AlapShift]],WorkWeek,Holidays)))</f>
        <v/>
      </c>
      <c r="FH161" s="88">
        <f>IF(NOT(Tasks[[#This Row],[_IsLeaf]]=1),"",IF(Tasks[[#This Row],[_AlapShift]]=0,Tasks[[#This Row],[_LeafCalcFinish]],WORKDAY.INTL(Tasks[[#This Row],[_LeafCalcFinish]],Tasks[[#This Row],[_AlapShift]],WorkWeek,Holidays)))</f>
        <v/>
      </c>
      <c r="FI161" s="88">
        <f>IF(NOT(Tasks[[#This Row],[_IsLeaf]]=1),"",IF(Tasks[[#This Row],[_AlapShift]]=0,Tasks[[#This Row],[_LeafFcstStart]],WORKDAY.INTL(Tasks[[#This Row],[_LeafFcstStart]],Tasks[[#This Row],[_AlapShift]],WorkWeek,Holidays)))</f>
        <v/>
      </c>
      <c r="FJ161" s="88">
        <f>IF(NOT(Tasks[[#This Row],[_IsLeaf]]=1),"",IF(Tasks[[#This Row],[_AlapShift]]=0,Tasks[[#This Row],[_LeafFcstFinish]],WORKDAY.INTL(Tasks[[#This Row],[_LeafFcstFinish]],Tasks[[#This Row],[_AlapShift]],WorkWeek,Holidays)))</f>
        <v/>
      </c>
      <c r="FK161" s="88">
        <f>IF(Tasks[[#This Row],[Task Name]]="","",IF(Tasks[[#This Row],[_IsSummary]],MIN(INDEX(Tasks[_ShownCalcStart],Tasks[[#This Row],[_Row]]+1):INDEX(Tasks[_ShownCalcStart],Tasks[[#This Row],[_Row]]+Tasks[[#This Row],[_Descendants]])),Tasks[[#This Row],[_ShownCalcStart]]))</f>
        <v/>
      </c>
      <c r="FL161" s="88">
        <f>IF(Tasks[[#This Row],[Task Name]]="","",IF(Tasks[[#This Row],[_IsSummary]],MAX(INDEX(Tasks[_ShownCalcFinish],Tasks[[#This Row],[_Row]]+1):INDEX(Tasks[_ShownCalcFinish],Tasks[[#This Row],[_Row]]+Tasks[[#This Row],[_Descendants]])),Tasks[[#This Row],[_ShownCalcFinish]]))</f>
        <v/>
      </c>
      <c r="FM16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1" s="42">
        <f>IF(AND(Tasks[[#This Row],[_IsLeaf]]=1,Tasks[[#This Row],[_LeafTotalWork]]&gt;0),NETWORKDAYS.INTL(ProjectStart,Tasks[[#This Row],[_ShownFcstStart]],WorkWeek,Holidays),0)</f>
        <v/>
      </c>
      <c r="FZ161" s="42">
        <f>IF(AND(Tasks[[#This Row],[_IsLeaf]]=1,Tasks[[#This Row],[_LeafTotalWork]]&gt;0),MAX(Tasks[[#This Row],[_StartWorkday]],NETWORKDAYS.INTL(ProjectStart,Tasks[[#This Row],[_ShownFcstFinish]],WorkWeek,Holidays)),0)</f>
        <v/>
      </c>
      <c r="GA161" s="42">
        <f>IF(AND(Tasks[[#This Row],[_IsLeaf]]=1,Tasks[[#This Row],[_LeafTotalWork]]&gt;0),Tasks[[#This Row],[_LeafWork]]/(Tasks[[#This Row],[_FinishWorkday]]-Tasks[[#This Row],[_StartWorkday]]+1),0)</f>
        <v/>
      </c>
      <c r="GB161" s="42">
        <f>Tasks[[#This Row],[_WorkPerWorkday]]*(Tasks[[#This Row],[_StartWorkday]]-1)</f>
        <v/>
      </c>
      <c r="GC161" s="42">
        <f>IF(Tasks[[#This Row],[_IsLeaf]]=1,MAX(N(Tasks[[#This Row],[_Days]]),0.1),0)</f>
        <v/>
      </c>
      <c r="GD161" s="42">
        <f>Tasks[[#This Row],[_WeightDur]]*Tasks[[#This Row],[_LeafProgress]]</f>
        <v/>
      </c>
      <c r="GE161" s="42">
        <f>Tasks[[#This Row],[_WeightDur]]*Tasks[[#This Row],[_PlannedPct]]</f>
        <v/>
      </c>
      <c r="GF16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1" s="42">
        <f>IF(AND(Tasks[[#This Row],[_IsLeaf]]=1,N(Tasks[[#This Row],[_Days]])=0,Tasks[[#This Row],[_LeafProgress]]&lt;1),Tasks[[#This Row],[_ShownFcstFinish]]+Tasks[[#This Row],[_Row]]/100000,"")</f>
        <v/>
      </c>
      <c r="GH16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1" s="42">
        <f>IF(Tasks[[#This Row],[Task Name]]="","",LEFT(Tasks[[#This Row],[WBS]],FIND(".",Tasks[[#This Row],[WBS]]&amp;".")-1))</f>
        <v/>
      </c>
      <c r="GJ161" s="42">
        <f>IF(AND(Tasks[[#This Row],[Task Name]]&lt;&gt;"",Tasks[[#This Row],[_Level]]=1),Tasks[[#This Row],[_Row]],"")</f>
        <v/>
      </c>
      <c r="GK161" s="42">
        <f>IF(AND(Tasks[[#This Row],[_IsLeaf]]=1,N(Tasks[[#This Row],[_Days]])=0),Tasks[[#This Row],[Planned Finish]]+Tasks[[#This Row],[_Row]]/100000,"")</f>
        <v/>
      </c>
      <c r="GL161" s="42">
        <f>IF(AND(Tasks[[#This Row],[_IsLeaf]]=1,Tasks[[#This Row],[_LeafProgress]]&lt;1,OR(N(Tasks[[#This Row],[Finish Var]])&gt;0,Tasks[[#This Row],[Status]]="Late Start")),MAX(0,Tasks[[#This Row],[Finish Var]])+1-Tasks[[#This Row],[_Row]]/1000000,"")</f>
        <v/>
      </c>
      <c r="GM161" s="42">
        <f>IF(AND(Tasks[[#This Row],[_IsLeaf]]=1,N(Tasks[[#This Row],[Actual Start]])=0,Tasks[[#This Row],[_ShownFcstStart]]&gt;=StatusDate,Tasks[[#This Row],[_ShownFcstStart]]&lt;=LookaheadEnd),Tasks[[#This Row],[_ShownFcstStart]]+Tasks[[#This Row],[_Row]]/100000,"")</f>
        <v/>
      </c>
      <c r="GN161" s="42">
        <f>IF(AND(Tasks[[#This Row],[_IsLeaf]]=1,Tasks[[#This Row],[_LeafProgress]]&lt;1,Tasks[[#This Row],[_ShownFcstFinish]]&gt;=StatusDate,Tasks[[#This Row],[_ShownFcstFinish]]&lt;=LookaheadEnd),Tasks[[#This Row],[_ShownFcstFinish]]+Tasks[[#This Row],[_Row]]/100000,"")</f>
        <v/>
      </c>
      <c r="GO161" s="42">
        <f>IF(Tasks[[#This Row],[_LeafCritical]],Tasks[[#This Row],[_ShownFcstStart]]+Tasks[[#This Row],[_Row]]/100000,"")</f>
        <v/>
      </c>
      <c r="GP161" s="42">
        <f>Tasks[[#This Row],[_LeafWork]]*Tasks[[#This Row],[_LeafProgress]]</f>
        <v/>
      </c>
      <c r="GQ161" s="88">
        <f>IF(AND(Tasks[[#This Row],[_IsLeaf]]=1,Tasks[[#This Row],[_LeafProgress]]&gt;=1),IF(N(Tasks[[#This Row],[Actual Finish]])&gt;0,Tasks[[#This Row],[Actual Finish]],Tasks[[#This Row],[_ShownFcstFinish]]),"")</f>
        <v/>
      </c>
      <c r="GR161" s="42">
        <f>IF(Tasks[[#This Row],[_IsLeaf]]=1,N(Tasks[[#This Row],[Story Points]]),0)</f>
        <v/>
      </c>
      <c r="GS161" s="42">
        <f>""</f>
        <v/>
      </c>
      <c r="GT161" s="42">
        <f>IF(Tasks[[#This Row],[Task Name]]="",FALSE(),AND(Tasks[[#This Row],[_IsLeaf]]=1,N(Tasks[[#This Row],[_Days]])=0))</f>
        <v/>
      </c>
      <c r="GU161" s="88">
        <f>IF(Tasks[[#This Row],[Task Name]]="",0,IF(AND(Tasks[[#This Row],[_IsLeaf]]=1,NOT(Tasks[[#This Row],[_IsMilestone]]),N(Tasks[[#This Row],[Progress]])&gt;0),Tasks[[#This Row],[Start]],0))</f>
        <v/>
      </c>
      <c r="GV161" s="88">
        <f>IF(Tasks[[#This Row],[_DoneFrom]]=0,0,IF(Tasks[[#This Row],[Progress]]&gt;=1,Tasks[[#This Row],[Finish]],MAX(Tasks[[#This Row],[_DoneFrom]],Tasks[[#This Row],[Start]]+ROUND((Tasks[[#This Row],[Finish]]-Tasks[[#This Row],[Start]]+1)*Tasks[[#This Row],[Progress]],0)-1)))</f>
        <v/>
      </c>
      <c r="GW161" s="88">
        <f>IF(Tasks[[#This Row],[Task Name]]="",0,IF(OR(NOT(Tasks[[#This Row],[_IsLeaf]]=1),Tasks[[#This Row],[_IsMilestone]],N(Tasks[[#This Row],[Progress]])&gt;=1),0,IF(Tasks[[#This Row],[_DoneTo]]&gt;0,Tasks[[#This Row],[_DoneTo]]+1,Tasks[[#This Row],[Start]])))</f>
        <v/>
      </c>
      <c r="GX161" s="88">
        <f>IF(Tasks[[#This Row],[_RemFrom]]=0,0,Tasks[[#This Row],[Finish]])</f>
        <v/>
      </c>
      <c r="GY161" s="42">
        <f>IF(Tasks[[#This Row],[Task Name]]="",FALSE(),OR(NOT(BaselineSet),N(Tasks[[#This Row],[Baseline Start]])&gt;0))</f>
        <v/>
      </c>
      <c r="GZ161" s="42">
        <f>IF(AND(Sandbox="Yes",L_PARSE_DURATION(Tasks[[#This Row],[Sandbox Duration]])&lt;&gt;""),L_PARSE_DURATION(Tasks[[#This Row],[Sandbox Duration]]),L_PARSE_DURATION(Tasks[[#This Row],[Duration]]))</f>
        <v/>
      </c>
      <c r="HA16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1" s="42">
        <f>IF(Tasks[[#This Row],[_IsLeaf]]=1,Tasks[[#This Row],[_Row]],"")</f>
        <v/>
      </c>
      <c r="HD161" s="42">
        <f>IFERROR(INDEX(Tasks[UID],SMALL(Tasks[_PickKey],Tasks[[#This Row],[_Row]]))&amp;" "&amp;INDEX(Tasks[Task Name],SMALL(Tasks[_PickKey],Tasks[[#This Row],[_Row]])),"")</f>
        <v/>
      </c>
      <c r="HE161" s="42">
        <f>IF(Tasks[[#This Row],[Task Name]]="","",IF(Tasks[[#This Row],[_IsSummary]],NETWORKDAYS.INTL(Tasks[[#This Row],[Start]],Tasks[[#This Row],[Finish]],WorkWeek,Holidays),N(Tasks[[#This Row],[_Days]])))</f>
        <v/>
      </c>
      <c r="HF161" s="42">
        <f>IF(Tasks[[#This Row],[Expected]]="",0,((Tasks[[#This Row],[Pessimistic]]-Tasks[[#This Row],[Optimistic]])/6)^2)</f>
        <v/>
      </c>
      <c r="HG161" s="42">
        <f>IF(Tasks[[#This Row],[Expected]]="",0,Tasks[[#This Row],[Expected]]-N(Tasks[[#This Row],[_Days]]))</f>
        <v/>
      </c>
    </row>
    <row r="162">
      <c r="A162" s="21">
        <f>IF(Tasks[[#This Row],[Task Name]]="","",COUNTA(Tasks[[#Headers],[Task Name]]:Tasks[[#This Row],[Task Name]])-1)</f>
        <v/>
      </c>
      <c r="B162" s="22" t="n">
        <v>170</v>
      </c>
      <c r="C162" s="22" t="n"/>
      <c r="D162" s="23" t="n"/>
      <c r="E162" s="22" t="n"/>
      <c r="F162" s="23" t="n"/>
      <c r="G162" s="22" t="n"/>
      <c r="H162" s="22" t="n"/>
      <c r="I162" s="23" t="n"/>
      <c r="J162" s="22" t="n"/>
      <c r="K162" s="22" t="n"/>
      <c r="L162" s="23" t="n"/>
      <c r="M162" s="22" t="n"/>
      <c r="N162" s="22" t="n"/>
      <c r="O162" s="23" t="n"/>
      <c r="P162" s="22" t="n"/>
      <c r="Q162" s="22" t="n"/>
      <c r="R162" s="23" t="n"/>
      <c r="S162" s="23" t="n"/>
      <c r="T162" s="82" t="n"/>
      <c r="U162" s="23" t="n"/>
      <c r="V162" s="82" t="n"/>
      <c r="W162" s="23" t="n"/>
      <c r="X162" s="82" t="n"/>
      <c r="Y162" s="23" t="n"/>
      <c r="Z162" s="82" t="n"/>
      <c r="AA162" s="23" t="n"/>
      <c r="AB162" s="23" t="n"/>
      <c r="AC162" s="7" t="n"/>
      <c r="AD162" s="7" t="n"/>
      <c r="AE162" s="61">
        <f>IF(Tasks[[#This Row],[Task Name]]="","",IF(Tasks[[#This Row],[_IsSummary]],MIN(INDEX(Tasks[_ShownFcstStart],Tasks[[#This Row],[_Row]]+1):INDEX(Tasks[_ShownFcstStart],Tasks[[#This Row],[_Row]]+Tasks[[#This Row],[_Descendants]])),Tasks[[#This Row],[_ShownFcstStart]]))</f>
        <v/>
      </c>
      <c r="AF162" s="61">
        <f>IF(Tasks[[#This Row],[Task Name]]="","",IF(Tasks[[#This Row],[_IsSummary]],MAX(INDEX(Tasks[_ShownFcstFinish],Tasks[[#This Row],[_Row]]+1):INDEX(Tasks[_ShownFcstFinish],Tasks[[#This Row],[_Row]]+Tasks[[#This Row],[_Descendants]])),Tasks[[#This Row],[_ShownFcstFinish]]))</f>
        <v/>
      </c>
      <c r="AG162" s="21">
        <f>""</f>
        <v/>
      </c>
      <c r="AH162" s="23" t="n"/>
      <c r="AI16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2" s="7" t="n"/>
      <c r="AK162" s="22" t="n"/>
      <c r="AL162" s="23" t="n"/>
      <c r="AM162" s="7" t="n"/>
      <c r="AN162" s="21">
        <f>IF(Tasks[[#This Row],[Task Name]]="","",IF(Tasks[[#This Row],[Finish]]&gt;=Tasks[[#This Row],[Planned Finish]],NETWORKDAYS.INTL(Tasks[[#This Row],[Planned Finish]],Tasks[[#This Row],[Finish]],WorkWeek,Holidays)-1,1-NETWORKDAYS.INTL(Tasks[[#This Row],[Finish]],Tasks[[#This Row],[Planned Finish]],WorkWeek,Holidays)))</f>
        <v/>
      </c>
      <c r="AO162" s="21">
        <f>IF(Tasks[[#This Row],[Task Name]]="","",IF(Tasks[[#This Row],[Progress]]&gt;=1,"Complete",IF(OR(N(Tasks[[#This Row],[Actual Start]])&gt;0,Tasks[[#This Row],[Progress]]&gt;0),IF(Tasks[[#This Row],[Finish Var]]&gt;0,"Behind","In Progress"),IF(Tasks[[#This Row],[Planned Start]]&lt;StatusDate,"Late Start","Not Started"))))</f>
        <v/>
      </c>
      <c r="AP162" s="21">
        <f>IF(Tasks[[#This Row],[Task Name]]="","",IF(IF(Tasks[[#This Row],[_IsSummary]],COUNTIF(INDEX(Tasks[_LeafCritical],Tasks[[#This Row],[_Row]]+1):INDEX(Tasks[_LeafCritical],Tasks[[#This Row],[_Row]]+Tasks[[#This Row],[_Descendants]]),TRUE())&gt;0,Tasks[[#This Row],[_LeafCritical]]),"Yes",""))</f>
        <v/>
      </c>
      <c r="AQ162" s="61">
        <f>IF(Tasks[[#This Row],[Task Name]]="","",IF(N(Tasks[[#This Row],[Baseline Start]])&gt;0,Tasks[[#This Row],[Baseline Start]],Tasks[[#This Row],[_CalcStart]]))</f>
        <v/>
      </c>
      <c r="AR162" s="61">
        <f>IF(Tasks[[#This Row],[Task Name]]="","",IF(N(Tasks[[#This Row],[Baseline Finish]])&gt;0,Tasks[[#This Row],[Baseline Finish]],Tasks[[#This Row],[_CalcFinish]]))</f>
        <v/>
      </c>
      <c r="AS162" s="21">
        <f>IF(Tasks[[#This Row],[Task Name]]="","",IF(Tasks[[#This Row],[Start]]&gt;=Tasks[[#This Row],[Planned Start]],NETWORKDAYS.INTL(Tasks[[#This Row],[Planned Start]],Tasks[[#This Row],[Start]],WorkWeek,Holidays)-1,1-NETWORKDAYS.INTL(Tasks[[#This Row],[Start]],Tasks[[#This Row],[Planned Start]],WorkWeek,Holidays)))</f>
        <v/>
      </c>
      <c r="AT162" s="61">
        <f>IF(Tasks[[#This Row],[Task Name]]="","",IF(Tasks[[#This Row],[_IsSummary]],MIN(INDEX(Tasks[_LeafLateStart],Tasks[[#This Row],[_Row]]+1):INDEX(Tasks[_LeafLateStart],Tasks[[#This Row],[_Row]]+Tasks[[#This Row],[_Descendants]])),Tasks[[#This Row],[_LeafLateStart]]))</f>
        <v/>
      </c>
      <c r="AU162" s="61">
        <f>IF(Tasks[[#This Row],[Task Name]]="","",IF(Tasks[[#This Row],[_IsSummary]],MAX(INDEX(Tasks[_LeafLateFinish],Tasks[[#This Row],[_Row]]+1):INDEX(Tasks[_LeafLateFinish],Tasks[[#This Row],[_Row]]+Tasks[[#This Row],[_Descendants]])),Tasks[[#This Row],[_LeafLateFinish]]))</f>
        <v/>
      </c>
      <c r="AV162" s="21">
        <f>IF(Tasks[[#This Row],[Task Name]]="","",IF(Tasks[[#This Row],[_IsSummary]],MIN(INDEX(Tasks[_LeafTotalSlack],Tasks[[#This Row],[_Row]]+1):INDEX(Tasks[_LeafTotalSlack],Tasks[[#This Row],[_Row]]+Tasks[[#This Row],[_Descendants]])),Tasks[[#This Row],[_LeafTotalSlack]]))</f>
        <v/>
      </c>
      <c r="AW16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3" t="n"/>
      <c r="BA16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f>IF(Tasks[[#This Row],[Task Name]]="","",IF(Tasks[[#This Row],[_Level]]&lt;=OutlineShowLevel,"Yes","No"))</f>
        <v/>
      </c>
      <c r="BE162" s="84">
        <f>IF(Tasks[[#This Row],[Task Name]]="","",IF(Tasks[[#This Row],[_IsSummary]],SUM(INDEX(Tasks[_LeafTotalWork],Tasks[[#This Row],[_Row]]+1):INDEX(Tasks[_LeafTotalWork],Tasks[[#This Row],[_Row]]+Tasks[[#This Row],[_Descendants]])),Tasks[[#This Row],[_LeafTotalWork]]))</f>
        <v/>
      </c>
      <c r="BF162" s="23" t="n"/>
      <c r="BG16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f>""</f>
        <v/>
      </c>
      <c r="BI162" s="85" t="n"/>
      <c r="BJ162" s="22" t="n"/>
      <c r="BK162" s="21">
        <f>IF(OR(Tasks[[#This Row],[Task Name]]="",Tasks[[#This Row],[Baseline Duration]]=""),"",Tasks[[#This Row],[_SpanDays]]-N(Tasks[[#This Row],[Baseline Duration]]))</f>
        <v/>
      </c>
      <c r="BL162" s="84">
        <f>IF(OR(Tasks[[#This Row],[Task Name]]="",Tasks[[#This Row],[Baseline Work]]=""),"",Tasks[[#This Row],[Work]]-N(Tasks[[#This Row],[Baseline Work]]))</f>
        <v/>
      </c>
      <c r="BM162" s="61">
        <f>IF(Tasks[[#This Row],[Task Name]]="","",IF(OR(TakeBaseline="Yes",N(Tasks[[#This Row],[Baseline Start]])=0),Tasks[[#This Row],[Start]],Tasks[[#This Row],[Baseline Start]]))</f>
        <v/>
      </c>
      <c r="BN162" s="61">
        <f>IF(Tasks[[#This Row],[Task Name]]="","",IF(OR(TakeBaseline="Yes",N(Tasks[[#This Row],[Baseline Finish]])=0),Tasks[[#This Row],[Finish]],Tasks[[#This Row],[Baseline Finish]]))</f>
        <v/>
      </c>
      <c r="BO162" s="21">
        <f>IF(Tasks[[#This Row],[Task Name]]="","",IF(OR(TakeBaseline="Yes",N(Tasks[[#This Row],[Baseline Duration]])=0),Tasks[[#This Row],[_SpanDays]],Tasks[[#This Row],[Baseline Duration]]))</f>
        <v/>
      </c>
      <c r="BP162" s="84">
        <f>IF(Tasks[[#This Row],[Task Name]]="","",IF(OR(TakeBaseline="Yes",N(Tasks[[#This Row],[Baseline Work]])=0),Tasks[[#This Row],[Work]],Tasks[[#This Row],[Baseline Work]]))</f>
        <v/>
      </c>
      <c r="BQ162" s="7" t="n"/>
      <c r="BR162" s="7" t="n"/>
      <c r="BS162" s="22" t="n"/>
      <c r="BT162" s="86" t="n"/>
      <c r="BU162" s="23" t="n"/>
      <c r="BV162" s="23" t="n"/>
      <c r="BW162" s="23" t="n"/>
      <c r="BX162" s="87">
        <f>IF(AND(Tasks[[#This Row],[_IsLeaf]]=1,ISNUMBER(Tasks[[#This Row],[Optimistic]]),ISNUMBER(Tasks[[#This Row],[Pessimistic]])),ROUND((Tasks[[#This Row],[Optimistic]]+4*N(Tasks[[#This Row],[_Days]])+Tasks[[#This Row],[Pessimistic]])/6,1),"")</f>
        <v/>
      </c>
      <c r="BY162" s="85" t="n"/>
      <c r="BZ162" s="85" t="n"/>
      <c r="CA162" s="22" t="n"/>
      <c r="CB162" s="42">
        <f>IF(Tasks[[#This Row],[Task Name]]="","",MAX(1,N(Tasks[[#This Row],[Level]])))</f>
        <v/>
      </c>
      <c r="CC162" s="42">
        <f>ROW()-ROW(Tasks[[#Headers],[ID]])</f>
        <v/>
      </c>
      <c r="CD162" s="42">
        <f>IF(OR(Tasks[[#This Row],[Task Name]]="",Tasks[[#This Row],[_Level]]&lt;=1),0,IFERROR(LOOKUP(2,1/(Tasks[[#Headers],[_Level]]:Tasks[[#This Row],[_Level]]=Tasks[[#This Row],[_Level]]-1),ROW(Tasks[[#Headers],[_Level]]:Tasks[[#This Row],[_Level]])),0))</f>
        <v/>
      </c>
      <c r="CE162" s="42">
        <f>IFERROR(N(INDEX(Tasks[_Level],Tasks[[#This Row],[_Row]]+1)),0)</f>
        <v/>
      </c>
      <c r="CF162" s="42">
        <f>AND(Tasks[[#This Row],[Task Name]]&lt;&gt;"",Tasks[[#This Row],[_NextLevel]]&gt;Tasks[[#This Row],[_Level]])</f>
        <v/>
      </c>
      <c r="CG162" s="42">
        <f>IF(Tasks[[#This Row],[_IsSummary]],COUNTIF(Tasks[WBS],Tasks[[#This Row],[WBS]]&amp;".*"),0)</f>
        <v/>
      </c>
      <c r="CH162" s="42">
        <f>IF(AND(Tasks[[#This Row],[Task Name]]&lt;&gt;"",NOT(Tasks[[#This Row],[_IsSummary]])),1,0)</f>
        <v/>
      </c>
      <c r="CI162" s="42">
        <f>IF(N(Tasks[[#This Row],[_Pred1UID]])=0,0,IFERROR(MATCH(Tasks[[#This Row],[_Pred1UID]],Tasks[UID],0),-1))</f>
        <v/>
      </c>
      <c r="CJ162" s="42">
        <f>IF(N(Tasks[[#This Row],[_Pred2UID]])=0,0,IFERROR(MATCH(Tasks[[#This Row],[_Pred2UID]],Tasks[UID],0),-1))</f>
        <v/>
      </c>
      <c r="CK162" s="42">
        <f>IF(N(Tasks[[#This Row],[_Pred3UID]])=0,0,IFERROR(MATCH(Tasks[[#This Row],[_Pred3UID]],Tasks[UID],0),-1))</f>
        <v/>
      </c>
      <c r="CL162" s="42">
        <f>IF(N(Tasks[[#This Row],[_Pred4UID]])=0,0,IFERROR(MATCH(Tasks[[#This Row],[_Pred4UID]],Tasks[UID],0),-1))</f>
        <v/>
      </c>
      <c r="CM16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2" s="88">
        <f>IF(N(Tasks[[#This Row],[Constraint Date]])=0,0,IF(AND(OR(Tasks[[#This Row],[_ConstraintCode]]=3,Tasks[[#This Row],[_ConstraintCode]]=6,Tasks[[#This Row],[_ConstraintCode]]=7),N(Tasks[[#This Row],[_Days]])&gt;1),WORKDAY.INTL(N(Tasks[[#This Row],[Constraint Date]]),-(N(Tasks[[#This Row],[_Days]])-1),WorkWeek,Holidays),N(Tasks[[#This Row],[Constraint Date]])))</f>
        <v/>
      </c>
      <c r="CO162" s="88">
        <f>IF(OR(Tasks[[#This Row],[_ConstraintCode]]=2,Tasks[[#This Row],[_ConstraintCode]]=3,Tasks[[#This Row],[_ConstraintCode]]=4,Tasks[[#This Row],[_ConstraintCode]]=6),Tasks[[#This Row],[_ConstraintStart]],0)</f>
        <v/>
      </c>
      <c r="CP162" s="88">
        <f>IF(OR(Tasks[[#This Row],[_ConstraintCode]]=2,Tasks[[#This Row],[_ConstraintCode]]=3,Tasks[[#This Row],[_ConstraintCode]]=5,Tasks[[#This Row],[_ConstraintCode]]=7),Tasks[[#This Row],[_ConstraintStart]],2958465)</f>
        <v/>
      </c>
      <c r="CQ16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2" s="88">
        <f>IF(NOT(Tasks[[#This Row],[_IsLeaf]]=1),"",IF(N(Tasks[[#This Row],[_Days]])&lt;=0,Tasks[[#This Row],[_LeafCalcStart]],WORKDAY.INTL(Tasks[[#This Row],[_LeafCalcStart]],Tasks[[#This Row],[_Days]]-1,WorkWeek,Holidays)))</f>
        <v/>
      </c>
      <c r="CS16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2" s="42">
        <f>IF(Tasks[[#This Row],[_Predecessors]]="","",TRIM(MID(SUBSTITUTE(SUBSTITUTE(SUBSTITUTE(UPPER(Tasks[[#This Row],[_Predecessors]]),";",",")," ",""),",",REPT(" ",99)),1,99)))</f>
        <v/>
      </c>
      <c r="CV162" s="42">
        <f>IF(Tasks[[#This Row],[_Pred1Text]]="","",IFERROR(VALUE(LEFT(Tasks[[#This Row],[_Pred1Text]],MIN(FIND("F",Tasks[[#This Row],[_Pred1Text]]&amp;"F"),FIND("S",Tasks[[#This Row],[_Pred1Text]]&amp;"S"),FIND("+",Tasks[[#This Row],[_Pred1Text]]&amp;"+"),FIND("-",Tasks[[#This Row],[_Pred1Text]]&amp;"-"))-1)),""))</f>
        <v/>
      </c>
      <c r="CW16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2" s="42">
        <f>IF(Tasks[[#This Row],[_Pred1Text]]="","",TRIM(MID(SUBSTITUTE(SUBSTITUTE(SUBSTITUTE(UPPER(Tasks[[#This Row],[_Predecessors]]),";",",")," ",""),",",REPT(" ",99)),100,99)))</f>
        <v/>
      </c>
      <c r="CZ162" s="42">
        <f>IF(Tasks[[#This Row],[_Pred2Text]]="","",IFERROR(VALUE(LEFT(Tasks[[#This Row],[_Pred2Text]],MIN(FIND("F",Tasks[[#This Row],[_Pred2Text]]&amp;"F"),FIND("S",Tasks[[#This Row],[_Pred2Text]]&amp;"S"),FIND("+",Tasks[[#This Row],[_Pred2Text]]&amp;"+"),FIND("-",Tasks[[#This Row],[_Pred2Text]]&amp;"-"))-1)),""))</f>
        <v/>
      </c>
      <c r="DA16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2" s="42">
        <f>IF(Tasks[[#This Row],[_Pred2Text]]="","",TRIM(MID(SUBSTITUTE(SUBSTITUTE(SUBSTITUTE(UPPER(Tasks[[#This Row],[_Predecessors]]),";",",")," ",""),",",REPT(" ",99)),199,99)))</f>
        <v/>
      </c>
      <c r="DD162" s="42">
        <f>IF(Tasks[[#This Row],[_Pred3Text]]="","",IFERROR(VALUE(LEFT(Tasks[[#This Row],[_Pred3Text]],MIN(FIND("F",Tasks[[#This Row],[_Pred3Text]]&amp;"F"),FIND("S",Tasks[[#This Row],[_Pred3Text]]&amp;"S"),FIND("+",Tasks[[#This Row],[_Pred3Text]]&amp;"+"),FIND("-",Tasks[[#This Row],[_Pred3Text]]&amp;"-"))-1)),""))</f>
        <v/>
      </c>
      <c r="DE16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2" s="42">
        <f>IF(Tasks[[#This Row],[_Pred3Text]]="","",TRIM(MID(SUBSTITUTE(SUBSTITUTE(SUBSTITUTE(UPPER(Tasks[[#This Row],[_Predecessors]]),";",",")," ",""),",",REPT(" ",99)),298,99)))</f>
        <v/>
      </c>
      <c r="DH162" s="42">
        <f>IF(Tasks[[#This Row],[_Pred4Text]]="","",IFERROR(VALUE(LEFT(Tasks[[#This Row],[_Pred4Text]],MIN(FIND("F",Tasks[[#This Row],[_Pred4Text]]&amp;"F"),FIND("S",Tasks[[#This Row],[_Pred4Text]]&amp;"S"),FIND("+",Tasks[[#This Row],[_Pred4Text]]&amp;"+"),FIND("-",Tasks[[#This Row],[_Pred4Text]]&amp;"-"))-1)),""))</f>
        <v/>
      </c>
      <c r="DI16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2" s="42">
        <f>IF(OR(Tasks[[#This Row],[Task Name]]="",Tasks[[#This Row],[_Resources]]=""),"",TRIM(MID(SUBSTITUTE(Tasks[[#This Row],[_Resources]],",",REPT(" ",99)),1,99)))</f>
        <v/>
      </c>
      <c r="DL162" s="42">
        <f>IF(Tasks[[#This Row],[_Res1Text]]="","",TRIM(MID(SUBSTITUTE(Tasks[[#This Row],[_Resources]],",",REPT(" ",99)),100,99)))</f>
        <v/>
      </c>
      <c r="DM162" s="42">
        <f>IF(Tasks[[#This Row],[_Res2Text]]="","",TRIM(MID(SUBSTITUTE(Tasks[[#This Row],[_Resources]],",",REPT(" ",99)),199,99)))</f>
        <v/>
      </c>
      <c r="DN162" s="42">
        <f>IF(Tasks[[#This Row],[_Res3Text]]="","",TRIM(MID(SUBSTITUTE(Tasks[[#This Row],[_Resources]],",",REPT(" ",99)),298,99)))</f>
        <v/>
      </c>
      <c r="DO162" s="42">
        <f>IF(Tasks[[#This Row],[_Res1Text]]="",0,IFERROR(MATCH(TRIM(LEFT(Tasks[[#This Row],[_Res1Text]],FIND("[",Tasks[[#This Row],[_Res1Text]]&amp;"[")-1)),res_Name,0),IFERROR(MATCH(TRIM(LEFT(Tasks[[#This Row],[_Res1Text]],FIND("[",Tasks[[#This Row],[_Res1Text]]&amp;"[")-1)),res_Initials,0),0)))</f>
        <v/>
      </c>
      <c r="DP162" s="42">
        <f>IF(Tasks[[#This Row],[_Res2Text]]="",0,IFERROR(MATCH(TRIM(LEFT(Tasks[[#This Row],[_Res2Text]],FIND("[",Tasks[[#This Row],[_Res2Text]]&amp;"[")-1)),res_Name,0),IFERROR(MATCH(TRIM(LEFT(Tasks[[#This Row],[_Res2Text]],FIND("[",Tasks[[#This Row],[_Res2Text]]&amp;"[")-1)),res_Initials,0),0)))</f>
        <v/>
      </c>
      <c r="DQ162" s="42">
        <f>IF(Tasks[[#This Row],[_Res3Text]]="",0,IFERROR(MATCH(TRIM(LEFT(Tasks[[#This Row],[_Res3Text]],FIND("[",Tasks[[#This Row],[_Res3Text]]&amp;"[")-1)),res_Name,0),IFERROR(MATCH(TRIM(LEFT(Tasks[[#This Row],[_Res3Text]],FIND("[",Tasks[[#This Row],[_Res3Text]]&amp;"[")-1)),res_Initials,0),0)))</f>
        <v/>
      </c>
      <c r="DR162" s="42">
        <f>IF(Tasks[[#This Row],[_Res4Text]]="",0,IFERROR(MATCH(TRIM(LEFT(Tasks[[#This Row],[_Res4Text]],FIND("[",Tasks[[#This Row],[_Res4Text]]&amp;"[")-1)),res_Name,0),IFERROR(MATCH(TRIM(LEFT(Tasks[[#This Row],[_Res4Text]],FIND("[",Tasks[[#This Row],[_Res4Text]]&amp;"[")-1)),res_Initials,0),0)))</f>
        <v/>
      </c>
      <c r="DS162" s="42">
        <f>IF(Tasks[[#This Row],[_Res1Text]]="","",IF(Tasks[[#This Row],[_Res1Row]]&gt;0,INDEX(res_Name,Tasks[[#This Row],[_Res1Row]]),TRIM(LEFT(Tasks[[#This Row],[_Res1Text]],FIND("[",Tasks[[#This Row],[_Res1Text]]&amp;"[")-1))))</f>
        <v/>
      </c>
      <c r="DT16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2" s="42">
        <f>IF(NOT(Tasks[[#This Row],[_IsLeaf]]=1),0,(Tasks[[#This Row],[_Resource1]]&lt;&gt;"")+(Tasks[[#This Row],[_Res2]]&lt;&gt;"")+(Tasks[[#This Row],[_Res3]]&lt;&gt;"")+(Tasks[[#This Row],[_Res4]]&lt;&gt;""))</f>
        <v/>
      </c>
      <c r="DV162" s="42">
        <f>IF(Tasks[[#This Row],[_Res2Text]]="","",IF(Tasks[[#This Row],[_Res2Row]]&gt;0,INDEX(res_Name,Tasks[[#This Row],[_Res2Row]]),TRIM(LEFT(Tasks[[#This Row],[_Res2Text]],FIND("[",Tasks[[#This Row],[_Res2Text]]&amp;"[")-1))))</f>
        <v/>
      </c>
      <c r="DW16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2" s="42">
        <f>IF(OR(NOT(Tasks[[#This Row],[_IsLeaf]]=1),Tasks[[#This Row],[_Res2Row]]=0),0,N(Tasks[[#This Row],[_Days]])*HoursPerDay*IF(Tasks[[#This Row],[_Res2Units]]="",DefaultUnits,Tasks[[#This Row],[_Res2Units]]))</f>
        <v/>
      </c>
      <c r="DY162" s="42">
        <f>IF(AND(AND(Tasks[[#This Row],[_IsLeaf]]=1,Tasks[[#This Row],[_LeafTotalWork]]&gt;0),Tasks[[#This Row],[_Res2Work]]&gt;0),Tasks[[#This Row],[_Res2Work]]/(Tasks[[#This Row],[_FinishWorkday]]-Tasks[[#This Row],[_StartWorkday]]+1),0)</f>
        <v/>
      </c>
      <c r="DZ162" s="42">
        <f>Tasks[[#This Row],[_Res2WorkPerWD]]*MAX(0,Tasks[[#This Row],[_StartWorkday]]-1)</f>
        <v/>
      </c>
      <c r="EA162" s="42">
        <f>Tasks[[#This Row],[_Res2Work]]*Tasks[[#This Row],[_LeafProgress]]</f>
        <v/>
      </c>
      <c r="EB162" s="42">
        <f>IF(Tasks[[#This Row],[_Res3Text]]="","",IF(Tasks[[#This Row],[_Res3Row]]&gt;0,INDEX(res_Name,Tasks[[#This Row],[_Res3Row]]),TRIM(LEFT(Tasks[[#This Row],[_Res3Text]],FIND("[",Tasks[[#This Row],[_Res3Text]]&amp;"[")-1))))</f>
        <v/>
      </c>
      <c r="EC16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2" s="42">
        <f>IF(OR(NOT(Tasks[[#This Row],[_IsLeaf]]=1),Tasks[[#This Row],[_Res3Row]]=0),0,N(Tasks[[#This Row],[_Days]])*HoursPerDay*IF(Tasks[[#This Row],[_Res3Units]]="",DefaultUnits,Tasks[[#This Row],[_Res3Units]]))</f>
        <v/>
      </c>
      <c r="EE162" s="42">
        <f>IF(AND(AND(Tasks[[#This Row],[_IsLeaf]]=1,Tasks[[#This Row],[_LeafTotalWork]]&gt;0),Tasks[[#This Row],[_Res3Work]]&gt;0),Tasks[[#This Row],[_Res3Work]]/(Tasks[[#This Row],[_FinishWorkday]]-Tasks[[#This Row],[_StartWorkday]]+1),0)</f>
        <v/>
      </c>
      <c r="EF162" s="42">
        <f>Tasks[[#This Row],[_Res3WorkPerWD]]*MAX(0,Tasks[[#This Row],[_StartWorkday]]-1)</f>
        <v/>
      </c>
      <c r="EG162" s="42">
        <f>Tasks[[#This Row],[_Res3Work]]*Tasks[[#This Row],[_LeafProgress]]</f>
        <v/>
      </c>
      <c r="EH162" s="42">
        <f>IF(Tasks[[#This Row],[_Res4Text]]="","",IF(Tasks[[#This Row],[_Res4Row]]&gt;0,INDEX(res_Name,Tasks[[#This Row],[_Res4Row]]),TRIM(LEFT(Tasks[[#This Row],[_Res4Text]],FIND("[",Tasks[[#This Row],[_Res4Text]]&amp;"[")-1))))</f>
        <v/>
      </c>
      <c r="EI16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2" s="42">
        <f>IF(OR(NOT(Tasks[[#This Row],[_IsLeaf]]=1),Tasks[[#This Row],[_Res4Row]]=0),0,N(Tasks[[#This Row],[_Days]])*HoursPerDay*IF(Tasks[[#This Row],[_Res4Units]]="",DefaultUnits,Tasks[[#This Row],[_Res4Units]]))</f>
        <v/>
      </c>
      <c r="EK162" s="42">
        <f>IF(AND(AND(Tasks[[#This Row],[_IsLeaf]]=1,Tasks[[#This Row],[_LeafTotalWork]]&gt;0),Tasks[[#This Row],[_Res4Work]]&gt;0),Tasks[[#This Row],[_Res4Work]]/(Tasks[[#This Row],[_FinishWorkday]]-Tasks[[#This Row],[_StartWorkday]]+1),0)</f>
        <v/>
      </c>
      <c r="EL162" s="42">
        <f>Tasks[[#This Row],[_Res4WorkPerWD]]*MAX(0,Tasks[[#This Row],[_StartWorkday]]-1)</f>
        <v/>
      </c>
      <c r="EM162" s="42">
        <f>Tasks[[#This Row],[_Res4Work]]*Tasks[[#This Row],[_LeafProgress]]</f>
        <v/>
      </c>
      <c r="EN162" s="42">
        <f>IF(ISNUMBER(Tasks[[#This Row],[% Complete]]),Tasks[[#This Row],[% Complete]],IF(Tasks[[#This Row],[Stage]]="",0,IFERROR(INDEX(stg_Pct,MATCH(Tasks[[#This Row],[Stage]],stg_Name,0)),0)))</f>
        <v/>
      </c>
      <c r="EO162" s="42">
        <f>IF(NOT(Tasks[[#This Row],[_IsLeaf]]=1),0,IF(N(Tasks[[#This Row],[Actual Finish]])&gt;0,1,MIN(1,Tasks[[#This Row],[_Pct]])))</f>
        <v/>
      </c>
      <c r="EP162" s="42">
        <f>IF(OR(NOT(Tasks[[#This Row],[_IsLeaf]]=1),Tasks[[#This Row],[_Res1Row]]=0),0,N(Tasks[[#This Row],[_Days]])*HoursPerDay*IF(Tasks[[#This Row],[_Units1]]="",DefaultUnits,Tasks[[#This Row],[_Units1]]))</f>
        <v/>
      </c>
      <c r="EQ162" s="42">
        <f>Tasks[[#This Row],[_LeafWork]]+Tasks[[#This Row],[_Res2Work]]+Tasks[[#This Row],[_Res3Work]]+Tasks[[#This Row],[_Res4Work]]</f>
        <v/>
      </c>
      <c r="ER16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2" s="42">
        <f>IF(NOT(Tasks[[#This Row],[_IsLeaf]]=1),0,MAX(_xlfn.MAXIFS(Tasks[_Row],Tasks[_Pred1UID],Tasks[[#This Row],[UID]]),_xlfn.MAXIFS(Tasks[_Row],Tasks[_Pred2UID],Tasks[[#This Row],[UID]]),_xlfn.MAXIFS(Tasks[_Row],Tasks[_Pred3UID],Tasks[[#This Row],[UID]]),_xlfn.MAXIFS(Tasks[_Row],Tasks[_Pred4UID],Tasks[[#This Row],[UID]])))</f>
        <v/>
      </c>
      <c r="FA16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2" s="88">
        <f>IF(NOT(Tasks[[#This Row],[_IsLeaf]]=1),"",IF(N(Tasks[[#This Row],[_Days]])&lt;=0,Tasks[[#This Row],[_LeafLateFinish]],WORKDAY.INTL(Tasks[[#This Row],[_LeafLateFinish]],-(Tasks[[#This Row],[_Days]]-1),WorkWeek,Holidays)))</f>
        <v/>
      </c>
      <c r="FD16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2" s="42">
        <f>AND(Tasks[[#This Row],[_IsLeaf]]=1,Tasks[[#This Row],[_LeafProgress]]&lt;1,N(Tasks[[#This Row],[_LeafTotalSlack]])&lt;=CriticalSlackDays)</f>
        <v/>
      </c>
      <c r="FF162" s="42">
        <f>IF(AND(Tasks[[#This Row],[_IsLeaf]]=1,Tasks[[#This Row],[_ConstraintCode]]=1,Tasks[[#This Row],[Mode]]&lt;&gt;"Manual",N(Tasks[[#This Row],[Actual Start]])=0),MAX(0,N(Tasks[[#This Row],[Free Slack]])),0)</f>
        <v/>
      </c>
      <c r="FG162" s="88">
        <f>IF(NOT(Tasks[[#This Row],[_IsLeaf]]=1),"",IF(Tasks[[#This Row],[_AlapShift]]=0,Tasks[[#This Row],[_LeafCalcStart]],WORKDAY.INTL(Tasks[[#This Row],[_LeafCalcStart]],Tasks[[#This Row],[_AlapShift]],WorkWeek,Holidays)))</f>
        <v/>
      </c>
      <c r="FH162" s="88">
        <f>IF(NOT(Tasks[[#This Row],[_IsLeaf]]=1),"",IF(Tasks[[#This Row],[_AlapShift]]=0,Tasks[[#This Row],[_LeafCalcFinish]],WORKDAY.INTL(Tasks[[#This Row],[_LeafCalcFinish]],Tasks[[#This Row],[_AlapShift]],WorkWeek,Holidays)))</f>
        <v/>
      </c>
      <c r="FI162" s="88">
        <f>IF(NOT(Tasks[[#This Row],[_IsLeaf]]=1),"",IF(Tasks[[#This Row],[_AlapShift]]=0,Tasks[[#This Row],[_LeafFcstStart]],WORKDAY.INTL(Tasks[[#This Row],[_LeafFcstStart]],Tasks[[#This Row],[_AlapShift]],WorkWeek,Holidays)))</f>
        <v/>
      </c>
      <c r="FJ162" s="88">
        <f>IF(NOT(Tasks[[#This Row],[_IsLeaf]]=1),"",IF(Tasks[[#This Row],[_AlapShift]]=0,Tasks[[#This Row],[_LeafFcstFinish]],WORKDAY.INTL(Tasks[[#This Row],[_LeafFcstFinish]],Tasks[[#This Row],[_AlapShift]],WorkWeek,Holidays)))</f>
        <v/>
      </c>
      <c r="FK162" s="88">
        <f>IF(Tasks[[#This Row],[Task Name]]="","",IF(Tasks[[#This Row],[_IsSummary]],MIN(INDEX(Tasks[_ShownCalcStart],Tasks[[#This Row],[_Row]]+1):INDEX(Tasks[_ShownCalcStart],Tasks[[#This Row],[_Row]]+Tasks[[#This Row],[_Descendants]])),Tasks[[#This Row],[_ShownCalcStart]]))</f>
        <v/>
      </c>
      <c r="FL162" s="88">
        <f>IF(Tasks[[#This Row],[Task Name]]="","",IF(Tasks[[#This Row],[_IsSummary]],MAX(INDEX(Tasks[_ShownCalcFinish],Tasks[[#This Row],[_Row]]+1):INDEX(Tasks[_ShownCalcFinish],Tasks[[#This Row],[_Row]]+Tasks[[#This Row],[_Descendants]])),Tasks[[#This Row],[_ShownCalcFinish]]))</f>
        <v/>
      </c>
      <c r="FM16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2" s="42">
        <f>IF(AND(Tasks[[#This Row],[_IsLeaf]]=1,Tasks[[#This Row],[_LeafTotalWork]]&gt;0),NETWORKDAYS.INTL(ProjectStart,Tasks[[#This Row],[_ShownFcstStart]],WorkWeek,Holidays),0)</f>
        <v/>
      </c>
      <c r="FZ162" s="42">
        <f>IF(AND(Tasks[[#This Row],[_IsLeaf]]=1,Tasks[[#This Row],[_LeafTotalWork]]&gt;0),MAX(Tasks[[#This Row],[_StartWorkday]],NETWORKDAYS.INTL(ProjectStart,Tasks[[#This Row],[_ShownFcstFinish]],WorkWeek,Holidays)),0)</f>
        <v/>
      </c>
      <c r="GA162" s="42">
        <f>IF(AND(Tasks[[#This Row],[_IsLeaf]]=1,Tasks[[#This Row],[_LeafTotalWork]]&gt;0),Tasks[[#This Row],[_LeafWork]]/(Tasks[[#This Row],[_FinishWorkday]]-Tasks[[#This Row],[_StartWorkday]]+1),0)</f>
        <v/>
      </c>
      <c r="GB162" s="42">
        <f>Tasks[[#This Row],[_WorkPerWorkday]]*(Tasks[[#This Row],[_StartWorkday]]-1)</f>
        <v/>
      </c>
      <c r="GC162" s="42">
        <f>IF(Tasks[[#This Row],[_IsLeaf]]=1,MAX(N(Tasks[[#This Row],[_Days]]),0.1),0)</f>
        <v/>
      </c>
      <c r="GD162" s="42">
        <f>Tasks[[#This Row],[_WeightDur]]*Tasks[[#This Row],[_LeafProgress]]</f>
        <v/>
      </c>
      <c r="GE162" s="42">
        <f>Tasks[[#This Row],[_WeightDur]]*Tasks[[#This Row],[_PlannedPct]]</f>
        <v/>
      </c>
      <c r="GF16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2" s="42">
        <f>IF(AND(Tasks[[#This Row],[_IsLeaf]]=1,N(Tasks[[#This Row],[_Days]])=0,Tasks[[#This Row],[_LeafProgress]]&lt;1),Tasks[[#This Row],[_ShownFcstFinish]]+Tasks[[#This Row],[_Row]]/100000,"")</f>
        <v/>
      </c>
      <c r="GH16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2" s="42">
        <f>IF(Tasks[[#This Row],[Task Name]]="","",LEFT(Tasks[[#This Row],[WBS]],FIND(".",Tasks[[#This Row],[WBS]]&amp;".")-1))</f>
        <v/>
      </c>
      <c r="GJ162" s="42">
        <f>IF(AND(Tasks[[#This Row],[Task Name]]&lt;&gt;"",Tasks[[#This Row],[_Level]]=1),Tasks[[#This Row],[_Row]],"")</f>
        <v/>
      </c>
      <c r="GK162" s="42">
        <f>IF(AND(Tasks[[#This Row],[_IsLeaf]]=1,N(Tasks[[#This Row],[_Days]])=0),Tasks[[#This Row],[Planned Finish]]+Tasks[[#This Row],[_Row]]/100000,"")</f>
        <v/>
      </c>
      <c r="GL162" s="42">
        <f>IF(AND(Tasks[[#This Row],[_IsLeaf]]=1,Tasks[[#This Row],[_LeafProgress]]&lt;1,OR(N(Tasks[[#This Row],[Finish Var]])&gt;0,Tasks[[#This Row],[Status]]="Late Start")),MAX(0,Tasks[[#This Row],[Finish Var]])+1-Tasks[[#This Row],[_Row]]/1000000,"")</f>
        <v/>
      </c>
      <c r="GM162" s="42">
        <f>IF(AND(Tasks[[#This Row],[_IsLeaf]]=1,N(Tasks[[#This Row],[Actual Start]])=0,Tasks[[#This Row],[_ShownFcstStart]]&gt;=StatusDate,Tasks[[#This Row],[_ShownFcstStart]]&lt;=LookaheadEnd),Tasks[[#This Row],[_ShownFcstStart]]+Tasks[[#This Row],[_Row]]/100000,"")</f>
        <v/>
      </c>
      <c r="GN162" s="42">
        <f>IF(AND(Tasks[[#This Row],[_IsLeaf]]=1,Tasks[[#This Row],[_LeafProgress]]&lt;1,Tasks[[#This Row],[_ShownFcstFinish]]&gt;=StatusDate,Tasks[[#This Row],[_ShownFcstFinish]]&lt;=LookaheadEnd),Tasks[[#This Row],[_ShownFcstFinish]]+Tasks[[#This Row],[_Row]]/100000,"")</f>
        <v/>
      </c>
      <c r="GO162" s="42">
        <f>IF(Tasks[[#This Row],[_LeafCritical]],Tasks[[#This Row],[_ShownFcstStart]]+Tasks[[#This Row],[_Row]]/100000,"")</f>
        <v/>
      </c>
      <c r="GP162" s="42">
        <f>Tasks[[#This Row],[_LeafWork]]*Tasks[[#This Row],[_LeafProgress]]</f>
        <v/>
      </c>
      <c r="GQ162" s="88">
        <f>IF(AND(Tasks[[#This Row],[_IsLeaf]]=1,Tasks[[#This Row],[_LeafProgress]]&gt;=1),IF(N(Tasks[[#This Row],[Actual Finish]])&gt;0,Tasks[[#This Row],[Actual Finish]],Tasks[[#This Row],[_ShownFcstFinish]]),"")</f>
        <v/>
      </c>
      <c r="GR162" s="42">
        <f>IF(Tasks[[#This Row],[_IsLeaf]]=1,N(Tasks[[#This Row],[Story Points]]),0)</f>
        <v/>
      </c>
      <c r="GS162" s="42">
        <f>""</f>
        <v/>
      </c>
      <c r="GT162" s="42">
        <f>IF(Tasks[[#This Row],[Task Name]]="",FALSE(),AND(Tasks[[#This Row],[_IsLeaf]]=1,N(Tasks[[#This Row],[_Days]])=0))</f>
        <v/>
      </c>
      <c r="GU162" s="88">
        <f>IF(Tasks[[#This Row],[Task Name]]="",0,IF(AND(Tasks[[#This Row],[_IsLeaf]]=1,NOT(Tasks[[#This Row],[_IsMilestone]]),N(Tasks[[#This Row],[Progress]])&gt;0),Tasks[[#This Row],[Start]],0))</f>
        <v/>
      </c>
      <c r="GV162" s="88">
        <f>IF(Tasks[[#This Row],[_DoneFrom]]=0,0,IF(Tasks[[#This Row],[Progress]]&gt;=1,Tasks[[#This Row],[Finish]],MAX(Tasks[[#This Row],[_DoneFrom]],Tasks[[#This Row],[Start]]+ROUND((Tasks[[#This Row],[Finish]]-Tasks[[#This Row],[Start]]+1)*Tasks[[#This Row],[Progress]],0)-1)))</f>
        <v/>
      </c>
      <c r="GW162" s="88">
        <f>IF(Tasks[[#This Row],[Task Name]]="",0,IF(OR(NOT(Tasks[[#This Row],[_IsLeaf]]=1),Tasks[[#This Row],[_IsMilestone]],N(Tasks[[#This Row],[Progress]])&gt;=1),0,IF(Tasks[[#This Row],[_DoneTo]]&gt;0,Tasks[[#This Row],[_DoneTo]]+1,Tasks[[#This Row],[Start]])))</f>
        <v/>
      </c>
      <c r="GX162" s="88">
        <f>IF(Tasks[[#This Row],[_RemFrom]]=0,0,Tasks[[#This Row],[Finish]])</f>
        <v/>
      </c>
      <c r="GY162" s="42">
        <f>IF(Tasks[[#This Row],[Task Name]]="",FALSE(),OR(NOT(BaselineSet),N(Tasks[[#This Row],[Baseline Start]])&gt;0))</f>
        <v/>
      </c>
      <c r="GZ162" s="42">
        <f>IF(AND(Sandbox="Yes",L_PARSE_DURATION(Tasks[[#This Row],[Sandbox Duration]])&lt;&gt;""),L_PARSE_DURATION(Tasks[[#This Row],[Sandbox Duration]]),L_PARSE_DURATION(Tasks[[#This Row],[Duration]]))</f>
        <v/>
      </c>
      <c r="HA16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2" s="42">
        <f>IF(Tasks[[#This Row],[_IsLeaf]]=1,Tasks[[#This Row],[_Row]],"")</f>
        <v/>
      </c>
      <c r="HD162" s="42">
        <f>IFERROR(INDEX(Tasks[UID],SMALL(Tasks[_PickKey],Tasks[[#This Row],[_Row]]))&amp;" "&amp;INDEX(Tasks[Task Name],SMALL(Tasks[_PickKey],Tasks[[#This Row],[_Row]])),"")</f>
        <v/>
      </c>
      <c r="HE162" s="42">
        <f>IF(Tasks[[#This Row],[Task Name]]="","",IF(Tasks[[#This Row],[_IsSummary]],NETWORKDAYS.INTL(Tasks[[#This Row],[Start]],Tasks[[#This Row],[Finish]],WorkWeek,Holidays),N(Tasks[[#This Row],[_Days]])))</f>
        <v/>
      </c>
      <c r="HF162" s="42">
        <f>IF(Tasks[[#This Row],[Expected]]="",0,((Tasks[[#This Row],[Pessimistic]]-Tasks[[#This Row],[Optimistic]])/6)^2)</f>
        <v/>
      </c>
      <c r="HG162" s="42">
        <f>IF(Tasks[[#This Row],[Expected]]="",0,Tasks[[#This Row],[Expected]]-N(Tasks[[#This Row],[_Days]]))</f>
        <v/>
      </c>
    </row>
    <row r="163">
      <c r="A163" s="21">
        <f>IF(Tasks[[#This Row],[Task Name]]="","",COUNTA(Tasks[[#Headers],[Task Name]]:Tasks[[#This Row],[Task Name]])-1)</f>
        <v/>
      </c>
      <c r="B163" s="22" t="n">
        <v>171</v>
      </c>
      <c r="C163" s="22" t="n"/>
      <c r="D163" s="23" t="n"/>
      <c r="E163" s="22" t="n"/>
      <c r="F163" s="23" t="n"/>
      <c r="G163" s="22" t="n"/>
      <c r="H163" s="22" t="n"/>
      <c r="I163" s="23" t="n"/>
      <c r="J163" s="22" t="n"/>
      <c r="K163" s="22" t="n"/>
      <c r="L163" s="23" t="n"/>
      <c r="M163" s="22" t="n"/>
      <c r="N163" s="22" t="n"/>
      <c r="O163" s="23" t="n"/>
      <c r="P163" s="22" t="n"/>
      <c r="Q163" s="22" t="n"/>
      <c r="R163" s="23" t="n"/>
      <c r="S163" s="23" t="n"/>
      <c r="T163" s="82" t="n"/>
      <c r="U163" s="23" t="n"/>
      <c r="V163" s="82" t="n"/>
      <c r="W163" s="23" t="n"/>
      <c r="X163" s="82" t="n"/>
      <c r="Y163" s="23" t="n"/>
      <c r="Z163" s="82" t="n"/>
      <c r="AA163" s="23" t="n"/>
      <c r="AB163" s="23" t="n"/>
      <c r="AC163" s="7" t="n"/>
      <c r="AD163" s="7" t="n"/>
      <c r="AE163" s="61">
        <f>IF(Tasks[[#This Row],[Task Name]]="","",IF(Tasks[[#This Row],[_IsSummary]],MIN(INDEX(Tasks[_ShownFcstStart],Tasks[[#This Row],[_Row]]+1):INDEX(Tasks[_ShownFcstStart],Tasks[[#This Row],[_Row]]+Tasks[[#This Row],[_Descendants]])),Tasks[[#This Row],[_ShownFcstStart]]))</f>
        <v/>
      </c>
      <c r="AF163" s="61">
        <f>IF(Tasks[[#This Row],[Task Name]]="","",IF(Tasks[[#This Row],[_IsSummary]],MAX(INDEX(Tasks[_ShownFcstFinish],Tasks[[#This Row],[_Row]]+1):INDEX(Tasks[_ShownFcstFinish],Tasks[[#This Row],[_Row]]+Tasks[[#This Row],[_Descendants]])),Tasks[[#This Row],[_ShownFcstFinish]]))</f>
        <v/>
      </c>
      <c r="AG163" s="21">
        <f>""</f>
        <v/>
      </c>
      <c r="AH163" s="23" t="n"/>
      <c r="AI16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3" s="7" t="n"/>
      <c r="AK163" s="22" t="n"/>
      <c r="AL163" s="23" t="n"/>
      <c r="AM163" s="7" t="n"/>
      <c r="AN163" s="21">
        <f>IF(Tasks[[#This Row],[Task Name]]="","",IF(Tasks[[#This Row],[Finish]]&gt;=Tasks[[#This Row],[Planned Finish]],NETWORKDAYS.INTL(Tasks[[#This Row],[Planned Finish]],Tasks[[#This Row],[Finish]],WorkWeek,Holidays)-1,1-NETWORKDAYS.INTL(Tasks[[#This Row],[Finish]],Tasks[[#This Row],[Planned Finish]],WorkWeek,Holidays)))</f>
        <v/>
      </c>
      <c r="AO163" s="21">
        <f>IF(Tasks[[#This Row],[Task Name]]="","",IF(Tasks[[#This Row],[Progress]]&gt;=1,"Complete",IF(OR(N(Tasks[[#This Row],[Actual Start]])&gt;0,Tasks[[#This Row],[Progress]]&gt;0),IF(Tasks[[#This Row],[Finish Var]]&gt;0,"Behind","In Progress"),IF(Tasks[[#This Row],[Planned Start]]&lt;StatusDate,"Late Start","Not Started"))))</f>
        <v/>
      </c>
      <c r="AP163" s="21">
        <f>IF(Tasks[[#This Row],[Task Name]]="","",IF(IF(Tasks[[#This Row],[_IsSummary]],COUNTIF(INDEX(Tasks[_LeafCritical],Tasks[[#This Row],[_Row]]+1):INDEX(Tasks[_LeafCritical],Tasks[[#This Row],[_Row]]+Tasks[[#This Row],[_Descendants]]),TRUE())&gt;0,Tasks[[#This Row],[_LeafCritical]]),"Yes",""))</f>
        <v/>
      </c>
      <c r="AQ163" s="61">
        <f>IF(Tasks[[#This Row],[Task Name]]="","",IF(N(Tasks[[#This Row],[Baseline Start]])&gt;0,Tasks[[#This Row],[Baseline Start]],Tasks[[#This Row],[_CalcStart]]))</f>
        <v/>
      </c>
      <c r="AR163" s="61">
        <f>IF(Tasks[[#This Row],[Task Name]]="","",IF(N(Tasks[[#This Row],[Baseline Finish]])&gt;0,Tasks[[#This Row],[Baseline Finish]],Tasks[[#This Row],[_CalcFinish]]))</f>
        <v/>
      </c>
      <c r="AS163" s="21">
        <f>IF(Tasks[[#This Row],[Task Name]]="","",IF(Tasks[[#This Row],[Start]]&gt;=Tasks[[#This Row],[Planned Start]],NETWORKDAYS.INTL(Tasks[[#This Row],[Planned Start]],Tasks[[#This Row],[Start]],WorkWeek,Holidays)-1,1-NETWORKDAYS.INTL(Tasks[[#This Row],[Start]],Tasks[[#This Row],[Planned Start]],WorkWeek,Holidays)))</f>
        <v/>
      </c>
      <c r="AT163" s="61">
        <f>IF(Tasks[[#This Row],[Task Name]]="","",IF(Tasks[[#This Row],[_IsSummary]],MIN(INDEX(Tasks[_LeafLateStart],Tasks[[#This Row],[_Row]]+1):INDEX(Tasks[_LeafLateStart],Tasks[[#This Row],[_Row]]+Tasks[[#This Row],[_Descendants]])),Tasks[[#This Row],[_LeafLateStart]]))</f>
        <v/>
      </c>
      <c r="AU163" s="61">
        <f>IF(Tasks[[#This Row],[Task Name]]="","",IF(Tasks[[#This Row],[_IsSummary]],MAX(INDEX(Tasks[_LeafLateFinish],Tasks[[#This Row],[_Row]]+1):INDEX(Tasks[_LeafLateFinish],Tasks[[#This Row],[_Row]]+Tasks[[#This Row],[_Descendants]])),Tasks[[#This Row],[_LeafLateFinish]]))</f>
        <v/>
      </c>
      <c r="AV163" s="21">
        <f>IF(Tasks[[#This Row],[Task Name]]="","",IF(Tasks[[#This Row],[_IsSummary]],MIN(INDEX(Tasks[_LeafTotalSlack],Tasks[[#This Row],[_Row]]+1):INDEX(Tasks[_LeafTotalSlack],Tasks[[#This Row],[_Row]]+Tasks[[#This Row],[_Descendants]])),Tasks[[#This Row],[_LeafTotalSlack]]))</f>
        <v/>
      </c>
      <c r="AW16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3" t="n"/>
      <c r="BA16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f>IF(Tasks[[#This Row],[Task Name]]="","",IF(Tasks[[#This Row],[_Level]]&lt;=OutlineShowLevel,"Yes","No"))</f>
        <v/>
      </c>
      <c r="BE163" s="84">
        <f>IF(Tasks[[#This Row],[Task Name]]="","",IF(Tasks[[#This Row],[_IsSummary]],SUM(INDEX(Tasks[_LeafTotalWork],Tasks[[#This Row],[_Row]]+1):INDEX(Tasks[_LeafTotalWork],Tasks[[#This Row],[_Row]]+Tasks[[#This Row],[_Descendants]])),Tasks[[#This Row],[_LeafTotalWork]]))</f>
        <v/>
      </c>
      <c r="BF163" s="23" t="n"/>
      <c r="BG16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f>""</f>
        <v/>
      </c>
      <c r="BI163" s="85" t="n"/>
      <c r="BJ163" s="22" t="n"/>
      <c r="BK163" s="21">
        <f>IF(OR(Tasks[[#This Row],[Task Name]]="",Tasks[[#This Row],[Baseline Duration]]=""),"",Tasks[[#This Row],[_SpanDays]]-N(Tasks[[#This Row],[Baseline Duration]]))</f>
        <v/>
      </c>
      <c r="BL163" s="84">
        <f>IF(OR(Tasks[[#This Row],[Task Name]]="",Tasks[[#This Row],[Baseline Work]]=""),"",Tasks[[#This Row],[Work]]-N(Tasks[[#This Row],[Baseline Work]]))</f>
        <v/>
      </c>
      <c r="BM163" s="61">
        <f>IF(Tasks[[#This Row],[Task Name]]="","",IF(OR(TakeBaseline="Yes",N(Tasks[[#This Row],[Baseline Start]])=0),Tasks[[#This Row],[Start]],Tasks[[#This Row],[Baseline Start]]))</f>
        <v/>
      </c>
      <c r="BN163" s="61">
        <f>IF(Tasks[[#This Row],[Task Name]]="","",IF(OR(TakeBaseline="Yes",N(Tasks[[#This Row],[Baseline Finish]])=0),Tasks[[#This Row],[Finish]],Tasks[[#This Row],[Baseline Finish]]))</f>
        <v/>
      </c>
      <c r="BO163" s="21">
        <f>IF(Tasks[[#This Row],[Task Name]]="","",IF(OR(TakeBaseline="Yes",N(Tasks[[#This Row],[Baseline Duration]])=0),Tasks[[#This Row],[_SpanDays]],Tasks[[#This Row],[Baseline Duration]]))</f>
        <v/>
      </c>
      <c r="BP163" s="84">
        <f>IF(Tasks[[#This Row],[Task Name]]="","",IF(OR(TakeBaseline="Yes",N(Tasks[[#This Row],[Baseline Work]])=0),Tasks[[#This Row],[Work]],Tasks[[#This Row],[Baseline Work]]))</f>
        <v/>
      </c>
      <c r="BQ163" s="7" t="n"/>
      <c r="BR163" s="7" t="n"/>
      <c r="BS163" s="22" t="n"/>
      <c r="BT163" s="86" t="n"/>
      <c r="BU163" s="23" t="n"/>
      <c r="BV163" s="23" t="n"/>
      <c r="BW163" s="23" t="n"/>
      <c r="BX163" s="87">
        <f>IF(AND(Tasks[[#This Row],[_IsLeaf]]=1,ISNUMBER(Tasks[[#This Row],[Optimistic]]),ISNUMBER(Tasks[[#This Row],[Pessimistic]])),ROUND((Tasks[[#This Row],[Optimistic]]+4*N(Tasks[[#This Row],[_Days]])+Tasks[[#This Row],[Pessimistic]])/6,1),"")</f>
        <v/>
      </c>
      <c r="BY163" s="85" t="n"/>
      <c r="BZ163" s="85" t="n"/>
      <c r="CA163" s="22" t="n"/>
      <c r="CB163" s="42">
        <f>IF(Tasks[[#This Row],[Task Name]]="","",MAX(1,N(Tasks[[#This Row],[Level]])))</f>
        <v/>
      </c>
      <c r="CC163" s="42">
        <f>ROW()-ROW(Tasks[[#Headers],[ID]])</f>
        <v/>
      </c>
      <c r="CD163" s="42">
        <f>IF(OR(Tasks[[#This Row],[Task Name]]="",Tasks[[#This Row],[_Level]]&lt;=1),0,IFERROR(LOOKUP(2,1/(Tasks[[#Headers],[_Level]]:Tasks[[#This Row],[_Level]]=Tasks[[#This Row],[_Level]]-1),ROW(Tasks[[#Headers],[_Level]]:Tasks[[#This Row],[_Level]])),0))</f>
        <v/>
      </c>
      <c r="CE163" s="42">
        <f>IFERROR(N(INDEX(Tasks[_Level],Tasks[[#This Row],[_Row]]+1)),0)</f>
        <v/>
      </c>
      <c r="CF163" s="42">
        <f>AND(Tasks[[#This Row],[Task Name]]&lt;&gt;"",Tasks[[#This Row],[_NextLevel]]&gt;Tasks[[#This Row],[_Level]])</f>
        <v/>
      </c>
      <c r="CG163" s="42">
        <f>IF(Tasks[[#This Row],[_IsSummary]],COUNTIF(Tasks[WBS],Tasks[[#This Row],[WBS]]&amp;".*"),0)</f>
        <v/>
      </c>
      <c r="CH163" s="42">
        <f>IF(AND(Tasks[[#This Row],[Task Name]]&lt;&gt;"",NOT(Tasks[[#This Row],[_IsSummary]])),1,0)</f>
        <v/>
      </c>
      <c r="CI163" s="42">
        <f>IF(N(Tasks[[#This Row],[_Pred1UID]])=0,0,IFERROR(MATCH(Tasks[[#This Row],[_Pred1UID]],Tasks[UID],0),-1))</f>
        <v/>
      </c>
      <c r="CJ163" s="42">
        <f>IF(N(Tasks[[#This Row],[_Pred2UID]])=0,0,IFERROR(MATCH(Tasks[[#This Row],[_Pred2UID]],Tasks[UID],0),-1))</f>
        <v/>
      </c>
      <c r="CK163" s="42">
        <f>IF(N(Tasks[[#This Row],[_Pred3UID]])=0,0,IFERROR(MATCH(Tasks[[#This Row],[_Pred3UID]],Tasks[UID],0),-1))</f>
        <v/>
      </c>
      <c r="CL163" s="42">
        <f>IF(N(Tasks[[#This Row],[_Pred4UID]])=0,0,IFERROR(MATCH(Tasks[[#This Row],[_Pred4UID]],Tasks[UID],0),-1))</f>
        <v/>
      </c>
      <c r="CM16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3" s="88">
        <f>IF(N(Tasks[[#This Row],[Constraint Date]])=0,0,IF(AND(OR(Tasks[[#This Row],[_ConstraintCode]]=3,Tasks[[#This Row],[_ConstraintCode]]=6,Tasks[[#This Row],[_ConstraintCode]]=7),N(Tasks[[#This Row],[_Days]])&gt;1),WORKDAY.INTL(N(Tasks[[#This Row],[Constraint Date]]),-(N(Tasks[[#This Row],[_Days]])-1),WorkWeek,Holidays),N(Tasks[[#This Row],[Constraint Date]])))</f>
        <v/>
      </c>
      <c r="CO163" s="88">
        <f>IF(OR(Tasks[[#This Row],[_ConstraintCode]]=2,Tasks[[#This Row],[_ConstraintCode]]=3,Tasks[[#This Row],[_ConstraintCode]]=4,Tasks[[#This Row],[_ConstraintCode]]=6),Tasks[[#This Row],[_ConstraintStart]],0)</f>
        <v/>
      </c>
      <c r="CP163" s="88">
        <f>IF(OR(Tasks[[#This Row],[_ConstraintCode]]=2,Tasks[[#This Row],[_ConstraintCode]]=3,Tasks[[#This Row],[_ConstraintCode]]=5,Tasks[[#This Row],[_ConstraintCode]]=7),Tasks[[#This Row],[_ConstraintStart]],2958465)</f>
        <v/>
      </c>
      <c r="CQ16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3" s="88">
        <f>IF(NOT(Tasks[[#This Row],[_IsLeaf]]=1),"",IF(N(Tasks[[#This Row],[_Days]])&lt;=0,Tasks[[#This Row],[_LeafCalcStart]],WORKDAY.INTL(Tasks[[#This Row],[_LeafCalcStart]],Tasks[[#This Row],[_Days]]-1,WorkWeek,Holidays)))</f>
        <v/>
      </c>
      <c r="CS16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3" s="42">
        <f>IF(Tasks[[#This Row],[_Predecessors]]="","",TRIM(MID(SUBSTITUTE(SUBSTITUTE(SUBSTITUTE(UPPER(Tasks[[#This Row],[_Predecessors]]),";",",")," ",""),",",REPT(" ",99)),1,99)))</f>
        <v/>
      </c>
      <c r="CV163" s="42">
        <f>IF(Tasks[[#This Row],[_Pred1Text]]="","",IFERROR(VALUE(LEFT(Tasks[[#This Row],[_Pred1Text]],MIN(FIND("F",Tasks[[#This Row],[_Pred1Text]]&amp;"F"),FIND("S",Tasks[[#This Row],[_Pred1Text]]&amp;"S"),FIND("+",Tasks[[#This Row],[_Pred1Text]]&amp;"+"),FIND("-",Tasks[[#This Row],[_Pred1Text]]&amp;"-"))-1)),""))</f>
        <v/>
      </c>
      <c r="CW16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3" s="42">
        <f>IF(Tasks[[#This Row],[_Pred1Text]]="","",TRIM(MID(SUBSTITUTE(SUBSTITUTE(SUBSTITUTE(UPPER(Tasks[[#This Row],[_Predecessors]]),";",",")," ",""),",",REPT(" ",99)),100,99)))</f>
        <v/>
      </c>
      <c r="CZ163" s="42">
        <f>IF(Tasks[[#This Row],[_Pred2Text]]="","",IFERROR(VALUE(LEFT(Tasks[[#This Row],[_Pred2Text]],MIN(FIND("F",Tasks[[#This Row],[_Pred2Text]]&amp;"F"),FIND("S",Tasks[[#This Row],[_Pred2Text]]&amp;"S"),FIND("+",Tasks[[#This Row],[_Pred2Text]]&amp;"+"),FIND("-",Tasks[[#This Row],[_Pred2Text]]&amp;"-"))-1)),""))</f>
        <v/>
      </c>
      <c r="DA16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3" s="42">
        <f>IF(Tasks[[#This Row],[_Pred2Text]]="","",TRIM(MID(SUBSTITUTE(SUBSTITUTE(SUBSTITUTE(UPPER(Tasks[[#This Row],[_Predecessors]]),";",",")," ",""),",",REPT(" ",99)),199,99)))</f>
        <v/>
      </c>
      <c r="DD163" s="42">
        <f>IF(Tasks[[#This Row],[_Pred3Text]]="","",IFERROR(VALUE(LEFT(Tasks[[#This Row],[_Pred3Text]],MIN(FIND("F",Tasks[[#This Row],[_Pred3Text]]&amp;"F"),FIND("S",Tasks[[#This Row],[_Pred3Text]]&amp;"S"),FIND("+",Tasks[[#This Row],[_Pred3Text]]&amp;"+"),FIND("-",Tasks[[#This Row],[_Pred3Text]]&amp;"-"))-1)),""))</f>
        <v/>
      </c>
      <c r="DE16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3" s="42">
        <f>IF(Tasks[[#This Row],[_Pred3Text]]="","",TRIM(MID(SUBSTITUTE(SUBSTITUTE(SUBSTITUTE(UPPER(Tasks[[#This Row],[_Predecessors]]),";",",")," ",""),",",REPT(" ",99)),298,99)))</f>
        <v/>
      </c>
      <c r="DH163" s="42">
        <f>IF(Tasks[[#This Row],[_Pred4Text]]="","",IFERROR(VALUE(LEFT(Tasks[[#This Row],[_Pred4Text]],MIN(FIND("F",Tasks[[#This Row],[_Pred4Text]]&amp;"F"),FIND("S",Tasks[[#This Row],[_Pred4Text]]&amp;"S"),FIND("+",Tasks[[#This Row],[_Pred4Text]]&amp;"+"),FIND("-",Tasks[[#This Row],[_Pred4Text]]&amp;"-"))-1)),""))</f>
        <v/>
      </c>
      <c r="DI16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3" s="42">
        <f>IF(OR(Tasks[[#This Row],[Task Name]]="",Tasks[[#This Row],[_Resources]]=""),"",TRIM(MID(SUBSTITUTE(Tasks[[#This Row],[_Resources]],",",REPT(" ",99)),1,99)))</f>
        <v/>
      </c>
      <c r="DL163" s="42">
        <f>IF(Tasks[[#This Row],[_Res1Text]]="","",TRIM(MID(SUBSTITUTE(Tasks[[#This Row],[_Resources]],",",REPT(" ",99)),100,99)))</f>
        <v/>
      </c>
      <c r="DM163" s="42">
        <f>IF(Tasks[[#This Row],[_Res2Text]]="","",TRIM(MID(SUBSTITUTE(Tasks[[#This Row],[_Resources]],",",REPT(" ",99)),199,99)))</f>
        <v/>
      </c>
      <c r="DN163" s="42">
        <f>IF(Tasks[[#This Row],[_Res3Text]]="","",TRIM(MID(SUBSTITUTE(Tasks[[#This Row],[_Resources]],",",REPT(" ",99)),298,99)))</f>
        <v/>
      </c>
      <c r="DO163" s="42">
        <f>IF(Tasks[[#This Row],[_Res1Text]]="",0,IFERROR(MATCH(TRIM(LEFT(Tasks[[#This Row],[_Res1Text]],FIND("[",Tasks[[#This Row],[_Res1Text]]&amp;"[")-1)),res_Name,0),IFERROR(MATCH(TRIM(LEFT(Tasks[[#This Row],[_Res1Text]],FIND("[",Tasks[[#This Row],[_Res1Text]]&amp;"[")-1)),res_Initials,0),0)))</f>
        <v/>
      </c>
      <c r="DP163" s="42">
        <f>IF(Tasks[[#This Row],[_Res2Text]]="",0,IFERROR(MATCH(TRIM(LEFT(Tasks[[#This Row],[_Res2Text]],FIND("[",Tasks[[#This Row],[_Res2Text]]&amp;"[")-1)),res_Name,0),IFERROR(MATCH(TRIM(LEFT(Tasks[[#This Row],[_Res2Text]],FIND("[",Tasks[[#This Row],[_Res2Text]]&amp;"[")-1)),res_Initials,0),0)))</f>
        <v/>
      </c>
      <c r="DQ163" s="42">
        <f>IF(Tasks[[#This Row],[_Res3Text]]="",0,IFERROR(MATCH(TRIM(LEFT(Tasks[[#This Row],[_Res3Text]],FIND("[",Tasks[[#This Row],[_Res3Text]]&amp;"[")-1)),res_Name,0),IFERROR(MATCH(TRIM(LEFT(Tasks[[#This Row],[_Res3Text]],FIND("[",Tasks[[#This Row],[_Res3Text]]&amp;"[")-1)),res_Initials,0),0)))</f>
        <v/>
      </c>
      <c r="DR163" s="42">
        <f>IF(Tasks[[#This Row],[_Res4Text]]="",0,IFERROR(MATCH(TRIM(LEFT(Tasks[[#This Row],[_Res4Text]],FIND("[",Tasks[[#This Row],[_Res4Text]]&amp;"[")-1)),res_Name,0),IFERROR(MATCH(TRIM(LEFT(Tasks[[#This Row],[_Res4Text]],FIND("[",Tasks[[#This Row],[_Res4Text]]&amp;"[")-1)),res_Initials,0),0)))</f>
        <v/>
      </c>
      <c r="DS163" s="42">
        <f>IF(Tasks[[#This Row],[_Res1Text]]="","",IF(Tasks[[#This Row],[_Res1Row]]&gt;0,INDEX(res_Name,Tasks[[#This Row],[_Res1Row]]),TRIM(LEFT(Tasks[[#This Row],[_Res1Text]],FIND("[",Tasks[[#This Row],[_Res1Text]]&amp;"[")-1))))</f>
        <v/>
      </c>
      <c r="DT16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3" s="42">
        <f>IF(NOT(Tasks[[#This Row],[_IsLeaf]]=1),0,(Tasks[[#This Row],[_Resource1]]&lt;&gt;"")+(Tasks[[#This Row],[_Res2]]&lt;&gt;"")+(Tasks[[#This Row],[_Res3]]&lt;&gt;"")+(Tasks[[#This Row],[_Res4]]&lt;&gt;""))</f>
        <v/>
      </c>
      <c r="DV163" s="42">
        <f>IF(Tasks[[#This Row],[_Res2Text]]="","",IF(Tasks[[#This Row],[_Res2Row]]&gt;0,INDEX(res_Name,Tasks[[#This Row],[_Res2Row]]),TRIM(LEFT(Tasks[[#This Row],[_Res2Text]],FIND("[",Tasks[[#This Row],[_Res2Text]]&amp;"[")-1))))</f>
        <v/>
      </c>
      <c r="DW16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3" s="42">
        <f>IF(OR(NOT(Tasks[[#This Row],[_IsLeaf]]=1),Tasks[[#This Row],[_Res2Row]]=0),0,N(Tasks[[#This Row],[_Days]])*HoursPerDay*IF(Tasks[[#This Row],[_Res2Units]]="",DefaultUnits,Tasks[[#This Row],[_Res2Units]]))</f>
        <v/>
      </c>
      <c r="DY163" s="42">
        <f>IF(AND(AND(Tasks[[#This Row],[_IsLeaf]]=1,Tasks[[#This Row],[_LeafTotalWork]]&gt;0),Tasks[[#This Row],[_Res2Work]]&gt;0),Tasks[[#This Row],[_Res2Work]]/(Tasks[[#This Row],[_FinishWorkday]]-Tasks[[#This Row],[_StartWorkday]]+1),0)</f>
        <v/>
      </c>
      <c r="DZ163" s="42">
        <f>Tasks[[#This Row],[_Res2WorkPerWD]]*MAX(0,Tasks[[#This Row],[_StartWorkday]]-1)</f>
        <v/>
      </c>
      <c r="EA163" s="42">
        <f>Tasks[[#This Row],[_Res2Work]]*Tasks[[#This Row],[_LeafProgress]]</f>
        <v/>
      </c>
      <c r="EB163" s="42">
        <f>IF(Tasks[[#This Row],[_Res3Text]]="","",IF(Tasks[[#This Row],[_Res3Row]]&gt;0,INDEX(res_Name,Tasks[[#This Row],[_Res3Row]]),TRIM(LEFT(Tasks[[#This Row],[_Res3Text]],FIND("[",Tasks[[#This Row],[_Res3Text]]&amp;"[")-1))))</f>
        <v/>
      </c>
      <c r="EC16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3" s="42">
        <f>IF(OR(NOT(Tasks[[#This Row],[_IsLeaf]]=1),Tasks[[#This Row],[_Res3Row]]=0),0,N(Tasks[[#This Row],[_Days]])*HoursPerDay*IF(Tasks[[#This Row],[_Res3Units]]="",DefaultUnits,Tasks[[#This Row],[_Res3Units]]))</f>
        <v/>
      </c>
      <c r="EE163" s="42">
        <f>IF(AND(AND(Tasks[[#This Row],[_IsLeaf]]=1,Tasks[[#This Row],[_LeafTotalWork]]&gt;0),Tasks[[#This Row],[_Res3Work]]&gt;0),Tasks[[#This Row],[_Res3Work]]/(Tasks[[#This Row],[_FinishWorkday]]-Tasks[[#This Row],[_StartWorkday]]+1),0)</f>
        <v/>
      </c>
      <c r="EF163" s="42">
        <f>Tasks[[#This Row],[_Res3WorkPerWD]]*MAX(0,Tasks[[#This Row],[_StartWorkday]]-1)</f>
        <v/>
      </c>
      <c r="EG163" s="42">
        <f>Tasks[[#This Row],[_Res3Work]]*Tasks[[#This Row],[_LeafProgress]]</f>
        <v/>
      </c>
      <c r="EH163" s="42">
        <f>IF(Tasks[[#This Row],[_Res4Text]]="","",IF(Tasks[[#This Row],[_Res4Row]]&gt;0,INDEX(res_Name,Tasks[[#This Row],[_Res4Row]]),TRIM(LEFT(Tasks[[#This Row],[_Res4Text]],FIND("[",Tasks[[#This Row],[_Res4Text]]&amp;"[")-1))))</f>
        <v/>
      </c>
      <c r="EI16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3" s="42">
        <f>IF(OR(NOT(Tasks[[#This Row],[_IsLeaf]]=1),Tasks[[#This Row],[_Res4Row]]=0),0,N(Tasks[[#This Row],[_Days]])*HoursPerDay*IF(Tasks[[#This Row],[_Res4Units]]="",DefaultUnits,Tasks[[#This Row],[_Res4Units]]))</f>
        <v/>
      </c>
      <c r="EK163" s="42">
        <f>IF(AND(AND(Tasks[[#This Row],[_IsLeaf]]=1,Tasks[[#This Row],[_LeafTotalWork]]&gt;0),Tasks[[#This Row],[_Res4Work]]&gt;0),Tasks[[#This Row],[_Res4Work]]/(Tasks[[#This Row],[_FinishWorkday]]-Tasks[[#This Row],[_StartWorkday]]+1),0)</f>
        <v/>
      </c>
      <c r="EL163" s="42">
        <f>Tasks[[#This Row],[_Res4WorkPerWD]]*MAX(0,Tasks[[#This Row],[_StartWorkday]]-1)</f>
        <v/>
      </c>
      <c r="EM163" s="42">
        <f>Tasks[[#This Row],[_Res4Work]]*Tasks[[#This Row],[_LeafProgress]]</f>
        <v/>
      </c>
      <c r="EN163" s="42">
        <f>IF(ISNUMBER(Tasks[[#This Row],[% Complete]]),Tasks[[#This Row],[% Complete]],IF(Tasks[[#This Row],[Stage]]="",0,IFERROR(INDEX(stg_Pct,MATCH(Tasks[[#This Row],[Stage]],stg_Name,0)),0)))</f>
        <v/>
      </c>
      <c r="EO163" s="42">
        <f>IF(NOT(Tasks[[#This Row],[_IsLeaf]]=1),0,IF(N(Tasks[[#This Row],[Actual Finish]])&gt;0,1,MIN(1,Tasks[[#This Row],[_Pct]])))</f>
        <v/>
      </c>
      <c r="EP163" s="42">
        <f>IF(OR(NOT(Tasks[[#This Row],[_IsLeaf]]=1),Tasks[[#This Row],[_Res1Row]]=0),0,N(Tasks[[#This Row],[_Days]])*HoursPerDay*IF(Tasks[[#This Row],[_Units1]]="",DefaultUnits,Tasks[[#This Row],[_Units1]]))</f>
        <v/>
      </c>
      <c r="EQ163" s="42">
        <f>Tasks[[#This Row],[_LeafWork]]+Tasks[[#This Row],[_Res2Work]]+Tasks[[#This Row],[_Res3Work]]+Tasks[[#This Row],[_Res4Work]]</f>
        <v/>
      </c>
      <c r="ER16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3" s="42">
        <f>IF(NOT(Tasks[[#This Row],[_IsLeaf]]=1),0,MAX(_xlfn.MAXIFS(Tasks[_Row],Tasks[_Pred1UID],Tasks[[#This Row],[UID]]),_xlfn.MAXIFS(Tasks[_Row],Tasks[_Pred2UID],Tasks[[#This Row],[UID]]),_xlfn.MAXIFS(Tasks[_Row],Tasks[_Pred3UID],Tasks[[#This Row],[UID]]),_xlfn.MAXIFS(Tasks[_Row],Tasks[_Pred4UID],Tasks[[#This Row],[UID]])))</f>
        <v/>
      </c>
      <c r="FA16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3" s="88">
        <f>IF(NOT(Tasks[[#This Row],[_IsLeaf]]=1),"",IF(N(Tasks[[#This Row],[_Days]])&lt;=0,Tasks[[#This Row],[_LeafLateFinish]],WORKDAY.INTL(Tasks[[#This Row],[_LeafLateFinish]],-(Tasks[[#This Row],[_Days]]-1),WorkWeek,Holidays)))</f>
        <v/>
      </c>
      <c r="FD16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3" s="42">
        <f>AND(Tasks[[#This Row],[_IsLeaf]]=1,Tasks[[#This Row],[_LeafProgress]]&lt;1,N(Tasks[[#This Row],[_LeafTotalSlack]])&lt;=CriticalSlackDays)</f>
        <v/>
      </c>
      <c r="FF163" s="42">
        <f>IF(AND(Tasks[[#This Row],[_IsLeaf]]=1,Tasks[[#This Row],[_ConstraintCode]]=1,Tasks[[#This Row],[Mode]]&lt;&gt;"Manual",N(Tasks[[#This Row],[Actual Start]])=0),MAX(0,N(Tasks[[#This Row],[Free Slack]])),0)</f>
        <v/>
      </c>
      <c r="FG163" s="88">
        <f>IF(NOT(Tasks[[#This Row],[_IsLeaf]]=1),"",IF(Tasks[[#This Row],[_AlapShift]]=0,Tasks[[#This Row],[_LeafCalcStart]],WORKDAY.INTL(Tasks[[#This Row],[_LeafCalcStart]],Tasks[[#This Row],[_AlapShift]],WorkWeek,Holidays)))</f>
        <v/>
      </c>
      <c r="FH163" s="88">
        <f>IF(NOT(Tasks[[#This Row],[_IsLeaf]]=1),"",IF(Tasks[[#This Row],[_AlapShift]]=0,Tasks[[#This Row],[_LeafCalcFinish]],WORKDAY.INTL(Tasks[[#This Row],[_LeafCalcFinish]],Tasks[[#This Row],[_AlapShift]],WorkWeek,Holidays)))</f>
        <v/>
      </c>
      <c r="FI163" s="88">
        <f>IF(NOT(Tasks[[#This Row],[_IsLeaf]]=1),"",IF(Tasks[[#This Row],[_AlapShift]]=0,Tasks[[#This Row],[_LeafFcstStart]],WORKDAY.INTL(Tasks[[#This Row],[_LeafFcstStart]],Tasks[[#This Row],[_AlapShift]],WorkWeek,Holidays)))</f>
        <v/>
      </c>
      <c r="FJ163" s="88">
        <f>IF(NOT(Tasks[[#This Row],[_IsLeaf]]=1),"",IF(Tasks[[#This Row],[_AlapShift]]=0,Tasks[[#This Row],[_LeafFcstFinish]],WORKDAY.INTL(Tasks[[#This Row],[_LeafFcstFinish]],Tasks[[#This Row],[_AlapShift]],WorkWeek,Holidays)))</f>
        <v/>
      </c>
      <c r="FK163" s="88">
        <f>IF(Tasks[[#This Row],[Task Name]]="","",IF(Tasks[[#This Row],[_IsSummary]],MIN(INDEX(Tasks[_ShownCalcStart],Tasks[[#This Row],[_Row]]+1):INDEX(Tasks[_ShownCalcStart],Tasks[[#This Row],[_Row]]+Tasks[[#This Row],[_Descendants]])),Tasks[[#This Row],[_ShownCalcStart]]))</f>
        <v/>
      </c>
      <c r="FL163" s="88">
        <f>IF(Tasks[[#This Row],[Task Name]]="","",IF(Tasks[[#This Row],[_IsSummary]],MAX(INDEX(Tasks[_ShownCalcFinish],Tasks[[#This Row],[_Row]]+1):INDEX(Tasks[_ShownCalcFinish],Tasks[[#This Row],[_Row]]+Tasks[[#This Row],[_Descendants]])),Tasks[[#This Row],[_ShownCalcFinish]]))</f>
        <v/>
      </c>
      <c r="FM16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3" s="42">
        <f>IF(AND(Tasks[[#This Row],[_IsLeaf]]=1,Tasks[[#This Row],[_LeafTotalWork]]&gt;0),NETWORKDAYS.INTL(ProjectStart,Tasks[[#This Row],[_ShownFcstStart]],WorkWeek,Holidays),0)</f>
        <v/>
      </c>
      <c r="FZ163" s="42">
        <f>IF(AND(Tasks[[#This Row],[_IsLeaf]]=1,Tasks[[#This Row],[_LeafTotalWork]]&gt;0),MAX(Tasks[[#This Row],[_StartWorkday]],NETWORKDAYS.INTL(ProjectStart,Tasks[[#This Row],[_ShownFcstFinish]],WorkWeek,Holidays)),0)</f>
        <v/>
      </c>
      <c r="GA163" s="42">
        <f>IF(AND(Tasks[[#This Row],[_IsLeaf]]=1,Tasks[[#This Row],[_LeafTotalWork]]&gt;0),Tasks[[#This Row],[_LeafWork]]/(Tasks[[#This Row],[_FinishWorkday]]-Tasks[[#This Row],[_StartWorkday]]+1),0)</f>
        <v/>
      </c>
      <c r="GB163" s="42">
        <f>Tasks[[#This Row],[_WorkPerWorkday]]*(Tasks[[#This Row],[_StartWorkday]]-1)</f>
        <v/>
      </c>
      <c r="GC163" s="42">
        <f>IF(Tasks[[#This Row],[_IsLeaf]]=1,MAX(N(Tasks[[#This Row],[_Days]]),0.1),0)</f>
        <v/>
      </c>
      <c r="GD163" s="42">
        <f>Tasks[[#This Row],[_WeightDur]]*Tasks[[#This Row],[_LeafProgress]]</f>
        <v/>
      </c>
      <c r="GE163" s="42">
        <f>Tasks[[#This Row],[_WeightDur]]*Tasks[[#This Row],[_PlannedPct]]</f>
        <v/>
      </c>
      <c r="GF16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3" s="42">
        <f>IF(AND(Tasks[[#This Row],[_IsLeaf]]=1,N(Tasks[[#This Row],[_Days]])=0,Tasks[[#This Row],[_LeafProgress]]&lt;1),Tasks[[#This Row],[_ShownFcstFinish]]+Tasks[[#This Row],[_Row]]/100000,"")</f>
        <v/>
      </c>
      <c r="GH16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3" s="42">
        <f>IF(Tasks[[#This Row],[Task Name]]="","",LEFT(Tasks[[#This Row],[WBS]],FIND(".",Tasks[[#This Row],[WBS]]&amp;".")-1))</f>
        <v/>
      </c>
      <c r="GJ163" s="42">
        <f>IF(AND(Tasks[[#This Row],[Task Name]]&lt;&gt;"",Tasks[[#This Row],[_Level]]=1),Tasks[[#This Row],[_Row]],"")</f>
        <v/>
      </c>
      <c r="GK163" s="42">
        <f>IF(AND(Tasks[[#This Row],[_IsLeaf]]=1,N(Tasks[[#This Row],[_Days]])=0),Tasks[[#This Row],[Planned Finish]]+Tasks[[#This Row],[_Row]]/100000,"")</f>
        <v/>
      </c>
      <c r="GL163" s="42">
        <f>IF(AND(Tasks[[#This Row],[_IsLeaf]]=1,Tasks[[#This Row],[_LeafProgress]]&lt;1,OR(N(Tasks[[#This Row],[Finish Var]])&gt;0,Tasks[[#This Row],[Status]]="Late Start")),MAX(0,Tasks[[#This Row],[Finish Var]])+1-Tasks[[#This Row],[_Row]]/1000000,"")</f>
        <v/>
      </c>
      <c r="GM163" s="42">
        <f>IF(AND(Tasks[[#This Row],[_IsLeaf]]=1,N(Tasks[[#This Row],[Actual Start]])=0,Tasks[[#This Row],[_ShownFcstStart]]&gt;=StatusDate,Tasks[[#This Row],[_ShownFcstStart]]&lt;=LookaheadEnd),Tasks[[#This Row],[_ShownFcstStart]]+Tasks[[#This Row],[_Row]]/100000,"")</f>
        <v/>
      </c>
      <c r="GN163" s="42">
        <f>IF(AND(Tasks[[#This Row],[_IsLeaf]]=1,Tasks[[#This Row],[_LeafProgress]]&lt;1,Tasks[[#This Row],[_ShownFcstFinish]]&gt;=StatusDate,Tasks[[#This Row],[_ShownFcstFinish]]&lt;=LookaheadEnd),Tasks[[#This Row],[_ShownFcstFinish]]+Tasks[[#This Row],[_Row]]/100000,"")</f>
        <v/>
      </c>
      <c r="GO163" s="42">
        <f>IF(Tasks[[#This Row],[_LeafCritical]],Tasks[[#This Row],[_ShownFcstStart]]+Tasks[[#This Row],[_Row]]/100000,"")</f>
        <v/>
      </c>
      <c r="GP163" s="42">
        <f>Tasks[[#This Row],[_LeafWork]]*Tasks[[#This Row],[_LeafProgress]]</f>
        <v/>
      </c>
      <c r="GQ163" s="88">
        <f>IF(AND(Tasks[[#This Row],[_IsLeaf]]=1,Tasks[[#This Row],[_LeafProgress]]&gt;=1),IF(N(Tasks[[#This Row],[Actual Finish]])&gt;0,Tasks[[#This Row],[Actual Finish]],Tasks[[#This Row],[_ShownFcstFinish]]),"")</f>
        <v/>
      </c>
      <c r="GR163" s="42">
        <f>IF(Tasks[[#This Row],[_IsLeaf]]=1,N(Tasks[[#This Row],[Story Points]]),0)</f>
        <v/>
      </c>
      <c r="GS163" s="42">
        <f>""</f>
        <v/>
      </c>
      <c r="GT163" s="42">
        <f>IF(Tasks[[#This Row],[Task Name]]="",FALSE(),AND(Tasks[[#This Row],[_IsLeaf]]=1,N(Tasks[[#This Row],[_Days]])=0))</f>
        <v/>
      </c>
      <c r="GU163" s="88">
        <f>IF(Tasks[[#This Row],[Task Name]]="",0,IF(AND(Tasks[[#This Row],[_IsLeaf]]=1,NOT(Tasks[[#This Row],[_IsMilestone]]),N(Tasks[[#This Row],[Progress]])&gt;0),Tasks[[#This Row],[Start]],0))</f>
        <v/>
      </c>
      <c r="GV163" s="88">
        <f>IF(Tasks[[#This Row],[_DoneFrom]]=0,0,IF(Tasks[[#This Row],[Progress]]&gt;=1,Tasks[[#This Row],[Finish]],MAX(Tasks[[#This Row],[_DoneFrom]],Tasks[[#This Row],[Start]]+ROUND((Tasks[[#This Row],[Finish]]-Tasks[[#This Row],[Start]]+1)*Tasks[[#This Row],[Progress]],0)-1)))</f>
        <v/>
      </c>
      <c r="GW163" s="88">
        <f>IF(Tasks[[#This Row],[Task Name]]="",0,IF(OR(NOT(Tasks[[#This Row],[_IsLeaf]]=1),Tasks[[#This Row],[_IsMilestone]],N(Tasks[[#This Row],[Progress]])&gt;=1),0,IF(Tasks[[#This Row],[_DoneTo]]&gt;0,Tasks[[#This Row],[_DoneTo]]+1,Tasks[[#This Row],[Start]])))</f>
        <v/>
      </c>
      <c r="GX163" s="88">
        <f>IF(Tasks[[#This Row],[_RemFrom]]=0,0,Tasks[[#This Row],[Finish]])</f>
        <v/>
      </c>
      <c r="GY163" s="42">
        <f>IF(Tasks[[#This Row],[Task Name]]="",FALSE(),OR(NOT(BaselineSet),N(Tasks[[#This Row],[Baseline Start]])&gt;0))</f>
        <v/>
      </c>
      <c r="GZ163" s="42">
        <f>IF(AND(Sandbox="Yes",L_PARSE_DURATION(Tasks[[#This Row],[Sandbox Duration]])&lt;&gt;""),L_PARSE_DURATION(Tasks[[#This Row],[Sandbox Duration]]),L_PARSE_DURATION(Tasks[[#This Row],[Duration]]))</f>
        <v/>
      </c>
      <c r="HA16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3" s="42">
        <f>IF(Tasks[[#This Row],[_IsLeaf]]=1,Tasks[[#This Row],[_Row]],"")</f>
        <v/>
      </c>
      <c r="HD163" s="42">
        <f>IFERROR(INDEX(Tasks[UID],SMALL(Tasks[_PickKey],Tasks[[#This Row],[_Row]]))&amp;" "&amp;INDEX(Tasks[Task Name],SMALL(Tasks[_PickKey],Tasks[[#This Row],[_Row]])),"")</f>
        <v/>
      </c>
      <c r="HE163" s="42">
        <f>IF(Tasks[[#This Row],[Task Name]]="","",IF(Tasks[[#This Row],[_IsSummary]],NETWORKDAYS.INTL(Tasks[[#This Row],[Start]],Tasks[[#This Row],[Finish]],WorkWeek,Holidays),N(Tasks[[#This Row],[_Days]])))</f>
        <v/>
      </c>
      <c r="HF163" s="42">
        <f>IF(Tasks[[#This Row],[Expected]]="",0,((Tasks[[#This Row],[Pessimistic]]-Tasks[[#This Row],[Optimistic]])/6)^2)</f>
        <v/>
      </c>
      <c r="HG163" s="42">
        <f>IF(Tasks[[#This Row],[Expected]]="",0,Tasks[[#This Row],[Expected]]-N(Tasks[[#This Row],[_Days]]))</f>
        <v/>
      </c>
    </row>
    <row r="164">
      <c r="A164" s="21">
        <f>IF(Tasks[[#This Row],[Task Name]]="","",COUNTA(Tasks[[#Headers],[Task Name]]:Tasks[[#This Row],[Task Name]])-1)</f>
        <v/>
      </c>
      <c r="B164" s="22" t="n">
        <v>172</v>
      </c>
      <c r="C164" s="22" t="n"/>
      <c r="D164" s="23" t="n"/>
      <c r="E164" s="22" t="n"/>
      <c r="F164" s="23" t="n"/>
      <c r="G164" s="22" t="n"/>
      <c r="H164" s="22" t="n"/>
      <c r="I164" s="23" t="n"/>
      <c r="J164" s="22" t="n"/>
      <c r="K164" s="22" t="n"/>
      <c r="L164" s="23" t="n"/>
      <c r="M164" s="22" t="n"/>
      <c r="N164" s="22" t="n"/>
      <c r="O164" s="23" t="n"/>
      <c r="P164" s="22" t="n"/>
      <c r="Q164" s="22" t="n"/>
      <c r="R164" s="23" t="n"/>
      <c r="S164" s="23" t="n"/>
      <c r="T164" s="82" t="n"/>
      <c r="U164" s="23" t="n"/>
      <c r="V164" s="82" t="n"/>
      <c r="W164" s="23" t="n"/>
      <c r="X164" s="82" t="n"/>
      <c r="Y164" s="23" t="n"/>
      <c r="Z164" s="82" t="n"/>
      <c r="AA164" s="23" t="n"/>
      <c r="AB164" s="23" t="n"/>
      <c r="AC164" s="7" t="n"/>
      <c r="AD164" s="7" t="n"/>
      <c r="AE164" s="61">
        <f>IF(Tasks[[#This Row],[Task Name]]="","",IF(Tasks[[#This Row],[_IsSummary]],MIN(INDEX(Tasks[_ShownFcstStart],Tasks[[#This Row],[_Row]]+1):INDEX(Tasks[_ShownFcstStart],Tasks[[#This Row],[_Row]]+Tasks[[#This Row],[_Descendants]])),Tasks[[#This Row],[_ShownFcstStart]]))</f>
        <v/>
      </c>
      <c r="AF164" s="61">
        <f>IF(Tasks[[#This Row],[Task Name]]="","",IF(Tasks[[#This Row],[_IsSummary]],MAX(INDEX(Tasks[_ShownFcstFinish],Tasks[[#This Row],[_Row]]+1):INDEX(Tasks[_ShownFcstFinish],Tasks[[#This Row],[_Row]]+Tasks[[#This Row],[_Descendants]])),Tasks[[#This Row],[_ShownFcstFinish]]))</f>
        <v/>
      </c>
      <c r="AG164" s="21">
        <f>""</f>
        <v/>
      </c>
      <c r="AH164" s="23" t="n"/>
      <c r="AI16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4" s="7" t="n"/>
      <c r="AK164" s="22" t="n"/>
      <c r="AL164" s="23" t="n"/>
      <c r="AM164" s="7" t="n"/>
      <c r="AN164" s="21">
        <f>IF(Tasks[[#This Row],[Task Name]]="","",IF(Tasks[[#This Row],[Finish]]&gt;=Tasks[[#This Row],[Planned Finish]],NETWORKDAYS.INTL(Tasks[[#This Row],[Planned Finish]],Tasks[[#This Row],[Finish]],WorkWeek,Holidays)-1,1-NETWORKDAYS.INTL(Tasks[[#This Row],[Finish]],Tasks[[#This Row],[Planned Finish]],WorkWeek,Holidays)))</f>
        <v/>
      </c>
      <c r="AO164" s="21">
        <f>IF(Tasks[[#This Row],[Task Name]]="","",IF(Tasks[[#This Row],[Progress]]&gt;=1,"Complete",IF(OR(N(Tasks[[#This Row],[Actual Start]])&gt;0,Tasks[[#This Row],[Progress]]&gt;0),IF(Tasks[[#This Row],[Finish Var]]&gt;0,"Behind","In Progress"),IF(Tasks[[#This Row],[Planned Start]]&lt;StatusDate,"Late Start","Not Started"))))</f>
        <v/>
      </c>
      <c r="AP164" s="21">
        <f>IF(Tasks[[#This Row],[Task Name]]="","",IF(IF(Tasks[[#This Row],[_IsSummary]],COUNTIF(INDEX(Tasks[_LeafCritical],Tasks[[#This Row],[_Row]]+1):INDEX(Tasks[_LeafCritical],Tasks[[#This Row],[_Row]]+Tasks[[#This Row],[_Descendants]]),TRUE())&gt;0,Tasks[[#This Row],[_LeafCritical]]),"Yes",""))</f>
        <v/>
      </c>
      <c r="AQ164" s="61">
        <f>IF(Tasks[[#This Row],[Task Name]]="","",IF(N(Tasks[[#This Row],[Baseline Start]])&gt;0,Tasks[[#This Row],[Baseline Start]],Tasks[[#This Row],[_CalcStart]]))</f>
        <v/>
      </c>
      <c r="AR164" s="61">
        <f>IF(Tasks[[#This Row],[Task Name]]="","",IF(N(Tasks[[#This Row],[Baseline Finish]])&gt;0,Tasks[[#This Row],[Baseline Finish]],Tasks[[#This Row],[_CalcFinish]]))</f>
        <v/>
      </c>
      <c r="AS164" s="21">
        <f>IF(Tasks[[#This Row],[Task Name]]="","",IF(Tasks[[#This Row],[Start]]&gt;=Tasks[[#This Row],[Planned Start]],NETWORKDAYS.INTL(Tasks[[#This Row],[Planned Start]],Tasks[[#This Row],[Start]],WorkWeek,Holidays)-1,1-NETWORKDAYS.INTL(Tasks[[#This Row],[Start]],Tasks[[#This Row],[Planned Start]],WorkWeek,Holidays)))</f>
        <v/>
      </c>
      <c r="AT164" s="61">
        <f>IF(Tasks[[#This Row],[Task Name]]="","",IF(Tasks[[#This Row],[_IsSummary]],MIN(INDEX(Tasks[_LeafLateStart],Tasks[[#This Row],[_Row]]+1):INDEX(Tasks[_LeafLateStart],Tasks[[#This Row],[_Row]]+Tasks[[#This Row],[_Descendants]])),Tasks[[#This Row],[_LeafLateStart]]))</f>
        <v/>
      </c>
      <c r="AU164" s="61">
        <f>IF(Tasks[[#This Row],[Task Name]]="","",IF(Tasks[[#This Row],[_IsSummary]],MAX(INDEX(Tasks[_LeafLateFinish],Tasks[[#This Row],[_Row]]+1):INDEX(Tasks[_LeafLateFinish],Tasks[[#This Row],[_Row]]+Tasks[[#This Row],[_Descendants]])),Tasks[[#This Row],[_LeafLateFinish]]))</f>
        <v/>
      </c>
      <c r="AV164" s="21">
        <f>IF(Tasks[[#This Row],[Task Name]]="","",IF(Tasks[[#This Row],[_IsSummary]],MIN(INDEX(Tasks[_LeafTotalSlack],Tasks[[#This Row],[_Row]]+1):INDEX(Tasks[_LeafTotalSlack],Tasks[[#This Row],[_Row]]+Tasks[[#This Row],[_Descendants]])),Tasks[[#This Row],[_LeafTotalSlack]]))</f>
        <v/>
      </c>
      <c r="AW16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3" t="n"/>
      <c r="BA16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f>IF(Tasks[[#This Row],[Task Name]]="","",IF(Tasks[[#This Row],[_Level]]&lt;=OutlineShowLevel,"Yes","No"))</f>
        <v/>
      </c>
      <c r="BE164" s="84">
        <f>IF(Tasks[[#This Row],[Task Name]]="","",IF(Tasks[[#This Row],[_IsSummary]],SUM(INDEX(Tasks[_LeafTotalWork],Tasks[[#This Row],[_Row]]+1):INDEX(Tasks[_LeafTotalWork],Tasks[[#This Row],[_Row]]+Tasks[[#This Row],[_Descendants]])),Tasks[[#This Row],[_LeafTotalWork]]))</f>
        <v/>
      </c>
      <c r="BF164" s="23" t="n"/>
      <c r="BG16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f>""</f>
        <v/>
      </c>
      <c r="BI164" s="85" t="n"/>
      <c r="BJ164" s="22" t="n"/>
      <c r="BK164" s="21">
        <f>IF(OR(Tasks[[#This Row],[Task Name]]="",Tasks[[#This Row],[Baseline Duration]]=""),"",Tasks[[#This Row],[_SpanDays]]-N(Tasks[[#This Row],[Baseline Duration]]))</f>
        <v/>
      </c>
      <c r="BL164" s="84">
        <f>IF(OR(Tasks[[#This Row],[Task Name]]="",Tasks[[#This Row],[Baseline Work]]=""),"",Tasks[[#This Row],[Work]]-N(Tasks[[#This Row],[Baseline Work]]))</f>
        <v/>
      </c>
      <c r="BM164" s="61">
        <f>IF(Tasks[[#This Row],[Task Name]]="","",IF(OR(TakeBaseline="Yes",N(Tasks[[#This Row],[Baseline Start]])=0),Tasks[[#This Row],[Start]],Tasks[[#This Row],[Baseline Start]]))</f>
        <v/>
      </c>
      <c r="BN164" s="61">
        <f>IF(Tasks[[#This Row],[Task Name]]="","",IF(OR(TakeBaseline="Yes",N(Tasks[[#This Row],[Baseline Finish]])=0),Tasks[[#This Row],[Finish]],Tasks[[#This Row],[Baseline Finish]]))</f>
        <v/>
      </c>
      <c r="BO164" s="21">
        <f>IF(Tasks[[#This Row],[Task Name]]="","",IF(OR(TakeBaseline="Yes",N(Tasks[[#This Row],[Baseline Duration]])=0),Tasks[[#This Row],[_SpanDays]],Tasks[[#This Row],[Baseline Duration]]))</f>
        <v/>
      </c>
      <c r="BP164" s="84">
        <f>IF(Tasks[[#This Row],[Task Name]]="","",IF(OR(TakeBaseline="Yes",N(Tasks[[#This Row],[Baseline Work]])=0),Tasks[[#This Row],[Work]],Tasks[[#This Row],[Baseline Work]]))</f>
        <v/>
      </c>
      <c r="BQ164" s="7" t="n"/>
      <c r="BR164" s="7" t="n"/>
      <c r="BS164" s="22" t="n"/>
      <c r="BT164" s="86" t="n"/>
      <c r="BU164" s="23" t="n"/>
      <c r="BV164" s="23" t="n"/>
      <c r="BW164" s="23" t="n"/>
      <c r="BX164" s="87">
        <f>IF(AND(Tasks[[#This Row],[_IsLeaf]]=1,ISNUMBER(Tasks[[#This Row],[Optimistic]]),ISNUMBER(Tasks[[#This Row],[Pessimistic]])),ROUND((Tasks[[#This Row],[Optimistic]]+4*N(Tasks[[#This Row],[_Days]])+Tasks[[#This Row],[Pessimistic]])/6,1),"")</f>
        <v/>
      </c>
      <c r="BY164" s="85" t="n"/>
      <c r="BZ164" s="85" t="n"/>
      <c r="CA164" s="22" t="n"/>
      <c r="CB164" s="42">
        <f>IF(Tasks[[#This Row],[Task Name]]="","",MAX(1,N(Tasks[[#This Row],[Level]])))</f>
        <v/>
      </c>
      <c r="CC164" s="42">
        <f>ROW()-ROW(Tasks[[#Headers],[ID]])</f>
        <v/>
      </c>
      <c r="CD164" s="42">
        <f>IF(OR(Tasks[[#This Row],[Task Name]]="",Tasks[[#This Row],[_Level]]&lt;=1),0,IFERROR(LOOKUP(2,1/(Tasks[[#Headers],[_Level]]:Tasks[[#This Row],[_Level]]=Tasks[[#This Row],[_Level]]-1),ROW(Tasks[[#Headers],[_Level]]:Tasks[[#This Row],[_Level]])),0))</f>
        <v/>
      </c>
      <c r="CE164" s="42">
        <f>IFERROR(N(INDEX(Tasks[_Level],Tasks[[#This Row],[_Row]]+1)),0)</f>
        <v/>
      </c>
      <c r="CF164" s="42">
        <f>AND(Tasks[[#This Row],[Task Name]]&lt;&gt;"",Tasks[[#This Row],[_NextLevel]]&gt;Tasks[[#This Row],[_Level]])</f>
        <v/>
      </c>
      <c r="CG164" s="42">
        <f>IF(Tasks[[#This Row],[_IsSummary]],COUNTIF(Tasks[WBS],Tasks[[#This Row],[WBS]]&amp;".*"),0)</f>
        <v/>
      </c>
      <c r="CH164" s="42">
        <f>IF(AND(Tasks[[#This Row],[Task Name]]&lt;&gt;"",NOT(Tasks[[#This Row],[_IsSummary]])),1,0)</f>
        <v/>
      </c>
      <c r="CI164" s="42">
        <f>IF(N(Tasks[[#This Row],[_Pred1UID]])=0,0,IFERROR(MATCH(Tasks[[#This Row],[_Pred1UID]],Tasks[UID],0),-1))</f>
        <v/>
      </c>
      <c r="CJ164" s="42">
        <f>IF(N(Tasks[[#This Row],[_Pred2UID]])=0,0,IFERROR(MATCH(Tasks[[#This Row],[_Pred2UID]],Tasks[UID],0),-1))</f>
        <v/>
      </c>
      <c r="CK164" s="42">
        <f>IF(N(Tasks[[#This Row],[_Pred3UID]])=0,0,IFERROR(MATCH(Tasks[[#This Row],[_Pred3UID]],Tasks[UID],0),-1))</f>
        <v/>
      </c>
      <c r="CL164" s="42">
        <f>IF(N(Tasks[[#This Row],[_Pred4UID]])=0,0,IFERROR(MATCH(Tasks[[#This Row],[_Pred4UID]],Tasks[UID],0),-1))</f>
        <v/>
      </c>
      <c r="CM16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4" s="88">
        <f>IF(N(Tasks[[#This Row],[Constraint Date]])=0,0,IF(AND(OR(Tasks[[#This Row],[_ConstraintCode]]=3,Tasks[[#This Row],[_ConstraintCode]]=6,Tasks[[#This Row],[_ConstraintCode]]=7),N(Tasks[[#This Row],[_Days]])&gt;1),WORKDAY.INTL(N(Tasks[[#This Row],[Constraint Date]]),-(N(Tasks[[#This Row],[_Days]])-1),WorkWeek,Holidays),N(Tasks[[#This Row],[Constraint Date]])))</f>
        <v/>
      </c>
      <c r="CO164" s="88">
        <f>IF(OR(Tasks[[#This Row],[_ConstraintCode]]=2,Tasks[[#This Row],[_ConstraintCode]]=3,Tasks[[#This Row],[_ConstraintCode]]=4,Tasks[[#This Row],[_ConstraintCode]]=6),Tasks[[#This Row],[_ConstraintStart]],0)</f>
        <v/>
      </c>
      <c r="CP164" s="88">
        <f>IF(OR(Tasks[[#This Row],[_ConstraintCode]]=2,Tasks[[#This Row],[_ConstraintCode]]=3,Tasks[[#This Row],[_ConstraintCode]]=5,Tasks[[#This Row],[_ConstraintCode]]=7),Tasks[[#This Row],[_ConstraintStart]],2958465)</f>
        <v/>
      </c>
      <c r="CQ16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4" s="88">
        <f>IF(NOT(Tasks[[#This Row],[_IsLeaf]]=1),"",IF(N(Tasks[[#This Row],[_Days]])&lt;=0,Tasks[[#This Row],[_LeafCalcStart]],WORKDAY.INTL(Tasks[[#This Row],[_LeafCalcStart]],Tasks[[#This Row],[_Days]]-1,WorkWeek,Holidays)))</f>
        <v/>
      </c>
      <c r="CS16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4" s="42">
        <f>IF(Tasks[[#This Row],[_Predecessors]]="","",TRIM(MID(SUBSTITUTE(SUBSTITUTE(SUBSTITUTE(UPPER(Tasks[[#This Row],[_Predecessors]]),";",",")," ",""),",",REPT(" ",99)),1,99)))</f>
        <v/>
      </c>
      <c r="CV164" s="42">
        <f>IF(Tasks[[#This Row],[_Pred1Text]]="","",IFERROR(VALUE(LEFT(Tasks[[#This Row],[_Pred1Text]],MIN(FIND("F",Tasks[[#This Row],[_Pred1Text]]&amp;"F"),FIND("S",Tasks[[#This Row],[_Pred1Text]]&amp;"S"),FIND("+",Tasks[[#This Row],[_Pred1Text]]&amp;"+"),FIND("-",Tasks[[#This Row],[_Pred1Text]]&amp;"-"))-1)),""))</f>
        <v/>
      </c>
      <c r="CW16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4" s="42">
        <f>IF(Tasks[[#This Row],[_Pred1Text]]="","",TRIM(MID(SUBSTITUTE(SUBSTITUTE(SUBSTITUTE(UPPER(Tasks[[#This Row],[_Predecessors]]),";",",")," ",""),",",REPT(" ",99)),100,99)))</f>
        <v/>
      </c>
      <c r="CZ164" s="42">
        <f>IF(Tasks[[#This Row],[_Pred2Text]]="","",IFERROR(VALUE(LEFT(Tasks[[#This Row],[_Pred2Text]],MIN(FIND("F",Tasks[[#This Row],[_Pred2Text]]&amp;"F"),FIND("S",Tasks[[#This Row],[_Pred2Text]]&amp;"S"),FIND("+",Tasks[[#This Row],[_Pred2Text]]&amp;"+"),FIND("-",Tasks[[#This Row],[_Pred2Text]]&amp;"-"))-1)),""))</f>
        <v/>
      </c>
      <c r="DA16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4" s="42">
        <f>IF(Tasks[[#This Row],[_Pred2Text]]="","",TRIM(MID(SUBSTITUTE(SUBSTITUTE(SUBSTITUTE(UPPER(Tasks[[#This Row],[_Predecessors]]),";",",")," ",""),",",REPT(" ",99)),199,99)))</f>
        <v/>
      </c>
      <c r="DD164" s="42">
        <f>IF(Tasks[[#This Row],[_Pred3Text]]="","",IFERROR(VALUE(LEFT(Tasks[[#This Row],[_Pred3Text]],MIN(FIND("F",Tasks[[#This Row],[_Pred3Text]]&amp;"F"),FIND("S",Tasks[[#This Row],[_Pred3Text]]&amp;"S"),FIND("+",Tasks[[#This Row],[_Pred3Text]]&amp;"+"),FIND("-",Tasks[[#This Row],[_Pred3Text]]&amp;"-"))-1)),""))</f>
        <v/>
      </c>
      <c r="DE16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4" s="42">
        <f>IF(Tasks[[#This Row],[_Pred3Text]]="","",TRIM(MID(SUBSTITUTE(SUBSTITUTE(SUBSTITUTE(UPPER(Tasks[[#This Row],[_Predecessors]]),";",",")," ",""),",",REPT(" ",99)),298,99)))</f>
        <v/>
      </c>
      <c r="DH164" s="42">
        <f>IF(Tasks[[#This Row],[_Pred4Text]]="","",IFERROR(VALUE(LEFT(Tasks[[#This Row],[_Pred4Text]],MIN(FIND("F",Tasks[[#This Row],[_Pred4Text]]&amp;"F"),FIND("S",Tasks[[#This Row],[_Pred4Text]]&amp;"S"),FIND("+",Tasks[[#This Row],[_Pred4Text]]&amp;"+"),FIND("-",Tasks[[#This Row],[_Pred4Text]]&amp;"-"))-1)),""))</f>
        <v/>
      </c>
      <c r="DI16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4" s="42">
        <f>IF(OR(Tasks[[#This Row],[Task Name]]="",Tasks[[#This Row],[_Resources]]=""),"",TRIM(MID(SUBSTITUTE(Tasks[[#This Row],[_Resources]],",",REPT(" ",99)),1,99)))</f>
        <v/>
      </c>
      <c r="DL164" s="42">
        <f>IF(Tasks[[#This Row],[_Res1Text]]="","",TRIM(MID(SUBSTITUTE(Tasks[[#This Row],[_Resources]],",",REPT(" ",99)),100,99)))</f>
        <v/>
      </c>
      <c r="DM164" s="42">
        <f>IF(Tasks[[#This Row],[_Res2Text]]="","",TRIM(MID(SUBSTITUTE(Tasks[[#This Row],[_Resources]],",",REPT(" ",99)),199,99)))</f>
        <v/>
      </c>
      <c r="DN164" s="42">
        <f>IF(Tasks[[#This Row],[_Res3Text]]="","",TRIM(MID(SUBSTITUTE(Tasks[[#This Row],[_Resources]],",",REPT(" ",99)),298,99)))</f>
        <v/>
      </c>
      <c r="DO164" s="42">
        <f>IF(Tasks[[#This Row],[_Res1Text]]="",0,IFERROR(MATCH(TRIM(LEFT(Tasks[[#This Row],[_Res1Text]],FIND("[",Tasks[[#This Row],[_Res1Text]]&amp;"[")-1)),res_Name,0),IFERROR(MATCH(TRIM(LEFT(Tasks[[#This Row],[_Res1Text]],FIND("[",Tasks[[#This Row],[_Res1Text]]&amp;"[")-1)),res_Initials,0),0)))</f>
        <v/>
      </c>
      <c r="DP164" s="42">
        <f>IF(Tasks[[#This Row],[_Res2Text]]="",0,IFERROR(MATCH(TRIM(LEFT(Tasks[[#This Row],[_Res2Text]],FIND("[",Tasks[[#This Row],[_Res2Text]]&amp;"[")-1)),res_Name,0),IFERROR(MATCH(TRIM(LEFT(Tasks[[#This Row],[_Res2Text]],FIND("[",Tasks[[#This Row],[_Res2Text]]&amp;"[")-1)),res_Initials,0),0)))</f>
        <v/>
      </c>
      <c r="DQ164" s="42">
        <f>IF(Tasks[[#This Row],[_Res3Text]]="",0,IFERROR(MATCH(TRIM(LEFT(Tasks[[#This Row],[_Res3Text]],FIND("[",Tasks[[#This Row],[_Res3Text]]&amp;"[")-1)),res_Name,0),IFERROR(MATCH(TRIM(LEFT(Tasks[[#This Row],[_Res3Text]],FIND("[",Tasks[[#This Row],[_Res3Text]]&amp;"[")-1)),res_Initials,0),0)))</f>
        <v/>
      </c>
      <c r="DR164" s="42">
        <f>IF(Tasks[[#This Row],[_Res4Text]]="",0,IFERROR(MATCH(TRIM(LEFT(Tasks[[#This Row],[_Res4Text]],FIND("[",Tasks[[#This Row],[_Res4Text]]&amp;"[")-1)),res_Name,0),IFERROR(MATCH(TRIM(LEFT(Tasks[[#This Row],[_Res4Text]],FIND("[",Tasks[[#This Row],[_Res4Text]]&amp;"[")-1)),res_Initials,0),0)))</f>
        <v/>
      </c>
      <c r="DS164" s="42">
        <f>IF(Tasks[[#This Row],[_Res1Text]]="","",IF(Tasks[[#This Row],[_Res1Row]]&gt;0,INDEX(res_Name,Tasks[[#This Row],[_Res1Row]]),TRIM(LEFT(Tasks[[#This Row],[_Res1Text]],FIND("[",Tasks[[#This Row],[_Res1Text]]&amp;"[")-1))))</f>
        <v/>
      </c>
      <c r="DT16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4" s="42">
        <f>IF(NOT(Tasks[[#This Row],[_IsLeaf]]=1),0,(Tasks[[#This Row],[_Resource1]]&lt;&gt;"")+(Tasks[[#This Row],[_Res2]]&lt;&gt;"")+(Tasks[[#This Row],[_Res3]]&lt;&gt;"")+(Tasks[[#This Row],[_Res4]]&lt;&gt;""))</f>
        <v/>
      </c>
      <c r="DV164" s="42">
        <f>IF(Tasks[[#This Row],[_Res2Text]]="","",IF(Tasks[[#This Row],[_Res2Row]]&gt;0,INDEX(res_Name,Tasks[[#This Row],[_Res2Row]]),TRIM(LEFT(Tasks[[#This Row],[_Res2Text]],FIND("[",Tasks[[#This Row],[_Res2Text]]&amp;"[")-1))))</f>
        <v/>
      </c>
      <c r="DW16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4" s="42">
        <f>IF(OR(NOT(Tasks[[#This Row],[_IsLeaf]]=1),Tasks[[#This Row],[_Res2Row]]=0),0,N(Tasks[[#This Row],[_Days]])*HoursPerDay*IF(Tasks[[#This Row],[_Res2Units]]="",DefaultUnits,Tasks[[#This Row],[_Res2Units]]))</f>
        <v/>
      </c>
      <c r="DY164" s="42">
        <f>IF(AND(AND(Tasks[[#This Row],[_IsLeaf]]=1,Tasks[[#This Row],[_LeafTotalWork]]&gt;0),Tasks[[#This Row],[_Res2Work]]&gt;0),Tasks[[#This Row],[_Res2Work]]/(Tasks[[#This Row],[_FinishWorkday]]-Tasks[[#This Row],[_StartWorkday]]+1),0)</f>
        <v/>
      </c>
      <c r="DZ164" s="42">
        <f>Tasks[[#This Row],[_Res2WorkPerWD]]*MAX(0,Tasks[[#This Row],[_StartWorkday]]-1)</f>
        <v/>
      </c>
      <c r="EA164" s="42">
        <f>Tasks[[#This Row],[_Res2Work]]*Tasks[[#This Row],[_LeafProgress]]</f>
        <v/>
      </c>
      <c r="EB164" s="42">
        <f>IF(Tasks[[#This Row],[_Res3Text]]="","",IF(Tasks[[#This Row],[_Res3Row]]&gt;0,INDEX(res_Name,Tasks[[#This Row],[_Res3Row]]),TRIM(LEFT(Tasks[[#This Row],[_Res3Text]],FIND("[",Tasks[[#This Row],[_Res3Text]]&amp;"[")-1))))</f>
        <v/>
      </c>
      <c r="EC16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4" s="42">
        <f>IF(OR(NOT(Tasks[[#This Row],[_IsLeaf]]=1),Tasks[[#This Row],[_Res3Row]]=0),0,N(Tasks[[#This Row],[_Days]])*HoursPerDay*IF(Tasks[[#This Row],[_Res3Units]]="",DefaultUnits,Tasks[[#This Row],[_Res3Units]]))</f>
        <v/>
      </c>
      <c r="EE164" s="42">
        <f>IF(AND(AND(Tasks[[#This Row],[_IsLeaf]]=1,Tasks[[#This Row],[_LeafTotalWork]]&gt;0),Tasks[[#This Row],[_Res3Work]]&gt;0),Tasks[[#This Row],[_Res3Work]]/(Tasks[[#This Row],[_FinishWorkday]]-Tasks[[#This Row],[_StartWorkday]]+1),0)</f>
        <v/>
      </c>
      <c r="EF164" s="42">
        <f>Tasks[[#This Row],[_Res3WorkPerWD]]*MAX(0,Tasks[[#This Row],[_StartWorkday]]-1)</f>
        <v/>
      </c>
      <c r="EG164" s="42">
        <f>Tasks[[#This Row],[_Res3Work]]*Tasks[[#This Row],[_LeafProgress]]</f>
        <v/>
      </c>
      <c r="EH164" s="42">
        <f>IF(Tasks[[#This Row],[_Res4Text]]="","",IF(Tasks[[#This Row],[_Res4Row]]&gt;0,INDEX(res_Name,Tasks[[#This Row],[_Res4Row]]),TRIM(LEFT(Tasks[[#This Row],[_Res4Text]],FIND("[",Tasks[[#This Row],[_Res4Text]]&amp;"[")-1))))</f>
        <v/>
      </c>
      <c r="EI16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4" s="42">
        <f>IF(OR(NOT(Tasks[[#This Row],[_IsLeaf]]=1),Tasks[[#This Row],[_Res4Row]]=0),0,N(Tasks[[#This Row],[_Days]])*HoursPerDay*IF(Tasks[[#This Row],[_Res4Units]]="",DefaultUnits,Tasks[[#This Row],[_Res4Units]]))</f>
        <v/>
      </c>
      <c r="EK164" s="42">
        <f>IF(AND(AND(Tasks[[#This Row],[_IsLeaf]]=1,Tasks[[#This Row],[_LeafTotalWork]]&gt;0),Tasks[[#This Row],[_Res4Work]]&gt;0),Tasks[[#This Row],[_Res4Work]]/(Tasks[[#This Row],[_FinishWorkday]]-Tasks[[#This Row],[_StartWorkday]]+1),0)</f>
        <v/>
      </c>
      <c r="EL164" s="42">
        <f>Tasks[[#This Row],[_Res4WorkPerWD]]*MAX(0,Tasks[[#This Row],[_StartWorkday]]-1)</f>
        <v/>
      </c>
      <c r="EM164" s="42">
        <f>Tasks[[#This Row],[_Res4Work]]*Tasks[[#This Row],[_LeafProgress]]</f>
        <v/>
      </c>
      <c r="EN164" s="42">
        <f>IF(ISNUMBER(Tasks[[#This Row],[% Complete]]),Tasks[[#This Row],[% Complete]],IF(Tasks[[#This Row],[Stage]]="",0,IFERROR(INDEX(stg_Pct,MATCH(Tasks[[#This Row],[Stage]],stg_Name,0)),0)))</f>
        <v/>
      </c>
      <c r="EO164" s="42">
        <f>IF(NOT(Tasks[[#This Row],[_IsLeaf]]=1),0,IF(N(Tasks[[#This Row],[Actual Finish]])&gt;0,1,MIN(1,Tasks[[#This Row],[_Pct]])))</f>
        <v/>
      </c>
      <c r="EP164" s="42">
        <f>IF(OR(NOT(Tasks[[#This Row],[_IsLeaf]]=1),Tasks[[#This Row],[_Res1Row]]=0),0,N(Tasks[[#This Row],[_Days]])*HoursPerDay*IF(Tasks[[#This Row],[_Units1]]="",DefaultUnits,Tasks[[#This Row],[_Units1]]))</f>
        <v/>
      </c>
      <c r="EQ164" s="42">
        <f>Tasks[[#This Row],[_LeafWork]]+Tasks[[#This Row],[_Res2Work]]+Tasks[[#This Row],[_Res3Work]]+Tasks[[#This Row],[_Res4Work]]</f>
        <v/>
      </c>
      <c r="ER16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4" s="42">
        <f>IF(NOT(Tasks[[#This Row],[_IsLeaf]]=1),0,MAX(_xlfn.MAXIFS(Tasks[_Row],Tasks[_Pred1UID],Tasks[[#This Row],[UID]]),_xlfn.MAXIFS(Tasks[_Row],Tasks[_Pred2UID],Tasks[[#This Row],[UID]]),_xlfn.MAXIFS(Tasks[_Row],Tasks[_Pred3UID],Tasks[[#This Row],[UID]]),_xlfn.MAXIFS(Tasks[_Row],Tasks[_Pred4UID],Tasks[[#This Row],[UID]])))</f>
        <v/>
      </c>
      <c r="FA16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4" s="88">
        <f>IF(NOT(Tasks[[#This Row],[_IsLeaf]]=1),"",IF(N(Tasks[[#This Row],[_Days]])&lt;=0,Tasks[[#This Row],[_LeafLateFinish]],WORKDAY.INTL(Tasks[[#This Row],[_LeafLateFinish]],-(Tasks[[#This Row],[_Days]]-1),WorkWeek,Holidays)))</f>
        <v/>
      </c>
      <c r="FD16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4" s="42">
        <f>AND(Tasks[[#This Row],[_IsLeaf]]=1,Tasks[[#This Row],[_LeafProgress]]&lt;1,N(Tasks[[#This Row],[_LeafTotalSlack]])&lt;=CriticalSlackDays)</f>
        <v/>
      </c>
      <c r="FF164" s="42">
        <f>IF(AND(Tasks[[#This Row],[_IsLeaf]]=1,Tasks[[#This Row],[_ConstraintCode]]=1,Tasks[[#This Row],[Mode]]&lt;&gt;"Manual",N(Tasks[[#This Row],[Actual Start]])=0),MAX(0,N(Tasks[[#This Row],[Free Slack]])),0)</f>
        <v/>
      </c>
      <c r="FG164" s="88">
        <f>IF(NOT(Tasks[[#This Row],[_IsLeaf]]=1),"",IF(Tasks[[#This Row],[_AlapShift]]=0,Tasks[[#This Row],[_LeafCalcStart]],WORKDAY.INTL(Tasks[[#This Row],[_LeafCalcStart]],Tasks[[#This Row],[_AlapShift]],WorkWeek,Holidays)))</f>
        <v/>
      </c>
      <c r="FH164" s="88">
        <f>IF(NOT(Tasks[[#This Row],[_IsLeaf]]=1),"",IF(Tasks[[#This Row],[_AlapShift]]=0,Tasks[[#This Row],[_LeafCalcFinish]],WORKDAY.INTL(Tasks[[#This Row],[_LeafCalcFinish]],Tasks[[#This Row],[_AlapShift]],WorkWeek,Holidays)))</f>
        <v/>
      </c>
      <c r="FI164" s="88">
        <f>IF(NOT(Tasks[[#This Row],[_IsLeaf]]=1),"",IF(Tasks[[#This Row],[_AlapShift]]=0,Tasks[[#This Row],[_LeafFcstStart]],WORKDAY.INTL(Tasks[[#This Row],[_LeafFcstStart]],Tasks[[#This Row],[_AlapShift]],WorkWeek,Holidays)))</f>
        <v/>
      </c>
      <c r="FJ164" s="88">
        <f>IF(NOT(Tasks[[#This Row],[_IsLeaf]]=1),"",IF(Tasks[[#This Row],[_AlapShift]]=0,Tasks[[#This Row],[_LeafFcstFinish]],WORKDAY.INTL(Tasks[[#This Row],[_LeafFcstFinish]],Tasks[[#This Row],[_AlapShift]],WorkWeek,Holidays)))</f>
        <v/>
      </c>
      <c r="FK164" s="88">
        <f>IF(Tasks[[#This Row],[Task Name]]="","",IF(Tasks[[#This Row],[_IsSummary]],MIN(INDEX(Tasks[_ShownCalcStart],Tasks[[#This Row],[_Row]]+1):INDEX(Tasks[_ShownCalcStart],Tasks[[#This Row],[_Row]]+Tasks[[#This Row],[_Descendants]])),Tasks[[#This Row],[_ShownCalcStart]]))</f>
        <v/>
      </c>
      <c r="FL164" s="88">
        <f>IF(Tasks[[#This Row],[Task Name]]="","",IF(Tasks[[#This Row],[_IsSummary]],MAX(INDEX(Tasks[_ShownCalcFinish],Tasks[[#This Row],[_Row]]+1):INDEX(Tasks[_ShownCalcFinish],Tasks[[#This Row],[_Row]]+Tasks[[#This Row],[_Descendants]])),Tasks[[#This Row],[_ShownCalcFinish]]))</f>
        <v/>
      </c>
      <c r="FM16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4" s="42">
        <f>IF(AND(Tasks[[#This Row],[_IsLeaf]]=1,Tasks[[#This Row],[_LeafTotalWork]]&gt;0),NETWORKDAYS.INTL(ProjectStart,Tasks[[#This Row],[_ShownFcstStart]],WorkWeek,Holidays),0)</f>
        <v/>
      </c>
      <c r="FZ164" s="42">
        <f>IF(AND(Tasks[[#This Row],[_IsLeaf]]=1,Tasks[[#This Row],[_LeafTotalWork]]&gt;0),MAX(Tasks[[#This Row],[_StartWorkday]],NETWORKDAYS.INTL(ProjectStart,Tasks[[#This Row],[_ShownFcstFinish]],WorkWeek,Holidays)),0)</f>
        <v/>
      </c>
      <c r="GA164" s="42">
        <f>IF(AND(Tasks[[#This Row],[_IsLeaf]]=1,Tasks[[#This Row],[_LeafTotalWork]]&gt;0),Tasks[[#This Row],[_LeafWork]]/(Tasks[[#This Row],[_FinishWorkday]]-Tasks[[#This Row],[_StartWorkday]]+1),0)</f>
        <v/>
      </c>
      <c r="GB164" s="42">
        <f>Tasks[[#This Row],[_WorkPerWorkday]]*(Tasks[[#This Row],[_StartWorkday]]-1)</f>
        <v/>
      </c>
      <c r="GC164" s="42">
        <f>IF(Tasks[[#This Row],[_IsLeaf]]=1,MAX(N(Tasks[[#This Row],[_Days]]),0.1),0)</f>
        <v/>
      </c>
      <c r="GD164" s="42">
        <f>Tasks[[#This Row],[_WeightDur]]*Tasks[[#This Row],[_LeafProgress]]</f>
        <v/>
      </c>
      <c r="GE164" s="42">
        <f>Tasks[[#This Row],[_WeightDur]]*Tasks[[#This Row],[_PlannedPct]]</f>
        <v/>
      </c>
      <c r="GF16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4" s="42">
        <f>IF(AND(Tasks[[#This Row],[_IsLeaf]]=1,N(Tasks[[#This Row],[_Days]])=0,Tasks[[#This Row],[_LeafProgress]]&lt;1),Tasks[[#This Row],[_ShownFcstFinish]]+Tasks[[#This Row],[_Row]]/100000,"")</f>
        <v/>
      </c>
      <c r="GH16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4" s="42">
        <f>IF(Tasks[[#This Row],[Task Name]]="","",LEFT(Tasks[[#This Row],[WBS]],FIND(".",Tasks[[#This Row],[WBS]]&amp;".")-1))</f>
        <v/>
      </c>
      <c r="GJ164" s="42">
        <f>IF(AND(Tasks[[#This Row],[Task Name]]&lt;&gt;"",Tasks[[#This Row],[_Level]]=1),Tasks[[#This Row],[_Row]],"")</f>
        <v/>
      </c>
      <c r="GK164" s="42">
        <f>IF(AND(Tasks[[#This Row],[_IsLeaf]]=1,N(Tasks[[#This Row],[_Days]])=0),Tasks[[#This Row],[Planned Finish]]+Tasks[[#This Row],[_Row]]/100000,"")</f>
        <v/>
      </c>
      <c r="GL164" s="42">
        <f>IF(AND(Tasks[[#This Row],[_IsLeaf]]=1,Tasks[[#This Row],[_LeafProgress]]&lt;1,OR(N(Tasks[[#This Row],[Finish Var]])&gt;0,Tasks[[#This Row],[Status]]="Late Start")),MAX(0,Tasks[[#This Row],[Finish Var]])+1-Tasks[[#This Row],[_Row]]/1000000,"")</f>
        <v/>
      </c>
      <c r="GM164" s="42">
        <f>IF(AND(Tasks[[#This Row],[_IsLeaf]]=1,N(Tasks[[#This Row],[Actual Start]])=0,Tasks[[#This Row],[_ShownFcstStart]]&gt;=StatusDate,Tasks[[#This Row],[_ShownFcstStart]]&lt;=LookaheadEnd),Tasks[[#This Row],[_ShownFcstStart]]+Tasks[[#This Row],[_Row]]/100000,"")</f>
        <v/>
      </c>
      <c r="GN164" s="42">
        <f>IF(AND(Tasks[[#This Row],[_IsLeaf]]=1,Tasks[[#This Row],[_LeafProgress]]&lt;1,Tasks[[#This Row],[_ShownFcstFinish]]&gt;=StatusDate,Tasks[[#This Row],[_ShownFcstFinish]]&lt;=LookaheadEnd),Tasks[[#This Row],[_ShownFcstFinish]]+Tasks[[#This Row],[_Row]]/100000,"")</f>
        <v/>
      </c>
      <c r="GO164" s="42">
        <f>IF(Tasks[[#This Row],[_LeafCritical]],Tasks[[#This Row],[_ShownFcstStart]]+Tasks[[#This Row],[_Row]]/100000,"")</f>
        <v/>
      </c>
      <c r="GP164" s="42">
        <f>Tasks[[#This Row],[_LeafWork]]*Tasks[[#This Row],[_LeafProgress]]</f>
        <v/>
      </c>
      <c r="GQ164" s="88">
        <f>IF(AND(Tasks[[#This Row],[_IsLeaf]]=1,Tasks[[#This Row],[_LeafProgress]]&gt;=1),IF(N(Tasks[[#This Row],[Actual Finish]])&gt;0,Tasks[[#This Row],[Actual Finish]],Tasks[[#This Row],[_ShownFcstFinish]]),"")</f>
        <v/>
      </c>
      <c r="GR164" s="42">
        <f>IF(Tasks[[#This Row],[_IsLeaf]]=1,N(Tasks[[#This Row],[Story Points]]),0)</f>
        <v/>
      </c>
      <c r="GS164" s="42">
        <f>""</f>
        <v/>
      </c>
      <c r="GT164" s="42">
        <f>IF(Tasks[[#This Row],[Task Name]]="",FALSE(),AND(Tasks[[#This Row],[_IsLeaf]]=1,N(Tasks[[#This Row],[_Days]])=0))</f>
        <v/>
      </c>
      <c r="GU164" s="88">
        <f>IF(Tasks[[#This Row],[Task Name]]="",0,IF(AND(Tasks[[#This Row],[_IsLeaf]]=1,NOT(Tasks[[#This Row],[_IsMilestone]]),N(Tasks[[#This Row],[Progress]])&gt;0),Tasks[[#This Row],[Start]],0))</f>
        <v/>
      </c>
      <c r="GV164" s="88">
        <f>IF(Tasks[[#This Row],[_DoneFrom]]=0,0,IF(Tasks[[#This Row],[Progress]]&gt;=1,Tasks[[#This Row],[Finish]],MAX(Tasks[[#This Row],[_DoneFrom]],Tasks[[#This Row],[Start]]+ROUND((Tasks[[#This Row],[Finish]]-Tasks[[#This Row],[Start]]+1)*Tasks[[#This Row],[Progress]],0)-1)))</f>
        <v/>
      </c>
      <c r="GW164" s="88">
        <f>IF(Tasks[[#This Row],[Task Name]]="",0,IF(OR(NOT(Tasks[[#This Row],[_IsLeaf]]=1),Tasks[[#This Row],[_IsMilestone]],N(Tasks[[#This Row],[Progress]])&gt;=1),0,IF(Tasks[[#This Row],[_DoneTo]]&gt;0,Tasks[[#This Row],[_DoneTo]]+1,Tasks[[#This Row],[Start]])))</f>
        <v/>
      </c>
      <c r="GX164" s="88">
        <f>IF(Tasks[[#This Row],[_RemFrom]]=0,0,Tasks[[#This Row],[Finish]])</f>
        <v/>
      </c>
      <c r="GY164" s="42">
        <f>IF(Tasks[[#This Row],[Task Name]]="",FALSE(),OR(NOT(BaselineSet),N(Tasks[[#This Row],[Baseline Start]])&gt;0))</f>
        <v/>
      </c>
      <c r="GZ164" s="42">
        <f>IF(AND(Sandbox="Yes",L_PARSE_DURATION(Tasks[[#This Row],[Sandbox Duration]])&lt;&gt;""),L_PARSE_DURATION(Tasks[[#This Row],[Sandbox Duration]]),L_PARSE_DURATION(Tasks[[#This Row],[Duration]]))</f>
        <v/>
      </c>
      <c r="HA16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4" s="42">
        <f>IF(Tasks[[#This Row],[_IsLeaf]]=1,Tasks[[#This Row],[_Row]],"")</f>
        <v/>
      </c>
      <c r="HD164" s="42">
        <f>IFERROR(INDEX(Tasks[UID],SMALL(Tasks[_PickKey],Tasks[[#This Row],[_Row]]))&amp;" "&amp;INDEX(Tasks[Task Name],SMALL(Tasks[_PickKey],Tasks[[#This Row],[_Row]])),"")</f>
        <v/>
      </c>
      <c r="HE164" s="42">
        <f>IF(Tasks[[#This Row],[Task Name]]="","",IF(Tasks[[#This Row],[_IsSummary]],NETWORKDAYS.INTL(Tasks[[#This Row],[Start]],Tasks[[#This Row],[Finish]],WorkWeek,Holidays),N(Tasks[[#This Row],[_Days]])))</f>
        <v/>
      </c>
      <c r="HF164" s="42">
        <f>IF(Tasks[[#This Row],[Expected]]="",0,((Tasks[[#This Row],[Pessimistic]]-Tasks[[#This Row],[Optimistic]])/6)^2)</f>
        <v/>
      </c>
      <c r="HG164" s="42">
        <f>IF(Tasks[[#This Row],[Expected]]="",0,Tasks[[#This Row],[Expected]]-N(Tasks[[#This Row],[_Days]]))</f>
        <v/>
      </c>
    </row>
    <row r="165">
      <c r="A165" s="21">
        <f>IF(Tasks[[#This Row],[Task Name]]="","",COUNTA(Tasks[[#Headers],[Task Name]]:Tasks[[#This Row],[Task Name]])-1)</f>
        <v/>
      </c>
      <c r="B165" s="22" t="n">
        <v>173</v>
      </c>
      <c r="C165" s="22" t="n"/>
      <c r="D165" s="23" t="n"/>
      <c r="E165" s="22" t="n"/>
      <c r="F165" s="23" t="n"/>
      <c r="G165" s="22" t="n"/>
      <c r="H165" s="22" t="n"/>
      <c r="I165" s="23" t="n"/>
      <c r="J165" s="22" t="n"/>
      <c r="K165" s="22" t="n"/>
      <c r="L165" s="23" t="n"/>
      <c r="M165" s="22" t="n"/>
      <c r="N165" s="22" t="n"/>
      <c r="O165" s="23" t="n"/>
      <c r="P165" s="22" t="n"/>
      <c r="Q165" s="22" t="n"/>
      <c r="R165" s="23" t="n"/>
      <c r="S165" s="23" t="n"/>
      <c r="T165" s="82" t="n"/>
      <c r="U165" s="23" t="n"/>
      <c r="V165" s="82" t="n"/>
      <c r="W165" s="23" t="n"/>
      <c r="X165" s="82" t="n"/>
      <c r="Y165" s="23" t="n"/>
      <c r="Z165" s="82" t="n"/>
      <c r="AA165" s="23" t="n"/>
      <c r="AB165" s="23" t="n"/>
      <c r="AC165" s="7" t="n"/>
      <c r="AD165" s="7" t="n"/>
      <c r="AE165" s="61">
        <f>IF(Tasks[[#This Row],[Task Name]]="","",IF(Tasks[[#This Row],[_IsSummary]],MIN(INDEX(Tasks[_ShownFcstStart],Tasks[[#This Row],[_Row]]+1):INDEX(Tasks[_ShownFcstStart],Tasks[[#This Row],[_Row]]+Tasks[[#This Row],[_Descendants]])),Tasks[[#This Row],[_ShownFcstStart]]))</f>
        <v/>
      </c>
      <c r="AF165" s="61">
        <f>IF(Tasks[[#This Row],[Task Name]]="","",IF(Tasks[[#This Row],[_IsSummary]],MAX(INDEX(Tasks[_ShownFcstFinish],Tasks[[#This Row],[_Row]]+1):INDEX(Tasks[_ShownFcstFinish],Tasks[[#This Row],[_Row]]+Tasks[[#This Row],[_Descendants]])),Tasks[[#This Row],[_ShownFcstFinish]]))</f>
        <v/>
      </c>
      <c r="AG165" s="21">
        <f>""</f>
        <v/>
      </c>
      <c r="AH165" s="23" t="n"/>
      <c r="AI16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5" s="7" t="n"/>
      <c r="AK165" s="22" t="n"/>
      <c r="AL165" s="23" t="n"/>
      <c r="AM165" s="7" t="n"/>
      <c r="AN165" s="21">
        <f>IF(Tasks[[#This Row],[Task Name]]="","",IF(Tasks[[#This Row],[Finish]]&gt;=Tasks[[#This Row],[Planned Finish]],NETWORKDAYS.INTL(Tasks[[#This Row],[Planned Finish]],Tasks[[#This Row],[Finish]],WorkWeek,Holidays)-1,1-NETWORKDAYS.INTL(Tasks[[#This Row],[Finish]],Tasks[[#This Row],[Planned Finish]],WorkWeek,Holidays)))</f>
        <v/>
      </c>
      <c r="AO165" s="21">
        <f>IF(Tasks[[#This Row],[Task Name]]="","",IF(Tasks[[#This Row],[Progress]]&gt;=1,"Complete",IF(OR(N(Tasks[[#This Row],[Actual Start]])&gt;0,Tasks[[#This Row],[Progress]]&gt;0),IF(Tasks[[#This Row],[Finish Var]]&gt;0,"Behind","In Progress"),IF(Tasks[[#This Row],[Planned Start]]&lt;StatusDate,"Late Start","Not Started"))))</f>
        <v/>
      </c>
      <c r="AP165" s="21">
        <f>IF(Tasks[[#This Row],[Task Name]]="","",IF(IF(Tasks[[#This Row],[_IsSummary]],COUNTIF(INDEX(Tasks[_LeafCritical],Tasks[[#This Row],[_Row]]+1):INDEX(Tasks[_LeafCritical],Tasks[[#This Row],[_Row]]+Tasks[[#This Row],[_Descendants]]),TRUE())&gt;0,Tasks[[#This Row],[_LeafCritical]]),"Yes",""))</f>
        <v/>
      </c>
      <c r="AQ165" s="61">
        <f>IF(Tasks[[#This Row],[Task Name]]="","",IF(N(Tasks[[#This Row],[Baseline Start]])&gt;0,Tasks[[#This Row],[Baseline Start]],Tasks[[#This Row],[_CalcStart]]))</f>
        <v/>
      </c>
      <c r="AR165" s="61">
        <f>IF(Tasks[[#This Row],[Task Name]]="","",IF(N(Tasks[[#This Row],[Baseline Finish]])&gt;0,Tasks[[#This Row],[Baseline Finish]],Tasks[[#This Row],[_CalcFinish]]))</f>
        <v/>
      </c>
      <c r="AS165" s="21">
        <f>IF(Tasks[[#This Row],[Task Name]]="","",IF(Tasks[[#This Row],[Start]]&gt;=Tasks[[#This Row],[Planned Start]],NETWORKDAYS.INTL(Tasks[[#This Row],[Planned Start]],Tasks[[#This Row],[Start]],WorkWeek,Holidays)-1,1-NETWORKDAYS.INTL(Tasks[[#This Row],[Start]],Tasks[[#This Row],[Planned Start]],WorkWeek,Holidays)))</f>
        <v/>
      </c>
      <c r="AT165" s="61">
        <f>IF(Tasks[[#This Row],[Task Name]]="","",IF(Tasks[[#This Row],[_IsSummary]],MIN(INDEX(Tasks[_LeafLateStart],Tasks[[#This Row],[_Row]]+1):INDEX(Tasks[_LeafLateStart],Tasks[[#This Row],[_Row]]+Tasks[[#This Row],[_Descendants]])),Tasks[[#This Row],[_LeafLateStart]]))</f>
        <v/>
      </c>
      <c r="AU165" s="61">
        <f>IF(Tasks[[#This Row],[Task Name]]="","",IF(Tasks[[#This Row],[_IsSummary]],MAX(INDEX(Tasks[_LeafLateFinish],Tasks[[#This Row],[_Row]]+1):INDEX(Tasks[_LeafLateFinish],Tasks[[#This Row],[_Row]]+Tasks[[#This Row],[_Descendants]])),Tasks[[#This Row],[_LeafLateFinish]]))</f>
        <v/>
      </c>
      <c r="AV165" s="21">
        <f>IF(Tasks[[#This Row],[Task Name]]="","",IF(Tasks[[#This Row],[_IsSummary]],MIN(INDEX(Tasks[_LeafTotalSlack],Tasks[[#This Row],[_Row]]+1):INDEX(Tasks[_LeafTotalSlack],Tasks[[#This Row],[_Row]]+Tasks[[#This Row],[_Descendants]])),Tasks[[#This Row],[_LeafTotalSlack]]))</f>
        <v/>
      </c>
      <c r="AW16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3" t="n"/>
      <c r="BA16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f>IF(Tasks[[#This Row],[Task Name]]="","",IF(Tasks[[#This Row],[_Level]]&lt;=OutlineShowLevel,"Yes","No"))</f>
        <v/>
      </c>
      <c r="BE165" s="84">
        <f>IF(Tasks[[#This Row],[Task Name]]="","",IF(Tasks[[#This Row],[_IsSummary]],SUM(INDEX(Tasks[_LeafTotalWork],Tasks[[#This Row],[_Row]]+1):INDEX(Tasks[_LeafTotalWork],Tasks[[#This Row],[_Row]]+Tasks[[#This Row],[_Descendants]])),Tasks[[#This Row],[_LeafTotalWork]]))</f>
        <v/>
      </c>
      <c r="BF165" s="23" t="n"/>
      <c r="BG16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f>""</f>
        <v/>
      </c>
      <c r="BI165" s="85" t="n"/>
      <c r="BJ165" s="22" t="n"/>
      <c r="BK165" s="21">
        <f>IF(OR(Tasks[[#This Row],[Task Name]]="",Tasks[[#This Row],[Baseline Duration]]=""),"",Tasks[[#This Row],[_SpanDays]]-N(Tasks[[#This Row],[Baseline Duration]]))</f>
        <v/>
      </c>
      <c r="BL165" s="84">
        <f>IF(OR(Tasks[[#This Row],[Task Name]]="",Tasks[[#This Row],[Baseline Work]]=""),"",Tasks[[#This Row],[Work]]-N(Tasks[[#This Row],[Baseline Work]]))</f>
        <v/>
      </c>
      <c r="BM165" s="61">
        <f>IF(Tasks[[#This Row],[Task Name]]="","",IF(OR(TakeBaseline="Yes",N(Tasks[[#This Row],[Baseline Start]])=0),Tasks[[#This Row],[Start]],Tasks[[#This Row],[Baseline Start]]))</f>
        <v/>
      </c>
      <c r="BN165" s="61">
        <f>IF(Tasks[[#This Row],[Task Name]]="","",IF(OR(TakeBaseline="Yes",N(Tasks[[#This Row],[Baseline Finish]])=0),Tasks[[#This Row],[Finish]],Tasks[[#This Row],[Baseline Finish]]))</f>
        <v/>
      </c>
      <c r="BO165" s="21">
        <f>IF(Tasks[[#This Row],[Task Name]]="","",IF(OR(TakeBaseline="Yes",N(Tasks[[#This Row],[Baseline Duration]])=0),Tasks[[#This Row],[_SpanDays]],Tasks[[#This Row],[Baseline Duration]]))</f>
        <v/>
      </c>
      <c r="BP165" s="84">
        <f>IF(Tasks[[#This Row],[Task Name]]="","",IF(OR(TakeBaseline="Yes",N(Tasks[[#This Row],[Baseline Work]])=0),Tasks[[#This Row],[Work]],Tasks[[#This Row],[Baseline Work]]))</f>
        <v/>
      </c>
      <c r="BQ165" s="7" t="n"/>
      <c r="BR165" s="7" t="n"/>
      <c r="BS165" s="22" t="n"/>
      <c r="BT165" s="86" t="n"/>
      <c r="BU165" s="23" t="n"/>
      <c r="BV165" s="23" t="n"/>
      <c r="BW165" s="23" t="n"/>
      <c r="BX165" s="87">
        <f>IF(AND(Tasks[[#This Row],[_IsLeaf]]=1,ISNUMBER(Tasks[[#This Row],[Optimistic]]),ISNUMBER(Tasks[[#This Row],[Pessimistic]])),ROUND((Tasks[[#This Row],[Optimistic]]+4*N(Tasks[[#This Row],[_Days]])+Tasks[[#This Row],[Pessimistic]])/6,1),"")</f>
        <v/>
      </c>
      <c r="BY165" s="85" t="n"/>
      <c r="BZ165" s="85" t="n"/>
      <c r="CA165" s="22" t="n"/>
      <c r="CB165" s="42">
        <f>IF(Tasks[[#This Row],[Task Name]]="","",MAX(1,N(Tasks[[#This Row],[Level]])))</f>
        <v/>
      </c>
      <c r="CC165" s="42">
        <f>ROW()-ROW(Tasks[[#Headers],[ID]])</f>
        <v/>
      </c>
      <c r="CD165" s="42">
        <f>IF(OR(Tasks[[#This Row],[Task Name]]="",Tasks[[#This Row],[_Level]]&lt;=1),0,IFERROR(LOOKUP(2,1/(Tasks[[#Headers],[_Level]]:Tasks[[#This Row],[_Level]]=Tasks[[#This Row],[_Level]]-1),ROW(Tasks[[#Headers],[_Level]]:Tasks[[#This Row],[_Level]])),0))</f>
        <v/>
      </c>
      <c r="CE165" s="42">
        <f>IFERROR(N(INDEX(Tasks[_Level],Tasks[[#This Row],[_Row]]+1)),0)</f>
        <v/>
      </c>
      <c r="CF165" s="42">
        <f>AND(Tasks[[#This Row],[Task Name]]&lt;&gt;"",Tasks[[#This Row],[_NextLevel]]&gt;Tasks[[#This Row],[_Level]])</f>
        <v/>
      </c>
      <c r="CG165" s="42">
        <f>IF(Tasks[[#This Row],[_IsSummary]],COUNTIF(Tasks[WBS],Tasks[[#This Row],[WBS]]&amp;".*"),0)</f>
        <v/>
      </c>
      <c r="CH165" s="42">
        <f>IF(AND(Tasks[[#This Row],[Task Name]]&lt;&gt;"",NOT(Tasks[[#This Row],[_IsSummary]])),1,0)</f>
        <v/>
      </c>
      <c r="CI165" s="42">
        <f>IF(N(Tasks[[#This Row],[_Pred1UID]])=0,0,IFERROR(MATCH(Tasks[[#This Row],[_Pred1UID]],Tasks[UID],0),-1))</f>
        <v/>
      </c>
      <c r="CJ165" s="42">
        <f>IF(N(Tasks[[#This Row],[_Pred2UID]])=0,0,IFERROR(MATCH(Tasks[[#This Row],[_Pred2UID]],Tasks[UID],0),-1))</f>
        <v/>
      </c>
      <c r="CK165" s="42">
        <f>IF(N(Tasks[[#This Row],[_Pred3UID]])=0,0,IFERROR(MATCH(Tasks[[#This Row],[_Pred3UID]],Tasks[UID],0),-1))</f>
        <v/>
      </c>
      <c r="CL165" s="42">
        <f>IF(N(Tasks[[#This Row],[_Pred4UID]])=0,0,IFERROR(MATCH(Tasks[[#This Row],[_Pred4UID]],Tasks[UID],0),-1))</f>
        <v/>
      </c>
      <c r="CM16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5" s="88">
        <f>IF(N(Tasks[[#This Row],[Constraint Date]])=0,0,IF(AND(OR(Tasks[[#This Row],[_ConstraintCode]]=3,Tasks[[#This Row],[_ConstraintCode]]=6,Tasks[[#This Row],[_ConstraintCode]]=7),N(Tasks[[#This Row],[_Days]])&gt;1),WORKDAY.INTL(N(Tasks[[#This Row],[Constraint Date]]),-(N(Tasks[[#This Row],[_Days]])-1),WorkWeek,Holidays),N(Tasks[[#This Row],[Constraint Date]])))</f>
        <v/>
      </c>
      <c r="CO165" s="88">
        <f>IF(OR(Tasks[[#This Row],[_ConstraintCode]]=2,Tasks[[#This Row],[_ConstraintCode]]=3,Tasks[[#This Row],[_ConstraintCode]]=4,Tasks[[#This Row],[_ConstraintCode]]=6),Tasks[[#This Row],[_ConstraintStart]],0)</f>
        <v/>
      </c>
      <c r="CP165" s="88">
        <f>IF(OR(Tasks[[#This Row],[_ConstraintCode]]=2,Tasks[[#This Row],[_ConstraintCode]]=3,Tasks[[#This Row],[_ConstraintCode]]=5,Tasks[[#This Row],[_ConstraintCode]]=7),Tasks[[#This Row],[_ConstraintStart]],2958465)</f>
        <v/>
      </c>
      <c r="CQ16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5" s="88">
        <f>IF(NOT(Tasks[[#This Row],[_IsLeaf]]=1),"",IF(N(Tasks[[#This Row],[_Days]])&lt;=0,Tasks[[#This Row],[_LeafCalcStart]],WORKDAY.INTL(Tasks[[#This Row],[_LeafCalcStart]],Tasks[[#This Row],[_Days]]-1,WorkWeek,Holidays)))</f>
        <v/>
      </c>
      <c r="CS16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5" s="42">
        <f>IF(Tasks[[#This Row],[_Predecessors]]="","",TRIM(MID(SUBSTITUTE(SUBSTITUTE(SUBSTITUTE(UPPER(Tasks[[#This Row],[_Predecessors]]),";",",")," ",""),",",REPT(" ",99)),1,99)))</f>
        <v/>
      </c>
      <c r="CV165" s="42">
        <f>IF(Tasks[[#This Row],[_Pred1Text]]="","",IFERROR(VALUE(LEFT(Tasks[[#This Row],[_Pred1Text]],MIN(FIND("F",Tasks[[#This Row],[_Pred1Text]]&amp;"F"),FIND("S",Tasks[[#This Row],[_Pred1Text]]&amp;"S"),FIND("+",Tasks[[#This Row],[_Pred1Text]]&amp;"+"),FIND("-",Tasks[[#This Row],[_Pred1Text]]&amp;"-"))-1)),""))</f>
        <v/>
      </c>
      <c r="CW16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5" s="42">
        <f>IF(Tasks[[#This Row],[_Pred1Text]]="","",TRIM(MID(SUBSTITUTE(SUBSTITUTE(SUBSTITUTE(UPPER(Tasks[[#This Row],[_Predecessors]]),";",",")," ",""),",",REPT(" ",99)),100,99)))</f>
        <v/>
      </c>
      <c r="CZ165" s="42">
        <f>IF(Tasks[[#This Row],[_Pred2Text]]="","",IFERROR(VALUE(LEFT(Tasks[[#This Row],[_Pred2Text]],MIN(FIND("F",Tasks[[#This Row],[_Pred2Text]]&amp;"F"),FIND("S",Tasks[[#This Row],[_Pred2Text]]&amp;"S"),FIND("+",Tasks[[#This Row],[_Pred2Text]]&amp;"+"),FIND("-",Tasks[[#This Row],[_Pred2Text]]&amp;"-"))-1)),""))</f>
        <v/>
      </c>
      <c r="DA16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5" s="42">
        <f>IF(Tasks[[#This Row],[_Pred2Text]]="","",TRIM(MID(SUBSTITUTE(SUBSTITUTE(SUBSTITUTE(UPPER(Tasks[[#This Row],[_Predecessors]]),";",",")," ",""),",",REPT(" ",99)),199,99)))</f>
        <v/>
      </c>
      <c r="DD165" s="42">
        <f>IF(Tasks[[#This Row],[_Pred3Text]]="","",IFERROR(VALUE(LEFT(Tasks[[#This Row],[_Pred3Text]],MIN(FIND("F",Tasks[[#This Row],[_Pred3Text]]&amp;"F"),FIND("S",Tasks[[#This Row],[_Pred3Text]]&amp;"S"),FIND("+",Tasks[[#This Row],[_Pred3Text]]&amp;"+"),FIND("-",Tasks[[#This Row],[_Pred3Text]]&amp;"-"))-1)),""))</f>
        <v/>
      </c>
      <c r="DE16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5" s="42">
        <f>IF(Tasks[[#This Row],[_Pred3Text]]="","",TRIM(MID(SUBSTITUTE(SUBSTITUTE(SUBSTITUTE(UPPER(Tasks[[#This Row],[_Predecessors]]),";",",")," ",""),",",REPT(" ",99)),298,99)))</f>
        <v/>
      </c>
      <c r="DH165" s="42">
        <f>IF(Tasks[[#This Row],[_Pred4Text]]="","",IFERROR(VALUE(LEFT(Tasks[[#This Row],[_Pred4Text]],MIN(FIND("F",Tasks[[#This Row],[_Pred4Text]]&amp;"F"),FIND("S",Tasks[[#This Row],[_Pred4Text]]&amp;"S"),FIND("+",Tasks[[#This Row],[_Pred4Text]]&amp;"+"),FIND("-",Tasks[[#This Row],[_Pred4Text]]&amp;"-"))-1)),""))</f>
        <v/>
      </c>
      <c r="DI16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5" s="42">
        <f>IF(OR(Tasks[[#This Row],[Task Name]]="",Tasks[[#This Row],[_Resources]]=""),"",TRIM(MID(SUBSTITUTE(Tasks[[#This Row],[_Resources]],",",REPT(" ",99)),1,99)))</f>
        <v/>
      </c>
      <c r="DL165" s="42">
        <f>IF(Tasks[[#This Row],[_Res1Text]]="","",TRIM(MID(SUBSTITUTE(Tasks[[#This Row],[_Resources]],",",REPT(" ",99)),100,99)))</f>
        <v/>
      </c>
      <c r="DM165" s="42">
        <f>IF(Tasks[[#This Row],[_Res2Text]]="","",TRIM(MID(SUBSTITUTE(Tasks[[#This Row],[_Resources]],",",REPT(" ",99)),199,99)))</f>
        <v/>
      </c>
      <c r="DN165" s="42">
        <f>IF(Tasks[[#This Row],[_Res3Text]]="","",TRIM(MID(SUBSTITUTE(Tasks[[#This Row],[_Resources]],",",REPT(" ",99)),298,99)))</f>
        <v/>
      </c>
      <c r="DO165" s="42">
        <f>IF(Tasks[[#This Row],[_Res1Text]]="",0,IFERROR(MATCH(TRIM(LEFT(Tasks[[#This Row],[_Res1Text]],FIND("[",Tasks[[#This Row],[_Res1Text]]&amp;"[")-1)),res_Name,0),IFERROR(MATCH(TRIM(LEFT(Tasks[[#This Row],[_Res1Text]],FIND("[",Tasks[[#This Row],[_Res1Text]]&amp;"[")-1)),res_Initials,0),0)))</f>
        <v/>
      </c>
      <c r="DP165" s="42">
        <f>IF(Tasks[[#This Row],[_Res2Text]]="",0,IFERROR(MATCH(TRIM(LEFT(Tasks[[#This Row],[_Res2Text]],FIND("[",Tasks[[#This Row],[_Res2Text]]&amp;"[")-1)),res_Name,0),IFERROR(MATCH(TRIM(LEFT(Tasks[[#This Row],[_Res2Text]],FIND("[",Tasks[[#This Row],[_Res2Text]]&amp;"[")-1)),res_Initials,0),0)))</f>
        <v/>
      </c>
      <c r="DQ165" s="42">
        <f>IF(Tasks[[#This Row],[_Res3Text]]="",0,IFERROR(MATCH(TRIM(LEFT(Tasks[[#This Row],[_Res3Text]],FIND("[",Tasks[[#This Row],[_Res3Text]]&amp;"[")-1)),res_Name,0),IFERROR(MATCH(TRIM(LEFT(Tasks[[#This Row],[_Res3Text]],FIND("[",Tasks[[#This Row],[_Res3Text]]&amp;"[")-1)),res_Initials,0),0)))</f>
        <v/>
      </c>
      <c r="DR165" s="42">
        <f>IF(Tasks[[#This Row],[_Res4Text]]="",0,IFERROR(MATCH(TRIM(LEFT(Tasks[[#This Row],[_Res4Text]],FIND("[",Tasks[[#This Row],[_Res4Text]]&amp;"[")-1)),res_Name,0),IFERROR(MATCH(TRIM(LEFT(Tasks[[#This Row],[_Res4Text]],FIND("[",Tasks[[#This Row],[_Res4Text]]&amp;"[")-1)),res_Initials,0),0)))</f>
        <v/>
      </c>
      <c r="DS165" s="42">
        <f>IF(Tasks[[#This Row],[_Res1Text]]="","",IF(Tasks[[#This Row],[_Res1Row]]&gt;0,INDEX(res_Name,Tasks[[#This Row],[_Res1Row]]),TRIM(LEFT(Tasks[[#This Row],[_Res1Text]],FIND("[",Tasks[[#This Row],[_Res1Text]]&amp;"[")-1))))</f>
        <v/>
      </c>
      <c r="DT16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5" s="42">
        <f>IF(NOT(Tasks[[#This Row],[_IsLeaf]]=1),0,(Tasks[[#This Row],[_Resource1]]&lt;&gt;"")+(Tasks[[#This Row],[_Res2]]&lt;&gt;"")+(Tasks[[#This Row],[_Res3]]&lt;&gt;"")+(Tasks[[#This Row],[_Res4]]&lt;&gt;""))</f>
        <v/>
      </c>
      <c r="DV165" s="42">
        <f>IF(Tasks[[#This Row],[_Res2Text]]="","",IF(Tasks[[#This Row],[_Res2Row]]&gt;0,INDEX(res_Name,Tasks[[#This Row],[_Res2Row]]),TRIM(LEFT(Tasks[[#This Row],[_Res2Text]],FIND("[",Tasks[[#This Row],[_Res2Text]]&amp;"[")-1))))</f>
        <v/>
      </c>
      <c r="DW16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5" s="42">
        <f>IF(OR(NOT(Tasks[[#This Row],[_IsLeaf]]=1),Tasks[[#This Row],[_Res2Row]]=0),0,N(Tasks[[#This Row],[_Days]])*HoursPerDay*IF(Tasks[[#This Row],[_Res2Units]]="",DefaultUnits,Tasks[[#This Row],[_Res2Units]]))</f>
        <v/>
      </c>
      <c r="DY165" s="42">
        <f>IF(AND(AND(Tasks[[#This Row],[_IsLeaf]]=1,Tasks[[#This Row],[_LeafTotalWork]]&gt;0),Tasks[[#This Row],[_Res2Work]]&gt;0),Tasks[[#This Row],[_Res2Work]]/(Tasks[[#This Row],[_FinishWorkday]]-Tasks[[#This Row],[_StartWorkday]]+1),0)</f>
        <v/>
      </c>
      <c r="DZ165" s="42">
        <f>Tasks[[#This Row],[_Res2WorkPerWD]]*MAX(0,Tasks[[#This Row],[_StartWorkday]]-1)</f>
        <v/>
      </c>
      <c r="EA165" s="42">
        <f>Tasks[[#This Row],[_Res2Work]]*Tasks[[#This Row],[_LeafProgress]]</f>
        <v/>
      </c>
      <c r="EB165" s="42">
        <f>IF(Tasks[[#This Row],[_Res3Text]]="","",IF(Tasks[[#This Row],[_Res3Row]]&gt;0,INDEX(res_Name,Tasks[[#This Row],[_Res3Row]]),TRIM(LEFT(Tasks[[#This Row],[_Res3Text]],FIND("[",Tasks[[#This Row],[_Res3Text]]&amp;"[")-1))))</f>
        <v/>
      </c>
      <c r="EC16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5" s="42">
        <f>IF(OR(NOT(Tasks[[#This Row],[_IsLeaf]]=1),Tasks[[#This Row],[_Res3Row]]=0),0,N(Tasks[[#This Row],[_Days]])*HoursPerDay*IF(Tasks[[#This Row],[_Res3Units]]="",DefaultUnits,Tasks[[#This Row],[_Res3Units]]))</f>
        <v/>
      </c>
      <c r="EE165" s="42">
        <f>IF(AND(AND(Tasks[[#This Row],[_IsLeaf]]=1,Tasks[[#This Row],[_LeafTotalWork]]&gt;0),Tasks[[#This Row],[_Res3Work]]&gt;0),Tasks[[#This Row],[_Res3Work]]/(Tasks[[#This Row],[_FinishWorkday]]-Tasks[[#This Row],[_StartWorkday]]+1),0)</f>
        <v/>
      </c>
      <c r="EF165" s="42">
        <f>Tasks[[#This Row],[_Res3WorkPerWD]]*MAX(0,Tasks[[#This Row],[_StartWorkday]]-1)</f>
        <v/>
      </c>
      <c r="EG165" s="42">
        <f>Tasks[[#This Row],[_Res3Work]]*Tasks[[#This Row],[_LeafProgress]]</f>
        <v/>
      </c>
      <c r="EH165" s="42">
        <f>IF(Tasks[[#This Row],[_Res4Text]]="","",IF(Tasks[[#This Row],[_Res4Row]]&gt;0,INDEX(res_Name,Tasks[[#This Row],[_Res4Row]]),TRIM(LEFT(Tasks[[#This Row],[_Res4Text]],FIND("[",Tasks[[#This Row],[_Res4Text]]&amp;"[")-1))))</f>
        <v/>
      </c>
      <c r="EI16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5" s="42">
        <f>IF(OR(NOT(Tasks[[#This Row],[_IsLeaf]]=1),Tasks[[#This Row],[_Res4Row]]=0),0,N(Tasks[[#This Row],[_Days]])*HoursPerDay*IF(Tasks[[#This Row],[_Res4Units]]="",DefaultUnits,Tasks[[#This Row],[_Res4Units]]))</f>
        <v/>
      </c>
      <c r="EK165" s="42">
        <f>IF(AND(AND(Tasks[[#This Row],[_IsLeaf]]=1,Tasks[[#This Row],[_LeafTotalWork]]&gt;0),Tasks[[#This Row],[_Res4Work]]&gt;0),Tasks[[#This Row],[_Res4Work]]/(Tasks[[#This Row],[_FinishWorkday]]-Tasks[[#This Row],[_StartWorkday]]+1),0)</f>
        <v/>
      </c>
      <c r="EL165" s="42">
        <f>Tasks[[#This Row],[_Res4WorkPerWD]]*MAX(0,Tasks[[#This Row],[_StartWorkday]]-1)</f>
        <v/>
      </c>
      <c r="EM165" s="42">
        <f>Tasks[[#This Row],[_Res4Work]]*Tasks[[#This Row],[_LeafProgress]]</f>
        <v/>
      </c>
      <c r="EN165" s="42">
        <f>IF(ISNUMBER(Tasks[[#This Row],[% Complete]]),Tasks[[#This Row],[% Complete]],IF(Tasks[[#This Row],[Stage]]="",0,IFERROR(INDEX(stg_Pct,MATCH(Tasks[[#This Row],[Stage]],stg_Name,0)),0)))</f>
        <v/>
      </c>
      <c r="EO165" s="42">
        <f>IF(NOT(Tasks[[#This Row],[_IsLeaf]]=1),0,IF(N(Tasks[[#This Row],[Actual Finish]])&gt;0,1,MIN(1,Tasks[[#This Row],[_Pct]])))</f>
        <v/>
      </c>
      <c r="EP165" s="42">
        <f>IF(OR(NOT(Tasks[[#This Row],[_IsLeaf]]=1),Tasks[[#This Row],[_Res1Row]]=0),0,N(Tasks[[#This Row],[_Days]])*HoursPerDay*IF(Tasks[[#This Row],[_Units1]]="",DefaultUnits,Tasks[[#This Row],[_Units1]]))</f>
        <v/>
      </c>
      <c r="EQ165" s="42">
        <f>Tasks[[#This Row],[_LeafWork]]+Tasks[[#This Row],[_Res2Work]]+Tasks[[#This Row],[_Res3Work]]+Tasks[[#This Row],[_Res4Work]]</f>
        <v/>
      </c>
      <c r="ER16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5" s="42">
        <f>IF(NOT(Tasks[[#This Row],[_IsLeaf]]=1),0,MAX(_xlfn.MAXIFS(Tasks[_Row],Tasks[_Pred1UID],Tasks[[#This Row],[UID]]),_xlfn.MAXIFS(Tasks[_Row],Tasks[_Pred2UID],Tasks[[#This Row],[UID]]),_xlfn.MAXIFS(Tasks[_Row],Tasks[_Pred3UID],Tasks[[#This Row],[UID]]),_xlfn.MAXIFS(Tasks[_Row],Tasks[_Pred4UID],Tasks[[#This Row],[UID]])))</f>
        <v/>
      </c>
      <c r="FA16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5" s="88">
        <f>IF(NOT(Tasks[[#This Row],[_IsLeaf]]=1),"",IF(N(Tasks[[#This Row],[_Days]])&lt;=0,Tasks[[#This Row],[_LeafLateFinish]],WORKDAY.INTL(Tasks[[#This Row],[_LeafLateFinish]],-(Tasks[[#This Row],[_Days]]-1),WorkWeek,Holidays)))</f>
        <v/>
      </c>
      <c r="FD16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5" s="42">
        <f>AND(Tasks[[#This Row],[_IsLeaf]]=1,Tasks[[#This Row],[_LeafProgress]]&lt;1,N(Tasks[[#This Row],[_LeafTotalSlack]])&lt;=CriticalSlackDays)</f>
        <v/>
      </c>
      <c r="FF165" s="42">
        <f>IF(AND(Tasks[[#This Row],[_IsLeaf]]=1,Tasks[[#This Row],[_ConstraintCode]]=1,Tasks[[#This Row],[Mode]]&lt;&gt;"Manual",N(Tasks[[#This Row],[Actual Start]])=0),MAX(0,N(Tasks[[#This Row],[Free Slack]])),0)</f>
        <v/>
      </c>
      <c r="FG165" s="88">
        <f>IF(NOT(Tasks[[#This Row],[_IsLeaf]]=1),"",IF(Tasks[[#This Row],[_AlapShift]]=0,Tasks[[#This Row],[_LeafCalcStart]],WORKDAY.INTL(Tasks[[#This Row],[_LeafCalcStart]],Tasks[[#This Row],[_AlapShift]],WorkWeek,Holidays)))</f>
        <v/>
      </c>
      <c r="FH165" s="88">
        <f>IF(NOT(Tasks[[#This Row],[_IsLeaf]]=1),"",IF(Tasks[[#This Row],[_AlapShift]]=0,Tasks[[#This Row],[_LeafCalcFinish]],WORKDAY.INTL(Tasks[[#This Row],[_LeafCalcFinish]],Tasks[[#This Row],[_AlapShift]],WorkWeek,Holidays)))</f>
        <v/>
      </c>
      <c r="FI165" s="88">
        <f>IF(NOT(Tasks[[#This Row],[_IsLeaf]]=1),"",IF(Tasks[[#This Row],[_AlapShift]]=0,Tasks[[#This Row],[_LeafFcstStart]],WORKDAY.INTL(Tasks[[#This Row],[_LeafFcstStart]],Tasks[[#This Row],[_AlapShift]],WorkWeek,Holidays)))</f>
        <v/>
      </c>
      <c r="FJ165" s="88">
        <f>IF(NOT(Tasks[[#This Row],[_IsLeaf]]=1),"",IF(Tasks[[#This Row],[_AlapShift]]=0,Tasks[[#This Row],[_LeafFcstFinish]],WORKDAY.INTL(Tasks[[#This Row],[_LeafFcstFinish]],Tasks[[#This Row],[_AlapShift]],WorkWeek,Holidays)))</f>
        <v/>
      </c>
      <c r="FK165" s="88">
        <f>IF(Tasks[[#This Row],[Task Name]]="","",IF(Tasks[[#This Row],[_IsSummary]],MIN(INDEX(Tasks[_ShownCalcStart],Tasks[[#This Row],[_Row]]+1):INDEX(Tasks[_ShownCalcStart],Tasks[[#This Row],[_Row]]+Tasks[[#This Row],[_Descendants]])),Tasks[[#This Row],[_ShownCalcStart]]))</f>
        <v/>
      </c>
      <c r="FL165" s="88">
        <f>IF(Tasks[[#This Row],[Task Name]]="","",IF(Tasks[[#This Row],[_IsSummary]],MAX(INDEX(Tasks[_ShownCalcFinish],Tasks[[#This Row],[_Row]]+1):INDEX(Tasks[_ShownCalcFinish],Tasks[[#This Row],[_Row]]+Tasks[[#This Row],[_Descendants]])),Tasks[[#This Row],[_ShownCalcFinish]]))</f>
        <v/>
      </c>
      <c r="FM16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5" s="42">
        <f>IF(AND(Tasks[[#This Row],[_IsLeaf]]=1,Tasks[[#This Row],[_LeafTotalWork]]&gt;0),NETWORKDAYS.INTL(ProjectStart,Tasks[[#This Row],[_ShownFcstStart]],WorkWeek,Holidays),0)</f>
        <v/>
      </c>
      <c r="FZ165" s="42">
        <f>IF(AND(Tasks[[#This Row],[_IsLeaf]]=1,Tasks[[#This Row],[_LeafTotalWork]]&gt;0),MAX(Tasks[[#This Row],[_StartWorkday]],NETWORKDAYS.INTL(ProjectStart,Tasks[[#This Row],[_ShownFcstFinish]],WorkWeek,Holidays)),0)</f>
        <v/>
      </c>
      <c r="GA165" s="42">
        <f>IF(AND(Tasks[[#This Row],[_IsLeaf]]=1,Tasks[[#This Row],[_LeafTotalWork]]&gt;0),Tasks[[#This Row],[_LeafWork]]/(Tasks[[#This Row],[_FinishWorkday]]-Tasks[[#This Row],[_StartWorkday]]+1),0)</f>
        <v/>
      </c>
      <c r="GB165" s="42">
        <f>Tasks[[#This Row],[_WorkPerWorkday]]*(Tasks[[#This Row],[_StartWorkday]]-1)</f>
        <v/>
      </c>
      <c r="GC165" s="42">
        <f>IF(Tasks[[#This Row],[_IsLeaf]]=1,MAX(N(Tasks[[#This Row],[_Days]]),0.1),0)</f>
        <v/>
      </c>
      <c r="GD165" s="42">
        <f>Tasks[[#This Row],[_WeightDur]]*Tasks[[#This Row],[_LeafProgress]]</f>
        <v/>
      </c>
      <c r="GE165" s="42">
        <f>Tasks[[#This Row],[_WeightDur]]*Tasks[[#This Row],[_PlannedPct]]</f>
        <v/>
      </c>
      <c r="GF16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5" s="42">
        <f>IF(AND(Tasks[[#This Row],[_IsLeaf]]=1,N(Tasks[[#This Row],[_Days]])=0,Tasks[[#This Row],[_LeafProgress]]&lt;1),Tasks[[#This Row],[_ShownFcstFinish]]+Tasks[[#This Row],[_Row]]/100000,"")</f>
        <v/>
      </c>
      <c r="GH16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5" s="42">
        <f>IF(Tasks[[#This Row],[Task Name]]="","",LEFT(Tasks[[#This Row],[WBS]],FIND(".",Tasks[[#This Row],[WBS]]&amp;".")-1))</f>
        <v/>
      </c>
      <c r="GJ165" s="42">
        <f>IF(AND(Tasks[[#This Row],[Task Name]]&lt;&gt;"",Tasks[[#This Row],[_Level]]=1),Tasks[[#This Row],[_Row]],"")</f>
        <v/>
      </c>
      <c r="GK165" s="42">
        <f>IF(AND(Tasks[[#This Row],[_IsLeaf]]=1,N(Tasks[[#This Row],[_Days]])=0),Tasks[[#This Row],[Planned Finish]]+Tasks[[#This Row],[_Row]]/100000,"")</f>
        <v/>
      </c>
      <c r="GL165" s="42">
        <f>IF(AND(Tasks[[#This Row],[_IsLeaf]]=1,Tasks[[#This Row],[_LeafProgress]]&lt;1,OR(N(Tasks[[#This Row],[Finish Var]])&gt;0,Tasks[[#This Row],[Status]]="Late Start")),MAX(0,Tasks[[#This Row],[Finish Var]])+1-Tasks[[#This Row],[_Row]]/1000000,"")</f>
        <v/>
      </c>
      <c r="GM165" s="42">
        <f>IF(AND(Tasks[[#This Row],[_IsLeaf]]=1,N(Tasks[[#This Row],[Actual Start]])=0,Tasks[[#This Row],[_ShownFcstStart]]&gt;=StatusDate,Tasks[[#This Row],[_ShownFcstStart]]&lt;=LookaheadEnd),Tasks[[#This Row],[_ShownFcstStart]]+Tasks[[#This Row],[_Row]]/100000,"")</f>
        <v/>
      </c>
      <c r="GN165" s="42">
        <f>IF(AND(Tasks[[#This Row],[_IsLeaf]]=1,Tasks[[#This Row],[_LeafProgress]]&lt;1,Tasks[[#This Row],[_ShownFcstFinish]]&gt;=StatusDate,Tasks[[#This Row],[_ShownFcstFinish]]&lt;=LookaheadEnd),Tasks[[#This Row],[_ShownFcstFinish]]+Tasks[[#This Row],[_Row]]/100000,"")</f>
        <v/>
      </c>
      <c r="GO165" s="42">
        <f>IF(Tasks[[#This Row],[_LeafCritical]],Tasks[[#This Row],[_ShownFcstStart]]+Tasks[[#This Row],[_Row]]/100000,"")</f>
        <v/>
      </c>
      <c r="GP165" s="42">
        <f>Tasks[[#This Row],[_LeafWork]]*Tasks[[#This Row],[_LeafProgress]]</f>
        <v/>
      </c>
      <c r="GQ165" s="88">
        <f>IF(AND(Tasks[[#This Row],[_IsLeaf]]=1,Tasks[[#This Row],[_LeafProgress]]&gt;=1),IF(N(Tasks[[#This Row],[Actual Finish]])&gt;0,Tasks[[#This Row],[Actual Finish]],Tasks[[#This Row],[_ShownFcstFinish]]),"")</f>
        <v/>
      </c>
      <c r="GR165" s="42">
        <f>IF(Tasks[[#This Row],[_IsLeaf]]=1,N(Tasks[[#This Row],[Story Points]]),0)</f>
        <v/>
      </c>
      <c r="GS165" s="42">
        <f>""</f>
        <v/>
      </c>
      <c r="GT165" s="42">
        <f>IF(Tasks[[#This Row],[Task Name]]="",FALSE(),AND(Tasks[[#This Row],[_IsLeaf]]=1,N(Tasks[[#This Row],[_Days]])=0))</f>
        <v/>
      </c>
      <c r="GU165" s="88">
        <f>IF(Tasks[[#This Row],[Task Name]]="",0,IF(AND(Tasks[[#This Row],[_IsLeaf]]=1,NOT(Tasks[[#This Row],[_IsMilestone]]),N(Tasks[[#This Row],[Progress]])&gt;0),Tasks[[#This Row],[Start]],0))</f>
        <v/>
      </c>
      <c r="GV165" s="88">
        <f>IF(Tasks[[#This Row],[_DoneFrom]]=0,0,IF(Tasks[[#This Row],[Progress]]&gt;=1,Tasks[[#This Row],[Finish]],MAX(Tasks[[#This Row],[_DoneFrom]],Tasks[[#This Row],[Start]]+ROUND((Tasks[[#This Row],[Finish]]-Tasks[[#This Row],[Start]]+1)*Tasks[[#This Row],[Progress]],0)-1)))</f>
        <v/>
      </c>
      <c r="GW165" s="88">
        <f>IF(Tasks[[#This Row],[Task Name]]="",0,IF(OR(NOT(Tasks[[#This Row],[_IsLeaf]]=1),Tasks[[#This Row],[_IsMilestone]],N(Tasks[[#This Row],[Progress]])&gt;=1),0,IF(Tasks[[#This Row],[_DoneTo]]&gt;0,Tasks[[#This Row],[_DoneTo]]+1,Tasks[[#This Row],[Start]])))</f>
        <v/>
      </c>
      <c r="GX165" s="88">
        <f>IF(Tasks[[#This Row],[_RemFrom]]=0,0,Tasks[[#This Row],[Finish]])</f>
        <v/>
      </c>
      <c r="GY165" s="42">
        <f>IF(Tasks[[#This Row],[Task Name]]="",FALSE(),OR(NOT(BaselineSet),N(Tasks[[#This Row],[Baseline Start]])&gt;0))</f>
        <v/>
      </c>
      <c r="GZ165" s="42">
        <f>IF(AND(Sandbox="Yes",L_PARSE_DURATION(Tasks[[#This Row],[Sandbox Duration]])&lt;&gt;""),L_PARSE_DURATION(Tasks[[#This Row],[Sandbox Duration]]),L_PARSE_DURATION(Tasks[[#This Row],[Duration]]))</f>
        <v/>
      </c>
      <c r="HA16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5" s="42">
        <f>IF(Tasks[[#This Row],[_IsLeaf]]=1,Tasks[[#This Row],[_Row]],"")</f>
        <v/>
      </c>
      <c r="HD165" s="42">
        <f>IFERROR(INDEX(Tasks[UID],SMALL(Tasks[_PickKey],Tasks[[#This Row],[_Row]]))&amp;" "&amp;INDEX(Tasks[Task Name],SMALL(Tasks[_PickKey],Tasks[[#This Row],[_Row]])),"")</f>
        <v/>
      </c>
      <c r="HE165" s="42">
        <f>IF(Tasks[[#This Row],[Task Name]]="","",IF(Tasks[[#This Row],[_IsSummary]],NETWORKDAYS.INTL(Tasks[[#This Row],[Start]],Tasks[[#This Row],[Finish]],WorkWeek,Holidays),N(Tasks[[#This Row],[_Days]])))</f>
        <v/>
      </c>
      <c r="HF165" s="42">
        <f>IF(Tasks[[#This Row],[Expected]]="",0,((Tasks[[#This Row],[Pessimistic]]-Tasks[[#This Row],[Optimistic]])/6)^2)</f>
        <v/>
      </c>
      <c r="HG165" s="42">
        <f>IF(Tasks[[#This Row],[Expected]]="",0,Tasks[[#This Row],[Expected]]-N(Tasks[[#This Row],[_Days]]))</f>
        <v/>
      </c>
    </row>
    <row r="166">
      <c r="A166" s="21">
        <f>IF(Tasks[[#This Row],[Task Name]]="","",COUNTA(Tasks[[#Headers],[Task Name]]:Tasks[[#This Row],[Task Name]])-1)</f>
        <v/>
      </c>
      <c r="B166" s="22" t="n">
        <v>174</v>
      </c>
      <c r="C166" s="22" t="n"/>
      <c r="D166" s="23" t="n"/>
      <c r="E166" s="22" t="n"/>
      <c r="F166" s="23" t="n"/>
      <c r="G166" s="22" t="n"/>
      <c r="H166" s="22" t="n"/>
      <c r="I166" s="23" t="n"/>
      <c r="J166" s="22" t="n"/>
      <c r="K166" s="22" t="n"/>
      <c r="L166" s="23" t="n"/>
      <c r="M166" s="22" t="n"/>
      <c r="N166" s="22" t="n"/>
      <c r="O166" s="23" t="n"/>
      <c r="P166" s="22" t="n"/>
      <c r="Q166" s="22" t="n"/>
      <c r="R166" s="23" t="n"/>
      <c r="S166" s="23" t="n"/>
      <c r="T166" s="82" t="n"/>
      <c r="U166" s="23" t="n"/>
      <c r="V166" s="82" t="n"/>
      <c r="W166" s="23" t="n"/>
      <c r="X166" s="82" t="n"/>
      <c r="Y166" s="23" t="n"/>
      <c r="Z166" s="82" t="n"/>
      <c r="AA166" s="23" t="n"/>
      <c r="AB166" s="23" t="n"/>
      <c r="AC166" s="7" t="n"/>
      <c r="AD166" s="7" t="n"/>
      <c r="AE166" s="61">
        <f>IF(Tasks[[#This Row],[Task Name]]="","",IF(Tasks[[#This Row],[_IsSummary]],MIN(INDEX(Tasks[_ShownFcstStart],Tasks[[#This Row],[_Row]]+1):INDEX(Tasks[_ShownFcstStart],Tasks[[#This Row],[_Row]]+Tasks[[#This Row],[_Descendants]])),Tasks[[#This Row],[_ShownFcstStart]]))</f>
        <v/>
      </c>
      <c r="AF166" s="61">
        <f>IF(Tasks[[#This Row],[Task Name]]="","",IF(Tasks[[#This Row],[_IsSummary]],MAX(INDEX(Tasks[_ShownFcstFinish],Tasks[[#This Row],[_Row]]+1):INDEX(Tasks[_ShownFcstFinish],Tasks[[#This Row],[_Row]]+Tasks[[#This Row],[_Descendants]])),Tasks[[#This Row],[_ShownFcstFinish]]))</f>
        <v/>
      </c>
      <c r="AG166" s="21">
        <f>""</f>
        <v/>
      </c>
      <c r="AH166" s="23" t="n"/>
      <c r="AI16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6" s="7" t="n"/>
      <c r="AK166" s="22" t="n"/>
      <c r="AL166" s="23" t="n"/>
      <c r="AM166" s="7" t="n"/>
      <c r="AN166" s="21">
        <f>IF(Tasks[[#This Row],[Task Name]]="","",IF(Tasks[[#This Row],[Finish]]&gt;=Tasks[[#This Row],[Planned Finish]],NETWORKDAYS.INTL(Tasks[[#This Row],[Planned Finish]],Tasks[[#This Row],[Finish]],WorkWeek,Holidays)-1,1-NETWORKDAYS.INTL(Tasks[[#This Row],[Finish]],Tasks[[#This Row],[Planned Finish]],WorkWeek,Holidays)))</f>
        <v/>
      </c>
      <c r="AO166" s="21">
        <f>IF(Tasks[[#This Row],[Task Name]]="","",IF(Tasks[[#This Row],[Progress]]&gt;=1,"Complete",IF(OR(N(Tasks[[#This Row],[Actual Start]])&gt;0,Tasks[[#This Row],[Progress]]&gt;0),IF(Tasks[[#This Row],[Finish Var]]&gt;0,"Behind","In Progress"),IF(Tasks[[#This Row],[Planned Start]]&lt;StatusDate,"Late Start","Not Started"))))</f>
        <v/>
      </c>
      <c r="AP166" s="21">
        <f>IF(Tasks[[#This Row],[Task Name]]="","",IF(IF(Tasks[[#This Row],[_IsSummary]],COUNTIF(INDEX(Tasks[_LeafCritical],Tasks[[#This Row],[_Row]]+1):INDEX(Tasks[_LeafCritical],Tasks[[#This Row],[_Row]]+Tasks[[#This Row],[_Descendants]]),TRUE())&gt;0,Tasks[[#This Row],[_LeafCritical]]),"Yes",""))</f>
        <v/>
      </c>
      <c r="AQ166" s="61">
        <f>IF(Tasks[[#This Row],[Task Name]]="","",IF(N(Tasks[[#This Row],[Baseline Start]])&gt;0,Tasks[[#This Row],[Baseline Start]],Tasks[[#This Row],[_CalcStart]]))</f>
        <v/>
      </c>
      <c r="AR166" s="61">
        <f>IF(Tasks[[#This Row],[Task Name]]="","",IF(N(Tasks[[#This Row],[Baseline Finish]])&gt;0,Tasks[[#This Row],[Baseline Finish]],Tasks[[#This Row],[_CalcFinish]]))</f>
        <v/>
      </c>
      <c r="AS166" s="21">
        <f>IF(Tasks[[#This Row],[Task Name]]="","",IF(Tasks[[#This Row],[Start]]&gt;=Tasks[[#This Row],[Planned Start]],NETWORKDAYS.INTL(Tasks[[#This Row],[Planned Start]],Tasks[[#This Row],[Start]],WorkWeek,Holidays)-1,1-NETWORKDAYS.INTL(Tasks[[#This Row],[Start]],Tasks[[#This Row],[Planned Start]],WorkWeek,Holidays)))</f>
        <v/>
      </c>
      <c r="AT166" s="61">
        <f>IF(Tasks[[#This Row],[Task Name]]="","",IF(Tasks[[#This Row],[_IsSummary]],MIN(INDEX(Tasks[_LeafLateStart],Tasks[[#This Row],[_Row]]+1):INDEX(Tasks[_LeafLateStart],Tasks[[#This Row],[_Row]]+Tasks[[#This Row],[_Descendants]])),Tasks[[#This Row],[_LeafLateStart]]))</f>
        <v/>
      </c>
      <c r="AU166" s="61">
        <f>IF(Tasks[[#This Row],[Task Name]]="","",IF(Tasks[[#This Row],[_IsSummary]],MAX(INDEX(Tasks[_LeafLateFinish],Tasks[[#This Row],[_Row]]+1):INDEX(Tasks[_LeafLateFinish],Tasks[[#This Row],[_Row]]+Tasks[[#This Row],[_Descendants]])),Tasks[[#This Row],[_LeafLateFinish]]))</f>
        <v/>
      </c>
      <c r="AV166" s="21">
        <f>IF(Tasks[[#This Row],[Task Name]]="","",IF(Tasks[[#This Row],[_IsSummary]],MIN(INDEX(Tasks[_LeafTotalSlack],Tasks[[#This Row],[_Row]]+1):INDEX(Tasks[_LeafTotalSlack],Tasks[[#This Row],[_Row]]+Tasks[[#This Row],[_Descendants]])),Tasks[[#This Row],[_LeafTotalSlack]]))</f>
        <v/>
      </c>
      <c r="AW16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3" t="n"/>
      <c r="BA16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f>IF(Tasks[[#This Row],[Task Name]]="","",IF(Tasks[[#This Row],[_Level]]&lt;=OutlineShowLevel,"Yes","No"))</f>
        <v/>
      </c>
      <c r="BE166" s="84">
        <f>IF(Tasks[[#This Row],[Task Name]]="","",IF(Tasks[[#This Row],[_IsSummary]],SUM(INDEX(Tasks[_LeafTotalWork],Tasks[[#This Row],[_Row]]+1):INDEX(Tasks[_LeafTotalWork],Tasks[[#This Row],[_Row]]+Tasks[[#This Row],[_Descendants]])),Tasks[[#This Row],[_LeafTotalWork]]))</f>
        <v/>
      </c>
      <c r="BF166" s="23" t="n"/>
      <c r="BG16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f>""</f>
        <v/>
      </c>
      <c r="BI166" s="85" t="n"/>
      <c r="BJ166" s="22" t="n"/>
      <c r="BK166" s="21">
        <f>IF(OR(Tasks[[#This Row],[Task Name]]="",Tasks[[#This Row],[Baseline Duration]]=""),"",Tasks[[#This Row],[_SpanDays]]-N(Tasks[[#This Row],[Baseline Duration]]))</f>
        <v/>
      </c>
      <c r="BL166" s="84">
        <f>IF(OR(Tasks[[#This Row],[Task Name]]="",Tasks[[#This Row],[Baseline Work]]=""),"",Tasks[[#This Row],[Work]]-N(Tasks[[#This Row],[Baseline Work]]))</f>
        <v/>
      </c>
      <c r="BM166" s="61">
        <f>IF(Tasks[[#This Row],[Task Name]]="","",IF(OR(TakeBaseline="Yes",N(Tasks[[#This Row],[Baseline Start]])=0),Tasks[[#This Row],[Start]],Tasks[[#This Row],[Baseline Start]]))</f>
        <v/>
      </c>
      <c r="BN166" s="61">
        <f>IF(Tasks[[#This Row],[Task Name]]="","",IF(OR(TakeBaseline="Yes",N(Tasks[[#This Row],[Baseline Finish]])=0),Tasks[[#This Row],[Finish]],Tasks[[#This Row],[Baseline Finish]]))</f>
        <v/>
      </c>
      <c r="BO166" s="21">
        <f>IF(Tasks[[#This Row],[Task Name]]="","",IF(OR(TakeBaseline="Yes",N(Tasks[[#This Row],[Baseline Duration]])=0),Tasks[[#This Row],[_SpanDays]],Tasks[[#This Row],[Baseline Duration]]))</f>
        <v/>
      </c>
      <c r="BP166" s="84">
        <f>IF(Tasks[[#This Row],[Task Name]]="","",IF(OR(TakeBaseline="Yes",N(Tasks[[#This Row],[Baseline Work]])=0),Tasks[[#This Row],[Work]],Tasks[[#This Row],[Baseline Work]]))</f>
        <v/>
      </c>
      <c r="BQ166" s="7" t="n"/>
      <c r="BR166" s="7" t="n"/>
      <c r="BS166" s="22" t="n"/>
      <c r="BT166" s="86" t="n"/>
      <c r="BU166" s="23" t="n"/>
      <c r="BV166" s="23" t="n"/>
      <c r="BW166" s="23" t="n"/>
      <c r="BX166" s="87">
        <f>IF(AND(Tasks[[#This Row],[_IsLeaf]]=1,ISNUMBER(Tasks[[#This Row],[Optimistic]]),ISNUMBER(Tasks[[#This Row],[Pessimistic]])),ROUND((Tasks[[#This Row],[Optimistic]]+4*N(Tasks[[#This Row],[_Days]])+Tasks[[#This Row],[Pessimistic]])/6,1),"")</f>
        <v/>
      </c>
      <c r="BY166" s="85" t="n"/>
      <c r="BZ166" s="85" t="n"/>
      <c r="CA166" s="22" t="n"/>
      <c r="CB166" s="42">
        <f>IF(Tasks[[#This Row],[Task Name]]="","",MAX(1,N(Tasks[[#This Row],[Level]])))</f>
        <v/>
      </c>
      <c r="CC166" s="42">
        <f>ROW()-ROW(Tasks[[#Headers],[ID]])</f>
        <v/>
      </c>
      <c r="CD166" s="42">
        <f>IF(OR(Tasks[[#This Row],[Task Name]]="",Tasks[[#This Row],[_Level]]&lt;=1),0,IFERROR(LOOKUP(2,1/(Tasks[[#Headers],[_Level]]:Tasks[[#This Row],[_Level]]=Tasks[[#This Row],[_Level]]-1),ROW(Tasks[[#Headers],[_Level]]:Tasks[[#This Row],[_Level]])),0))</f>
        <v/>
      </c>
      <c r="CE166" s="42">
        <f>IFERROR(N(INDEX(Tasks[_Level],Tasks[[#This Row],[_Row]]+1)),0)</f>
        <v/>
      </c>
      <c r="CF166" s="42">
        <f>AND(Tasks[[#This Row],[Task Name]]&lt;&gt;"",Tasks[[#This Row],[_NextLevel]]&gt;Tasks[[#This Row],[_Level]])</f>
        <v/>
      </c>
      <c r="CG166" s="42">
        <f>IF(Tasks[[#This Row],[_IsSummary]],COUNTIF(Tasks[WBS],Tasks[[#This Row],[WBS]]&amp;".*"),0)</f>
        <v/>
      </c>
      <c r="CH166" s="42">
        <f>IF(AND(Tasks[[#This Row],[Task Name]]&lt;&gt;"",NOT(Tasks[[#This Row],[_IsSummary]])),1,0)</f>
        <v/>
      </c>
      <c r="CI166" s="42">
        <f>IF(N(Tasks[[#This Row],[_Pred1UID]])=0,0,IFERROR(MATCH(Tasks[[#This Row],[_Pred1UID]],Tasks[UID],0),-1))</f>
        <v/>
      </c>
      <c r="CJ166" s="42">
        <f>IF(N(Tasks[[#This Row],[_Pred2UID]])=0,0,IFERROR(MATCH(Tasks[[#This Row],[_Pred2UID]],Tasks[UID],0),-1))</f>
        <v/>
      </c>
      <c r="CK166" s="42">
        <f>IF(N(Tasks[[#This Row],[_Pred3UID]])=0,0,IFERROR(MATCH(Tasks[[#This Row],[_Pred3UID]],Tasks[UID],0),-1))</f>
        <v/>
      </c>
      <c r="CL166" s="42">
        <f>IF(N(Tasks[[#This Row],[_Pred4UID]])=0,0,IFERROR(MATCH(Tasks[[#This Row],[_Pred4UID]],Tasks[UID],0),-1))</f>
        <v/>
      </c>
      <c r="CM16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6" s="88">
        <f>IF(N(Tasks[[#This Row],[Constraint Date]])=0,0,IF(AND(OR(Tasks[[#This Row],[_ConstraintCode]]=3,Tasks[[#This Row],[_ConstraintCode]]=6,Tasks[[#This Row],[_ConstraintCode]]=7),N(Tasks[[#This Row],[_Days]])&gt;1),WORKDAY.INTL(N(Tasks[[#This Row],[Constraint Date]]),-(N(Tasks[[#This Row],[_Days]])-1),WorkWeek,Holidays),N(Tasks[[#This Row],[Constraint Date]])))</f>
        <v/>
      </c>
      <c r="CO166" s="88">
        <f>IF(OR(Tasks[[#This Row],[_ConstraintCode]]=2,Tasks[[#This Row],[_ConstraintCode]]=3,Tasks[[#This Row],[_ConstraintCode]]=4,Tasks[[#This Row],[_ConstraintCode]]=6),Tasks[[#This Row],[_ConstraintStart]],0)</f>
        <v/>
      </c>
      <c r="CP166" s="88">
        <f>IF(OR(Tasks[[#This Row],[_ConstraintCode]]=2,Tasks[[#This Row],[_ConstraintCode]]=3,Tasks[[#This Row],[_ConstraintCode]]=5,Tasks[[#This Row],[_ConstraintCode]]=7),Tasks[[#This Row],[_ConstraintStart]],2958465)</f>
        <v/>
      </c>
      <c r="CQ16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6" s="88">
        <f>IF(NOT(Tasks[[#This Row],[_IsLeaf]]=1),"",IF(N(Tasks[[#This Row],[_Days]])&lt;=0,Tasks[[#This Row],[_LeafCalcStart]],WORKDAY.INTL(Tasks[[#This Row],[_LeafCalcStart]],Tasks[[#This Row],[_Days]]-1,WorkWeek,Holidays)))</f>
        <v/>
      </c>
      <c r="CS16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6" s="42">
        <f>IF(Tasks[[#This Row],[_Predecessors]]="","",TRIM(MID(SUBSTITUTE(SUBSTITUTE(SUBSTITUTE(UPPER(Tasks[[#This Row],[_Predecessors]]),";",",")," ",""),",",REPT(" ",99)),1,99)))</f>
        <v/>
      </c>
      <c r="CV166" s="42">
        <f>IF(Tasks[[#This Row],[_Pred1Text]]="","",IFERROR(VALUE(LEFT(Tasks[[#This Row],[_Pred1Text]],MIN(FIND("F",Tasks[[#This Row],[_Pred1Text]]&amp;"F"),FIND("S",Tasks[[#This Row],[_Pred1Text]]&amp;"S"),FIND("+",Tasks[[#This Row],[_Pred1Text]]&amp;"+"),FIND("-",Tasks[[#This Row],[_Pred1Text]]&amp;"-"))-1)),""))</f>
        <v/>
      </c>
      <c r="CW16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6" s="42">
        <f>IF(Tasks[[#This Row],[_Pred1Text]]="","",TRIM(MID(SUBSTITUTE(SUBSTITUTE(SUBSTITUTE(UPPER(Tasks[[#This Row],[_Predecessors]]),";",",")," ",""),",",REPT(" ",99)),100,99)))</f>
        <v/>
      </c>
      <c r="CZ166" s="42">
        <f>IF(Tasks[[#This Row],[_Pred2Text]]="","",IFERROR(VALUE(LEFT(Tasks[[#This Row],[_Pred2Text]],MIN(FIND("F",Tasks[[#This Row],[_Pred2Text]]&amp;"F"),FIND("S",Tasks[[#This Row],[_Pred2Text]]&amp;"S"),FIND("+",Tasks[[#This Row],[_Pred2Text]]&amp;"+"),FIND("-",Tasks[[#This Row],[_Pred2Text]]&amp;"-"))-1)),""))</f>
        <v/>
      </c>
      <c r="DA16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6" s="42">
        <f>IF(Tasks[[#This Row],[_Pred2Text]]="","",TRIM(MID(SUBSTITUTE(SUBSTITUTE(SUBSTITUTE(UPPER(Tasks[[#This Row],[_Predecessors]]),";",",")," ",""),",",REPT(" ",99)),199,99)))</f>
        <v/>
      </c>
      <c r="DD166" s="42">
        <f>IF(Tasks[[#This Row],[_Pred3Text]]="","",IFERROR(VALUE(LEFT(Tasks[[#This Row],[_Pred3Text]],MIN(FIND("F",Tasks[[#This Row],[_Pred3Text]]&amp;"F"),FIND("S",Tasks[[#This Row],[_Pred3Text]]&amp;"S"),FIND("+",Tasks[[#This Row],[_Pred3Text]]&amp;"+"),FIND("-",Tasks[[#This Row],[_Pred3Text]]&amp;"-"))-1)),""))</f>
        <v/>
      </c>
      <c r="DE16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6" s="42">
        <f>IF(Tasks[[#This Row],[_Pred3Text]]="","",TRIM(MID(SUBSTITUTE(SUBSTITUTE(SUBSTITUTE(UPPER(Tasks[[#This Row],[_Predecessors]]),";",",")," ",""),",",REPT(" ",99)),298,99)))</f>
        <v/>
      </c>
      <c r="DH166" s="42">
        <f>IF(Tasks[[#This Row],[_Pred4Text]]="","",IFERROR(VALUE(LEFT(Tasks[[#This Row],[_Pred4Text]],MIN(FIND("F",Tasks[[#This Row],[_Pred4Text]]&amp;"F"),FIND("S",Tasks[[#This Row],[_Pred4Text]]&amp;"S"),FIND("+",Tasks[[#This Row],[_Pred4Text]]&amp;"+"),FIND("-",Tasks[[#This Row],[_Pred4Text]]&amp;"-"))-1)),""))</f>
        <v/>
      </c>
      <c r="DI16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6" s="42">
        <f>IF(OR(Tasks[[#This Row],[Task Name]]="",Tasks[[#This Row],[_Resources]]=""),"",TRIM(MID(SUBSTITUTE(Tasks[[#This Row],[_Resources]],",",REPT(" ",99)),1,99)))</f>
        <v/>
      </c>
      <c r="DL166" s="42">
        <f>IF(Tasks[[#This Row],[_Res1Text]]="","",TRIM(MID(SUBSTITUTE(Tasks[[#This Row],[_Resources]],",",REPT(" ",99)),100,99)))</f>
        <v/>
      </c>
      <c r="DM166" s="42">
        <f>IF(Tasks[[#This Row],[_Res2Text]]="","",TRIM(MID(SUBSTITUTE(Tasks[[#This Row],[_Resources]],",",REPT(" ",99)),199,99)))</f>
        <v/>
      </c>
      <c r="DN166" s="42">
        <f>IF(Tasks[[#This Row],[_Res3Text]]="","",TRIM(MID(SUBSTITUTE(Tasks[[#This Row],[_Resources]],",",REPT(" ",99)),298,99)))</f>
        <v/>
      </c>
      <c r="DO166" s="42">
        <f>IF(Tasks[[#This Row],[_Res1Text]]="",0,IFERROR(MATCH(TRIM(LEFT(Tasks[[#This Row],[_Res1Text]],FIND("[",Tasks[[#This Row],[_Res1Text]]&amp;"[")-1)),res_Name,0),IFERROR(MATCH(TRIM(LEFT(Tasks[[#This Row],[_Res1Text]],FIND("[",Tasks[[#This Row],[_Res1Text]]&amp;"[")-1)),res_Initials,0),0)))</f>
        <v/>
      </c>
      <c r="DP166" s="42">
        <f>IF(Tasks[[#This Row],[_Res2Text]]="",0,IFERROR(MATCH(TRIM(LEFT(Tasks[[#This Row],[_Res2Text]],FIND("[",Tasks[[#This Row],[_Res2Text]]&amp;"[")-1)),res_Name,0),IFERROR(MATCH(TRIM(LEFT(Tasks[[#This Row],[_Res2Text]],FIND("[",Tasks[[#This Row],[_Res2Text]]&amp;"[")-1)),res_Initials,0),0)))</f>
        <v/>
      </c>
      <c r="DQ166" s="42">
        <f>IF(Tasks[[#This Row],[_Res3Text]]="",0,IFERROR(MATCH(TRIM(LEFT(Tasks[[#This Row],[_Res3Text]],FIND("[",Tasks[[#This Row],[_Res3Text]]&amp;"[")-1)),res_Name,0),IFERROR(MATCH(TRIM(LEFT(Tasks[[#This Row],[_Res3Text]],FIND("[",Tasks[[#This Row],[_Res3Text]]&amp;"[")-1)),res_Initials,0),0)))</f>
        <v/>
      </c>
      <c r="DR166" s="42">
        <f>IF(Tasks[[#This Row],[_Res4Text]]="",0,IFERROR(MATCH(TRIM(LEFT(Tasks[[#This Row],[_Res4Text]],FIND("[",Tasks[[#This Row],[_Res4Text]]&amp;"[")-1)),res_Name,0),IFERROR(MATCH(TRIM(LEFT(Tasks[[#This Row],[_Res4Text]],FIND("[",Tasks[[#This Row],[_Res4Text]]&amp;"[")-1)),res_Initials,0),0)))</f>
        <v/>
      </c>
      <c r="DS166" s="42">
        <f>IF(Tasks[[#This Row],[_Res1Text]]="","",IF(Tasks[[#This Row],[_Res1Row]]&gt;0,INDEX(res_Name,Tasks[[#This Row],[_Res1Row]]),TRIM(LEFT(Tasks[[#This Row],[_Res1Text]],FIND("[",Tasks[[#This Row],[_Res1Text]]&amp;"[")-1))))</f>
        <v/>
      </c>
      <c r="DT16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6" s="42">
        <f>IF(NOT(Tasks[[#This Row],[_IsLeaf]]=1),0,(Tasks[[#This Row],[_Resource1]]&lt;&gt;"")+(Tasks[[#This Row],[_Res2]]&lt;&gt;"")+(Tasks[[#This Row],[_Res3]]&lt;&gt;"")+(Tasks[[#This Row],[_Res4]]&lt;&gt;""))</f>
        <v/>
      </c>
      <c r="DV166" s="42">
        <f>IF(Tasks[[#This Row],[_Res2Text]]="","",IF(Tasks[[#This Row],[_Res2Row]]&gt;0,INDEX(res_Name,Tasks[[#This Row],[_Res2Row]]),TRIM(LEFT(Tasks[[#This Row],[_Res2Text]],FIND("[",Tasks[[#This Row],[_Res2Text]]&amp;"[")-1))))</f>
        <v/>
      </c>
      <c r="DW16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6" s="42">
        <f>IF(OR(NOT(Tasks[[#This Row],[_IsLeaf]]=1),Tasks[[#This Row],[_Res2Row]]=0),0,N(Tasks[[#This Row],[_Days]])*HoursPerDay*IF(Tasks[[#This Row],[_Res2Units]]="",DefaultUnits,Tasks[[#This Row],[_Res2Units]]))</f>
        <v/>
      </c>
      <c r="DY166" s="42">
        <f>IF(AND(AND(Tasks[[#This Row],[_IsLeaf]]=1,Tasks[[#This Row],[_LeafTotalWork]]&gt;0),Tasks[[#This Row],[_Res2Work]]&gt;0),Tasks[[#This Row],[_Res2Work]]/(Tasks[[#This Row],[_FinishWorkday]]-Tasks[[#This Row],[_StartWorkday]]+1),0)</f>
        <v/>
      </c>
      <c r="DZ166" s="42">
        <f>Tasks[[#This Row],[_Res2WorkPerWD]]*MAX(0,Tasks[[#This Row],[_StartWorkday]]-1)</f>
        <v/>
      </c>
      <c r="EA166" s="42">
        <f>Tasks[[#This Row],[_Res2Work]]*Tasks[[#This Row],[_LeafProgress]]</f>
        <v/>
      </c>
      <c r="EB166" s="42">
        <f>IF(Tasks[[#This Row],[_Res3Text]]="","",IF(Tasks[[#This Row],[_Res3Row]]&gt;0,INDEX(res_Name,Tasks[[#This Row],[_Res3Row]]),TRIM(LEFT(Tasks[[#This Row],[_Res3Text]],FIND("[",Tasks[[#This Row],[_Res3Text]]&amp;"[")-1))))</f>
        <v/>
      </c>
      <c r="EC16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6" s="42">
        <f>IF(OR(NOT(Tasks[[#This Row],[_IsLeaf]]=1),Tasks[[#This Row],[_Res3Row]]=0),0,N(Tasks[[#This Row],[_Days]])*HoursPerDay*IF(Tasks[[#This Row],[_Res3Units]]="",DefaultUnits,Tasks[[#This Row],[_Res3Units]]))</f>
        <v/>
      </c>
      <c r="EE166" s="42">
        <f>IF(AND(AND(Tasks[[#This Row],[_IsLeaf]]=1,Tasks[[#This Row],[_LeafTotalWork]]&gt;0),Tasks[[#This Row],[_Res3Work]]&gt;0),Tasks[[#This Row],[_Res3Work]]/(Tasks[[#This Row],[_FinishWorkday]]-Tasks[[#This Row],[_StartWorkday]]+1),0)</f>
        <v/>
      </c>
      <c r="EF166" s="42">
        <f>Tasks[[#This Row],[_Res3WorkPerWD]]*MAX(0,Tasks[[#This Row],[_StartWorkday]]-1)</f>
        <v/>
      </c>
      <c r="EG166" s="42">
        <f>Tasks[[#This Row],[_Res3Work]]*Tasks[[#This Row],[_LeafProgress]]</f>
        <v/>
      </c>
      <c r="EH166" s="42">
        <f>IF(Tasks[[#This Row],[_Res4Text]]="","",IF(Tasks[[#This Row],[_Res4Row]]&gt;0,INDEX(res_Name,Tasks[[#This Row],[_Res4Row]]),TRIM(LEFT(Tasks[[#This Row],[_Res4Text]],FIND("[",Tasks[[#This Row],[_Res4Text]]&amp;"[")-1))))</f>
        <v/>
      </c>
      <c r="EI16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6" s="42">
        <f>IF(OR(NOT(Tasks[[#This Row],[_IsLeaf]]=1),Tasks[[#This Row],[_Res4Row]]=0),0,N(Tasks[[#This Row],[_Days]])*HoursPerDay*IF(Tasks[[#This Row],[_Res4Units]]="",DefaultUnits,Tasks[[#This Row],[_Res4Units]]))</f>
        <v/>
      </c>
      <c r="EK166" s="42">
        <f>IF(AND(AND(Tasks[[#This Row],[_IsLeaf]]=1,Tasks[[#This Row],[_LeafTotalWork]]&gt;0),Tasks[[#This Row],[_Res4Work]]&gt;0),Tasks[[#This Row],[_Res4Work]]/(Tasks[[#This Row],[_FinishWorkday]]-Tasks[[#This Row],[_StartWorkday]]+1),0)</f>
        <v/>
      </c>
      <c r="EL166" s="42">
        <f>Tasks[[#This Row],[_Res4WorkPerWD]]*MAX(0,Tasks[[#This Row],[_StartWorkday]]-1)</f>
        <v/>
      </c>
      <c r="EM166" s="42">
        <f>Tasks[[#This Row],[_Res4Work]]*Tasks[[#This Row],[_LeafProgress]]</f>
        <v/>
      </c>
      <c r="EN166" s="42">
        <f>IF(ISNUMBER(Tasks[[#This Row],[% Complete]]),Tasks[[#This Row],[% Complete]],IF(Tasks[[#This Row],[Stage]]="",0,IFERROR(INDEX(stg_Pct,MATCH(Tasks[[#This Row],[Stage]],stg_Name,0)),0)))</f>
        <v/>
      </c>
      <c r="EO166" s="42">
        <f>IF(NOT(Tasks[[#This Row],[_IsLeaf]]=1),0,IF(N(Tasks[[#This Row],[Actual Finish]])&gt;0,1,MIN(1,Tasks[[#This Row],[_Pct]])))</f>
        <v/>
      </c>
      <c r="EP166" s="42">
        <f>IF(OR(NOT(Tasks[[#This Row],[_IsLeaf]]=1),Tasks[[#This Row],[_Res1Row]]=0),0,N(Tasks[[#This Row],[_Days]])*HoursPerDay*IF(Tasks[[#This Row],[_Units1]]="",DefaultUnits,Tasks[[#This Row],[_Units1]]))</f>
        <v/>
      </c>
      <c r="EQ166" s="42">
        <f>Tasks[[#This Row],[_LeafWork]]+Tasks[[#This Row],[_Res2Work]]+Tasks[[#This Row],[_Res3Work]]+Tasks[[#This Row],[_Res4Work]]</f>
        <v/>
      </c>
      <c r="ER16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6" s="42">
        <f>IF(NOT(Tasks[[#This Row],[_IsLeaf]]=1),0,MAX(_xlfn.MAXIFS(Tasks[_Row],Tasks[_Pred1UID],Tasks[[#This Row],[UID]]),_xlfn.MAXIFS(Tasks[_Row],Tasks[_Pred2UID],Tasks[[#This Row],[UID]]),_xlfn.MAXIFS(Tasks[_Row],Tasks[_Pred3UID],Tasks[[#This Row],[UID]]),_xlfn.MAXIFS(Tasks[_Row],Tasks[_Pred4UID],Tasks[[#This Row],[UID]])))</f>
        <v/>
      </c>
      <c r="FA16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6" s="88">
        <f>IF(NOT(Tasks[[#This Row],[_IsLeaf]]=1),"",IF(N(Tasks[[#This Row],[_Days]])&lt;=0,Tasks[[#This Row],[_LeafLateFinish]],WORKDAY.INTL(Tasks[[#This Row],[_LeafLateFinish]],-(Tasks[[#This Row],[_Days]]-1),WorkWeek,Holidays)))</f>
        <v/>
      </c>
      <c r="FD16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6" s="42">
        <f>AND(Tasks[[#This Row],[_IsLeaf]]=1,Tasks[[#This Row],[_LeafProgress]]&lt;1,N(Tasks[[#This Row],[_LeafTotalSlack]])&lt;=CriticalSlackDays)</f>
        <v/>
      </c>
      <c r="FF166" s="42">
        <f>IF(AND(Tasks[[#This Row],[_IsLeaf]]=1,Tasks[[#This Row],[_ConstraintCode]]=1,Tasks[[#This Row],[Mode]]&lt;&gt;"Manual",N(Tasks[[#This Row],[Actual Start]])=0),MAX(0,N(Tasks[[#This Row],[Free Slack]])),0)</f>
        <v/>
      </c>
      <c r="FG166" s="88">
        <f>IF(NOT(Tasks[[#This Row],[_IsLeaf]]=1),"",IF(Tasks[[#This Row],[_AlapShift]]=0,Tasks[[#This Row],[_LeafCalcStart]],WORKDAY.INTL(Tasks[[#This Row],[_LeafCalcStart]],Tasks[[#This Row],[_AlapShift]],WorkWeek,Holidays)))</f>
        <v/>
      </c>
      <c r="FH166" s="88">
        <f>IF(NOT(Tasks[[#This Row],[_IsLeaf]]=1),"",IF(Tasks[[#This Row],[_AlapShift]]=0,Tasks[[#This Row],[_LeafCalcFinish]],WORKDAY.INTL(Tasks[[#This Row],[_LeafCalcFinish]],Tasks[[#This Row],[_AlapShift]],WorkWeek,Holidays)))</f>
        <v/>
      </c>
      <c r="FI166" s="88">
        <f>IF(NOT(Tasks[[#This Row],[_IsLeaf]]=1),"",IF(Tasks[[#This Row],[_AlapShift]]=0,Tasks[[#This Row],[_LeafFcstStart]],WORKDAY.INTL(Tasks[[#This Row],[_LeafFcstStart]],Tasks[[#This Row],[_AlapShift]],WorkWeek,Holidays)))</f>
        <v/>
      </c>
      <c r="FJ166" s="88">
        <f>IF(NOT(Tasks[[#This Row],[_IsLeaf]]=1),"",IF(Tasks[[#This Row],[_AlapShift]]=0,Tasks[[#This Row],[_LeafFcstFinish]],WORKDAY.INTL(Tasks[[#This Row],[_LeafFcstFinish]],Tasks[[#This Row],[_AlapShift]],WorkWeek,Holidays)))</f>
        <v/>
      </c>
      <c r="FK166" s="88">
        <f>IF(Tasks[[#This Row],[Task Name]]="","",IF(Tasks[[#This Row],[_IsSummary]],MIN(INDEX(Tasks[_ShownCalcStart],Tasks[[#This Row],[_Row]]+1):INDEX(Tasks[_ShownCalcStart],Tasks[[#This Row],[_Row]]+Tasks[[#This Row],[_Descendants]])),Tasks[[#This Row],[_ShownCalcStart]]))</f>
        <v/>
      </c>
      <c r="FL166" s="88">
        <f>IF(Tasks[[#This Row],[Task Name]]="","",IF(Tasks[[#This Row],[_IsSummary]],MAX(INDEX(Tasks[_ShownCalcFinish],Tasks[[#This Row],[_Row]]+1):INDEX(Tasks[_ShownCalcFinish],Tasks[[#This Row],[_Row]]+Tasks[[#This Row],[_Descendants]])),Tasks[[#This Row],[_ShownCalcFinish]]))</f>
        <v/>
      </c>
      <c r="FM16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6" s="42">
        <f>IF(AND(Tasks[[#This Row],[_IsLeaf]]=1,Tasks[[#This Row],[_LeafTotalWork]]&gt;0),NETWORKDAYS.INTL(ProjectStart,Tasks[[#This Row],[_ShownFcstStart]],WorkWeek,Holidays),0)</f>
        <v/>
      </c>
      <c r="FZ166" s="42">
        <f>IF(AND(Tasks[[#This Row],[_IsLeaf]]=1,Tasks[[#This Row],[_LeafTotalWork]]&gt;0),MAX(Tasks[[#This Row],[_StartWorkday]],NETWORKDAYS.INTL(ProjectStart,Tasks[[#This Row],[_ShownFcstFinish]],WorkWeek,Holidays)),0)</f>
        <v/>
      </c>
      <c r="GA166" s="42">
        <f>IF(AND(Tasks[[#This Row],[_IsLeaf]]=1,Tasks[[#This Row],[_LeafTotalWork]]&gt;0),Tasks[[#This Row],[_LeafWork]]/(Tasks[[#This Row],[_FinishWorkday]]-Tasks[[#This Row],[_StartWorkday]]+1),0)</f>
        <v/>
      </c>
      <c r="GB166" s="42">
        <f>Tasks[[#This Row],[_WorkPerWorkday]]*(Tasks[[#This Row],[_StartWorkday]]-1)</f>
        <v/>
      </c>
      <c r="GC166" s="42">
        <f>IF(Tasks[[#This Row],[_IsLeaf]]=1,MAX(N(Tasks[[#This Row],[_Days]]),0.1),0)</f>
        <v/>
      </c>
      <c r="GD166" s="42">
        <f>Tasks[[#This Row],[_WeightDur]]*Tasks[[#This Row],[_LeafProgress]]</f>
        <v/>
      </c>
      <c r="GE166" s="42">
        <f>Tasks[[#This Row],[_WeightDur]]*Tasks[[#This Row],[_PlannedPct]]</f>
        <v/>
      </c>
      <c r="GF16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6" s="42">
        <f>IF(AND(Tasks[[#This Row],[_IsLeaf]]=1,N(Tasks[[#This Row],[_Days]])=0,Tasks[[#This Row],[_LeafProgress]]&lt;1),Tasks[[#This Row],[_ShownFcstFinish]]+Tasks[[#This Row],[_Row]]/100000,"")</f>
        <v/>
      </c>
      <c r="GH16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6" s="42">
        <f>IF(Tasks[[#This Row],[Task Name]]="","",LEFT(Tasks[[#This Row],[WBS]],FIND(".",Tasks[[#This Row],[WBS]]&amp;".")-1))</f>
        <v/>
      </c>
      <c r="GJ166" s="42">
        <f>IF(AND(Tasks[[#This Row],[Task Name]]&lt;&gt;"",Tasks[[#This Row],[_Level]]=1),Tasks[[#This Row],[_Row]],"")</f>
        <v/>
      </c>
      <c r="GK166" s="42">
        <f>IF(AND(Tasks[[#This Row],[_IsLeaf]]=1,N(Tasks[[#This Row],[_Days]])=0),Tasks[[#This Row],[Planned Finish]]+Tasks[[#This Row],[_Row]]/100000,"")</f>
        <v/>
      </c>
      <c r="GL166" s="42">
        <f>IF(AND(Tasks[[#This Row],[_IsLeaf]]=1,Tasks[[#This Row],[_LeafProgress]]&lt;1,OR(N(Tasks[[#This Row],[Finish Var]])&gt;0,Tasks[[#This Row],[Status]]="Late Start")),MAX(0,Tasks[[#This Row],[Finish Var]])+1-Tasks[[#This Row],[_Row]]/1000000,"")</f>
        <v/>
      </c>
      <c r="GM166" s="42">
        <f>IF(AND(Tasks[[#This Row],[_IsLeaf]]=1,N(Tasks[[#This Row],[Actual Start]])=0,Tasks[[#This Row],[_ShownFcstStart]]&gt;=StatusDate,Tasks[[#This Row],[_ShownFcstStart]]&lt;=LookaheadEnd),Tasks[[#This Row],[_ShownFcstStart]]+Tasks[[#This Row],[_Row]]/100000,"")</f>
        <v/>
      </c>
      <c r="GN166" s="42">
        <f>IF(AND(Tasks[[#This Row],[_IsLeaf]]=1,Tasks[[#This Row],[_LeafProgress]]&lt;1,Tasks[[#This Row],[_ShownFcstFinish]]&gt;=StatusDate,Tasks[[#This Row],[_ShownFcstFinish]]&lt;=LookaheadEnd),Tasks[[#This Row],[_ShownFcstFinish]]+Tasks[[#This Row],[_Row]]/100000,"")</f>
        <v/>
      </c>
      <c r="GO166" s="42">
        <f>IF(Tasks[[#This Row],[_LeafCritical]],Tasks[[#This Row],[_ShownFcstStart]]+Tasks[[#This Row],[_Row]]/100000,"")</f>
        <v/>
      </c>
      <c r="GP166" s="42">
        <f>Tasks[[#This Row],[_LeafWork]]*Tasks[[#This Row],[_LeafProgress]]</f>
        <v/>
      </c>
      <c r="GQ166" s="88">
        <f>IF(AND(Tasks[[#This Row],[_IsLeaf]]=1,Tasks[[#This Row],[_LeafProgress]]&gt;=1),IF(N(Tasks[[#This Row],[Actual Finish]])&gt;0,Tasks[[#This Row],[Actual Finish]],Tasks[[#This Row],[_ShownFcstFinish]]),"")</f>
        <v/>
      </c>
      <c r="GR166" s="42">
        <f>IF(Tasks[[#This Row],[_IsLeaf]]=1,N(Tasks[[#This Row],[Story Points]]),0)</f>
        <v/>
      </c>
      <c r="GS166" s="42">
        <f>""</f>
        <v/>
      </c>
      <c r="GT166" s="42">
        <f>IF(Tasks[[#This Row],[Task Name]]="",FALSE(),AND(Tasks[[#This Row],[_IsLeaf]]=1,N(Tasks[[#This Row],[_Days]])=0))</f>
        <v/>
      </c>
      <c r="GU166" s="88">
        <f>IF(Tasks[[#This Row],[Task Name]]="",0,IF(AND(Tasks[[#This Row],[_IsLeaf]]=1,NOT(Tasks[[#This Row],[_IsMilestone]]),N(Tasks[[#This Row],[Progress]])&gt;0),Tasks[[#This Row],[Start]],0))</f>
        <v/>
      </c>
      <c r="GV166" s="88">
        <f>IF(Tasks[[#This Row],[_DoneFrom]]=0,0,IF(Tasks[[#This Row],[Progress]]&gt;=1,Tasks[[#This Row],[Finish]],MAX(Tasks[[#This Row],[_DoneFrom]],Tasks[[#This Row],[Start]]+ROUND((Tasks[[#This Row],[Finish]]-Tasks[[#This Row],[Start]]+1)*Tasks[[#This Row],[Progress]],0)-1)))</f>
        <v/>
      </c>
      <c r="GW166" s="88">
        <f>IF(Tasks[[#This Row],[Task Name]]="",0,IF(OR(NOT(Tasks[[#This Row],[_IsLeaf]]=1),Tasks[[#This Row],[_IsMilestone]],N(Tasks[[#This Row],[Progress]])&gt;=1),0,IF(Tasks[[#This Row],[_DoneTo]]&gt;0,Tasks[[#This Row],[_DoneTo]]+1,Tasks[[#This Row],[Start]])))</f>
        <v/>
      </c>
      <c r="GX166" s="88">
        <f>IF(Tasks[[#This Row],[_RemFrom]]=0,0,Tasks[[#This Row],[Finish]])</f>
        <v/>
      </c>
      <c r="GY166" s="42">
        <f>IF(Tasks[[#This Row],[Task Name]]="",FALSE(),OR(NOT(BaselineSet),N(Tasks[[#This Row],[Baseline Start]])&gt;0))</f>
        <v/>
      </c>
      <c r="GZ166" s="42">
        <f>IF(AND(Sandbox="Yes",L_PARSE_DURATION(Tasks[[#This Row],[Sandbox Duration]])&lt;&gt;""),L_PARSE_DURATION(Tasks[[#This Row],[Sandbox Duration]]),L_PARSE_DURATION(Tasks[[#This Row],[Duration]]))</f>
        <v/>
      </c>
      <c r="HA16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6" s="42">
        <f>IF(Tasks[[#This Row],[_IsLeaf]]=1,Tasks[[#This Row],[_Row]],"")</f>
        <v/>
      </c>
      <c r="HD166" s="42">
        <f>IFERROR(INDEX(Tasks[UID],SMALL(Tasks[_PickKey],Tasks[[#This Row],[_Row]]))&amp;" "&amp;INDEX(Tasks[Task Name],SMALL(Tasks[_PickKey],Tasks[[#This Row],[_Row]])),"")</f>
        <v/>
      </c>
      <c r="HE166" s="42">
        <f>IF(Tasks[[#This Row],[Task Name]]="","",IF(Tasks[[#This Row],[_IsSummary]],NETWORKDAYS.INTL(Tasks[[#This Row],[Start]],Tasks[[#This Row],[Finish]],WorkWeek,Holidays),N(Tasks[[#This Row],[_Days]])))</f>
        <v/>
      </c>
      <c r="HF166" s="42">
        <f>IF(Tasks[[#This Row],[Expected]]="",0,((Tasks[[#This Row],[Pessimistic]]-Tasks[[#This Row],[Optimistic]])/6)^2)</f>
        <v/>
      </c>
      <c r="HG166" s="42">
        <f>IF(Tasks[[#This Row],[Expected]]="",0,Tasks[[#This Row],[Expected]]-N(Tasks[[#This Row],[_Days]]))</f>
        <v/>
      </c>
    </row>
    <row r="167">
      <c r="A167" s="21">
        <f>IF(Tasks[[#This Row],[Task Name]]="","",COUNTA(Tasks[[#Headers],[Task Name]]:Tasks[[#This Row],[Task Name]])-1)</f>
        <v/>
      </c>
      <c r="B167" s="22" t="n">
        <v>175</v>
      </c>
      <c r="C167" s="22" t="n"/>
      <c r="D167" s="23" t="n"/>
      <c r="E167" s="22" t="n"/>
      <c r="F167" s="23" t="n"/>
      <c r="G167" s="22" t="n"/>
      <c r="H167" s="22" t="n"/>
      <c r="I167" s="23" t="n"/>
      <c r="J167" s="22" t="n"/>
      <c r="K167" s="22" t="n"/>
      <c r="L167" s="23" t="n"/>
      <c r="M167" s="22" t="n"/>
      <c r="N167" s="22" t="n"/>
      <c r="O167" s="23" t="n"/>
      <c r="P167" s="22" t="n"/>
      <c r="Q167" s="22" t="n"/>
      <c r="R167" s="23" t="n"/>
      <c r="S167" s="23" t="n"/>
      <c r="T167" s="82" t="n"/>
      <c r="U167" s="23" t="n"/>
      <c r="V167" s="82" t="n"/>
      <c r="W167" s="23" t="n"/>
      <c r="X167" s="82" t="n"/>
      <c r="Y167" s="23" t="n"/>
      <c r="Z167" s="82" t="n"/>
      <c r="AA167" s="23" t="n"/>
      <c r="AB167" s="23" t="n"/>
      <c r="AC167" s="7" t="n"/>
      <c r="AD167" s="7" t="n"/>
      <c r="AE167" s="61">
        <f>IF(Tasks[[#This Row],[Task Name]]="","",IF(Tasks[[#This Row],[_IsSummary]],MIN(INDEX(Tasks[_ShownFcstStart],Tasks[[#This Row],[_Row]]+1):INDEX(Tasks[_ShownFcstStart],Tasks[[#This Row],[_Row]]+Tasks[[#This Row],[_Descendants]])),Tasks[[#This Row],[_ShownFcstStart]]))</f>
        <v/>
      </c>
      <c r="AF167" s="61">
        <f>IF(Tasks[[#This Row],[Task Name]]="","",IF(Tasks[[#This Row],[_IsSummary]],MAX(INDEX(Tasks[_ShownFcstFinish],Tasks[[#This Row],[_Row]]+1):INDEX(Tasks[_ShownFcstFinish],Tasks[[#This Row],[_Row]]+Tasks[[#This Row],[_Descendants]])),Tasks[[#This Row],[_ShownFcstFinish]]))</f>
        <v/>
      </c>
      <c r="AG167" s="21">
        <f>""</f>
        <v/>
      </c>
      <c r="AH167" s="23" t="n"/>
      <c r="AI16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7" s="7" t="n"/>
      <c r="AK167" s="22" t="n"/>
      <c r="AL167" s="23" t="n"/>
      <c r="AM167" s="7" t="n"/>
      <c r="AN167" s="21">
        <f>IF(Tasks[[#This Row],[Task Name]]="","",IF(Tasks[[#This Row],[Finish]]&gt;=Tasks[[#This Row],[Planned Finish]],NETWORKDAYS.INTL(Tasks[[#This Row],[Planned Finish]],Tasks[[#This Row],[Finish]],WorkWeek,Holidays)-1,1-NETWORKDAYS.INTL(Tasks[[#This Row],[Finish]],Tasks[[#This Row],[Planned Finish]],WorkWeek,Holidays)))</f>
        <v/>
      </c>
      <c r="AO167" s="21">
        <f>IF(Tasks[[#This Row],[Task Name]]="","",IF(Tasks[[#This Row],[Progress]]&gt;=1,"Complete",IF(OR(N(Tasks[[#This Row],[Actual Start]])&gt;0,Tasks[[#This Row],[Progress]]&gt;0),IF(Tasks[[#This Row],[Finish Var]]&gt;0,"Behind","In Progress"),IF(Tasks[[#This Row],[Planned Start]]&lt;StatusDate,"Late Start","Not Started"))))</f>
        <v/>
      </c>
      <c r="AP167" s="21">
        <f>IF(Tasks[[#This Row],[Task Name]]="","",IF(IF(Tasks[[#This Row],[_IsSummary]],COUNTIF(INDEX(Tasks[_LeafCritical],Tasks[[#This Row],[_Row]]+1):INDEX(Tasks[_LeafCritical],Tasks[[#This Row],[_Row]]+Tasks[[#This Row],[_Descendants]]),TRUE())&gt;0,Tasks[[#This Row],[_LeafCritical]]),"Yes",""))</f>
        <v/>
      </c>
      <c r="AQ167" s="61">
        <f>IF(Tasks[[#This Row],[Task Name]]="","",IF(N(Tasks[[#This Row],[Baseline Start]])&gt;0,Tasks[[#This Row],[Baseline Start]],Tasks[[#This Row],[_CalcStart]]))</f>
        <v/>
      </c>
      <c r="AR167" s="61">
        <f>IF(Tasks[[#This Row],[Task Name]]="","",IF(N(Tasks[[#This Row],[Baseline Finish]])&gt;0,Tasks[[#This Row],[Baseline Finish]],Tasks[[#This Row],[_CalcFinish]]))</f>
        <v/>
      </c>
      <c r="AS167" s="21">
        <f>IF(Tasks[[#This Row],[Task Name]]="","",IF(Tasks[[#This Row],[Start]]&gt;=Tasks[[#This Row],[Planned Start]],NETWORKDAYS.INTL(Tasks[[#This Row],[Planned Start]],Tasks[[#This Row],[Start]],WorkWeek,Holidays)-1,1-NETWORKDAYS.INTL(Tasks[[#This Row],[Start]],Tasks[[#This Row],[Planned Start]],WorkWeek,Holidays)))</f>
        <v/>
      </c>
      <c r="AT167" s="61">
        <f>IF(Tasks[[#This Row],[Task Name]]="","",IF(Tasks[[#This Row],[_IsSummary]],MIN(INDEX(Tasks[_LeafLateStart],Tasks[[#This Row],[_Row]]+1):INDEX(Tasks[_LeafLateStart],Tasks[[#This Row],[_Row]]+Tasks[[#This Row],[_Descendants]])),Tasks[[#This Row],[_LeafLateStart]]))</f>
        <v/>
      </c>
      <c r="AU167" s="61">
        <f>IF(Tasks[[#This Row],[Task Name]]="","",IF(Tasks[[#This Row],[_IsSummary]],MAX(INDEX(Tasks[_LeafLateFinish],Tasks[[#This Row],[_Row]]+1):INDEX(Tasks[_LeafLateFinish],Tasks[[#This Row],[_Row]]+Tasks[[#This Row],[_Descendants]])),Tasks[[#This Row],[_LeafLateFinish]]))</f>
        <v/>
      </c>
      <c r="AV167" s="21">
        <f>IF(Tasks[[#This Row],[Task Name]]="","",IF(Tasks[[#This Row],[_IsSummary]],MIN(INDEX(Tasks[_LeafTotalSlack],Tasks[[#This Row],[_Row]]+1):INDEX(Tasks[_LeafTotalSlack],Tasks[[#This Row],[_Row]]+Tasks[[#This Row],[_Descendants]])),Tasks[[#This Row],[_LeafTotalSlack]]))</f>
        <v/>
      </c>
      <c r="AW16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3" t="n"/>
      <c r="BA16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f>IF(Tasks[[#This Row],[Task Name]]="","",IF(Tasks[[#This Row],[_Level]]&lt;=OutlineShowLevel,"Yes","No"))</f>
        <v/>
      </c>
      <c r="BE167" s="84">
        <f>IF(Tasks[[#This Row],[Task Name]]="","",IF(Tasks[[#This Row],[_IsSummary]],SUM(INDEX(Tasks[_LeafTotalWork],Tasks[[#This Row],[_Row]]+1):INDEX(Tasks[_LeafTotalWork],Tasks[[#This Row],[_Row]]+Tasks[[#This Row],[_Descendants]])),Tasks[[#This Row],[_LeafTotalWork]]))</f>
        <v/>
      </c>
      <c r="BF167" s="23" t="n"/>
      <c r="BG16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f>""</f>
        <v/>
      </c>
      <c r="BI167" s="85" t="n"/>
      <c r="BJ167" s="22" t="n"/>
      <c r="BK167" s="21">
        <f>IF(OR(Tasks[[#This Row],[Task Name]]="",Tasks[[#This Row],[Baseline Duration]]=""),"",Tasks[[#This Row],[_SpanDays]]-N(Tasks[[#This Row],[Baseline Duration]]))</f>
        <v/>
      </c>
      <c r="BL167" s="84">
        <f>IF(OR(Tasks[[#This Row],[Task Name]]="",Tasks[[#This Row],[Baseline Work]]=""),"",Tasks[[#This Row],[Work]]-N(Tasks[[#This Row],[Baseline Work]]))</f>
        <v/>
      </c>
      <c r="BM167" s="61">
        <f>IF(Tasks[[#This Row],[Task Name]]="","",IF(OR(TakeBaseline="Yes",N(Tasks[[#This Row],[Baseline Start]])=0),Tasks[[#This Row],[Start]],Tasks[[#This Row],[Baseline Start]]))</f>
        <v/>
      </c>
      <c r="BN167" s="61">
        <f>IF(Tasks[[#This Row],[Task Name]]="","",IF(OR(TakeBaseline="Yes",N(Tasks[[#This Row],[Baseline Finish]])=0),Tasks[[#This Row],[Finish]],Tasks[[#This Row],[Baseline Finish]]))</f>
        <v/>
      </c>
      <c r="BO167" s="21">
        <f>IF(Tasks[[#This Row],[Task Name]]="","",IF(OR(TakeBaseline="Yes",N(Tasks[[#This Row],[Baseline Duration]])=0),Tasks[[#This Row],[_SpanDays]],Tasks[[#This Row],[Baseline Duration]]))</f>
        <v/>
      </c>
      <c r="BP167" s="84">
        <f>IF(Tasks[[#This Row],[Task Name]]="","",IF(OR(TakeBaseline="Yes",N(Tasks[[#This Row],[Baseline Work]])=0),Tasks[[#This Row],[Work]],Tasks[[#This Row],[Baseline Work]]))</f>
        <v/>
      </c>
      <c r="BQ167" s="7" t="n"/>
      <c r="BR167" s="7" t="n"/>
      <c r="BS167" s="22" t="n"/>
      <c r="BT167" s="86" t="n"/>
      <c r="BU167" s="23" t="n"/>
      <c r="BV167" s="23" t="n"/>
      <c r="BW167" s="23" t="n"/>
      <c r="BX167" s="87">
        <f>IF(AND(Tasks[[#This Row],[_IsLeaf]]=1,ISNUMBER(Tasks[[#This Row],[Optimistic]]),ISNUMBER(Tasks[[#This Row],[Pessimistic]])),ROUND((Tasks[[#This Row],[Optimistic]]+4*N(Tasks[[#This Row],[_Days]])+Tasks[[#This Row],[Pessimistic]])/6,1),"")</f>
        <v/>
      </c>
      <c r="BY167" s="85" t="n"/>
      <c r="BZ167" s="85" t="n"/>
      <c r="CA167" s="22" t="n"/>
      <c r="CB167" s="42">
        <f>IF(Tasks[[#This Row],[Task Name]]="","",MAX(1,N(Tasks[[#This Row],[Level]])))</f>
        <v/>
      </c>
      <c r="CC167" s="42">
        <f>ROW()-ROW(Tasks[[#Headers],[ID]])</f>
        <v/>
      </c>
      <c r="CD167" s="42">
        <f>IF(OR(Tasks[[#This Row],[Task Name]]="",Tasks[[#This Row],[_Level]]&lt;=1),0,IFERROR(LOOKUP(2,1/(Tasks[[#Headers],[_Level]]:Tasks[[#This Row],[_Level]]=Tasks[[#This Row],[_Level]]-1),ROW(Tasks[[#Headers],[_Level]]:Tasks[[#This Row],[_Level]])),0))</f>
        <v/>
      </c>
      <c r="CE167" s="42">
        <f>IFERROR(N(INDEX(Tasks[_Level],Tasks[[#This Row],[_Row]]+1)),0)</f>
        <v/>
      </c>
      <c r="CF167" s="42">
        <f>AND(Tasks[[#This Row],[Task Name]]&lt;&gt;"",Tasks[[#This Row],[_NextLevel]]&gt;Tasks[[#This Row],[_Level]])</f>
        <v/>
      </c>
      <c r="CG167" s="42">
        <f>IF(Tasks[[#This Row],[_IsSummary]],COUNTIF(Tasks[WBS],Tasks[[#This Row],[WBS]]&amp;".*"),0)</f>
        <v/>
      </c>
      <c r="CH167" s="42">
        <f>IF(AND(Tasks[[#This Row],[Task Name]]&lt;&gt;"",NOT(Tasks[[#This Row],[_IsSummary]])),1,0)</f>
        <v/>
      </c>
      <c r="CI167" s="42">
        <f>IF(N(Tasks[[#This Row],[_Pred1UID]])=0,0,IFERROR(MATCH(Tasks[[#This Row],[_Pred1UID]],Tasks[UID],0),-1))</f>
        <v/>
      </c>
      <c r="CJ167" s="42">
        <f>IF(N(Tasks[[#This Row],[_Pred2UID]])=0,0,IFERROR(MATCH(Tasks[[#This Row],[_Pred2UID]],Tasks[UID],0),-1))</f>
        <v/>
      </c>
      <c r="CK167" s="42">
        <f>IF(N(Tasks[[#This Row],[_Pred3UID]])=0,0,IFERROR(MATCH(Tasks[[#This Row],[_Pred3UID]],Tasks[UID],0),-1))</f>
        <v/>
      </c>
      <c r="CL167" s="42">
        <f>IF(N(Tasks[[#This Row],[_Pred4UID]])=0,0,IFERROR(MATCH(Tasks[[#This Row],[_Pred4UID]],Tasks[UID],0),-1))</f>
        <v/>
      </c>
      <c r="CM16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7" s="88">
        <f>IF(N(Tasks[[#This Row],[Constraint Date]])=0,0,IF(AND(OR(Tasks[[#This Row],[_ConstraintCode]]=3,Tasks[[#This Row],[_ConstraintCode]]=6,Tasks[[#This Row],[_ConstraintCode]]=7),N(Tasks[[#This Row],[_Days]])&gt;1),WORKDAY.INTL(N(Tasks[[#This Row],[Constraint Date]]),-(N(Tasks[[#This Row],[_Days]])-1),WorkWeek,Holidays),N(Tasks[[#This Row],[Constraint Date]])))</f>
        <v/>
      </c>
      <c r="CO167" s="88">
        <f>IF(OR(Tasks[[#This Row],[_ConstraintCode]]=2,Tasks[[#This Row],[_ConstraintCode]]=3,Tasks[[#This Row],[_ConstraintCode]]=4,Tasks[[#This Row],[_ConstraintCode]]=6),Tasks[[#This Row],[_ConstraintStart]],0)</f>
        <v/>
      </c>
      <c r="CP167" s="88">
        <f>IF(OR(Tasks[[#This Row],[_ConstraintCode]]=2,Tasks[[#This Row],[_ConstraintCode]]=3,Tasks[[#This Row],[_ConstraintCode]]=5,Tasks[[#This Row],[_ConstraintCode]]=7),Tasks[[#This Row],[_ConstraintStart]],2958465)</f>
        <v/>
      </c>
      <c r="CQ16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7" s="88">
        <f>IF(NOT(Tasks[[#This Row],[_IsLeaf]]=1),"",IF(N(Tasks[[#This Row],[_Days]])&lt;=0,Tasks[[#This Row],[_LeafCalcStart]],WORKDAY.INTL(Tasks[[#This Row],[_LeafCalcStart]],Tasks[[#This Row],[_Days]]-1,WorkWeek,Holidays)))</f>
        <v/>
      </c>
      <c r="CS16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7" s="42">
        <f>IF(Tasks[[#This Row],[_Predecessors]]="","",TRIM(MID(SUBSTITUTE(SUBSTITUTE(SUBSTITUTE(UPPER(Tasks[[#This Row],[_Predecessors]]),";",",")," ",""),",",REPT(" ",99)),1,99)))</f>
        <v/>
      </c>
      <c r="CV167" s="42">
        <f>IF(Tasks[[#This Row],[_Pred1Text]]="","",IFERROR(VALUE(LEFT(Tasks[[#This Row],[_Pred1Text]],MIN(FIND("F",Tasks[[#This Row],[_Pred1Text]]&amp;"F"),FIND("S",Tasks[[#This Row],[_Pred1Text]]&amp;"S"),FIND("+",Tasks[[#This Row],[_Pred1Text]]&amp;"+"),FIND("-",Tasks[[#This Row],[_Pred1Text]]&amp;"-"))-1)),""))</f>
        <v/>
      </c>
      <c r="CW16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7" s="42">
        <f>IF(Tasks[[#This Row],[_Pred1Text]]="","",TRIM(MID(SUBSTITUTE(SUBSTITUTE(SUBSTITUTE(UPPER(Tasks[[#This Row],[_Predecessors]]),";",",")," ",""),",",REPT(" ",99)),100,99)))</f>
        <v/>
      </c>
      <c r="CZ167" s="42">
        <f>IF(Tasks[[#This Row],[_Pred2Text]]="","",IFERROR(VALUE(LEFT(Tasks[[#This Row],[_Pred2Text]],MIN(FIND("F",Tasks[[#This Row],[_Pred2Text]]&amp;"F"),FIND("S",Tasks[[#This Row],[_Pred2Text]]&amp;"S"),FIND("+",Tasks[[#This Row],[_Pred2Text]]&amp;"+"),FIND("-",Tasks[[#This Row],[_Pred2Text]]&amp;"-"))-1)),""))</f>
        <v/>
      </c>
      <c r="DA16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7" s="42">
        <f>IF(Tasks[[#This Row],[_Pred2Text]]="","",TRIM(MID(SUBSTITUTE(SUBSTITUTE(SUBSTITUTE(UPPER(Tasks[[#This Row],[_Predecessors]]),";",",")," ",""),",",REPT(" ",99)),199,99)))</f>
        <v/>
      </c>
      <c r="DD167" s="42">
        <f>IF(Tasks[[#This Row],[_Pred3Text]]="","",IFERROR(VALUE(LEFT(Tasks[[#This Row],[_Pred3Text]],MIN(FIND("F",Tasks[[#This Row],[_Pred3Text]]&amp;"F"),FIND("S",Tasks[[#This Row],[_Pred3Text]]&amp;"S"),FIND("+",Tasks[[#This Row],[_Pred3Text]]&amp;"+"),FIND("-",Tasks[[#This Row],[_Pred3Text]]&amp;"-"))-1)),""))</f>
        <v/>
      </c>
      <c r="DE16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7" s="42">
        <f>IF(Tasks[[#This Row],[_Pred3Text]]="","",TRIM(MID(SUBSTITUTE(SUBSTITUTE(SUBSTITUTE(UPPER(Tasks[[#This Row],[_Predecessors]]),";",",")," ",""),",",REPT(" ",99)),298,99)))</f>
        <v/>
      </c>
      <c r="DH167" s="42">
        <f>IF(Tasks[[#This Row],[_Pred4Text]]="","",IFERROR(VALUE(LEFT(Tasks[[#This Row],[_Pred4Text]],MIN(FIND("F",Tasks[[#This Row],[_Pred4Text]]&amp;"F"),FIND("S",Tasks[[#This Row],[_Pred4Text]]&amp;"S"),FIND("+",Tasks[[#This Row],[_Pred4Text]]&amp;"+"),FIND("-",Tasks[[#This Row],[_Pred4Text]]&amp;"-"))-1)),""))</f>
        <v/>
      </c>
      <c r="DI16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7" s="42">
        <f>IF(OR(Tasks[[#This Row],[Task Name]]="",Tasks[[#This Row],[_Resources]]=""),"",TRIM(MID(SUBSTITUTE(Tasks[[#This Row],[_Resources]],",",REPT(" ",99)),1,99)))</f>
        <v/>
      </c>
      <c r="DL167" s="42">
        <f>IF(Tasks[[#This Row],[_Res1Text]]="","",TRIM(MID(SUBSTITUTE(Tasks[[#This Row],[_Resources]],",",REPT(" ",99)),100,99)))</f>
        <v/>
      </c>
      <c r="DM167" s="42">
        <f>IF(Tasks[[#This Row],[_Res2Text]]="","",TRIM(MID(SUBSTITUTE(Tasks[[#This Row],[_Resources]],",",REPT(" ",99)),199,99)))</f>
        <v/>
      </c>
      <c r="DN167" s="42">
        <f>IF(Tasks[[#This Row],[_Res3Text]]="","",TRIM(MID(SUBSTITUTE(Tasks[[#This Row],[_Resources]],",",REPT(" ",99)),298,99)))</f>
        <v/>
      </c>
      <c r="DO167" s="42">
        <f>IF(Tasks[[#This Row],[_Res1Text]]="",0,IFERROR(MATCH(TRIM(LEFT(Tasks[[#This Row],[_Res1Text]],FIND("[",Tasks[[#This Row],[_Res1Text]]&amp;"[")-1)),res_Name,0),IFERROR(MATCH(TRIM(LEFT(Tasks[[#This Row],[_Res1Text]],FIND("[",Tasks[[#This Row],[_Res1Text]]&amp;"[")-1)),res_Initials,0),0)))</f>
        <v/>
      </c>
      <c r="DP167" s="42">
        <f>IF(Tasks[[#This Row],[_Res2Text]]="",0,IFERROR(MATCH(TRIM(LEFT(Tasks[[#This Row],[_Res2Text]],FIND("[",Tasks[[#This Row],[_Res2Text]]&amp;"[")-1)),res_Name,0),IFERROR(MATCH(TRIM(LEFT(Tasks[[#This Row],[_Res2Text]],FIND("[",Tasks[[#This Row],[_Res2Text]]&amp;"[")-1)),res_Initials,0),0)))</f>
        <v/>
      </c>
      <c r="DQ167" s="42">
        <f>IF(Tasks[[#This Row],[_Res3Text]]="",0,IFERROR(MATCH(TRIM(LEFT(Tasks[[#This Row],[_Res3Text]],FIND("[",Tasks[[#This Row],[_Res3Text]]&amp;"[")-1)),res_Name,0),IFERROR(MATCH(TRIM(LEFT(Tasks[[#This Row],[_Res3Text]],FIND("[",Tasks[[#This Row],[_Res3Text]]&amp;"[")-1)),res_Initials,0),0)))</f>
        <v/>
      </c>
      <c r="DR167" s="42">
        <f>IF(Tasks[[#This Row],[_Res4Text]]="",0,IFERROR(MATCH(TRIM(LEFT(Tasks[[#This Row],[_Res4Text]],FIND("[",Tasks[[#This Row],[_Res4Text]]&amp;"[")-1)),res_Name,0),IFERROR(MATCH(TRIM(LEFT(Tasks[[#This Row],[_Res4Text]],FIND("[",Tasks[[#This Row],[_Res4Text]]&amp;"[")-1)),res_Initials,0),0)))</f>
        <v/>
      </c>
      <c r="DS167" s="42">
        <f>IF(Tasks[[#This Row],[_Res1Text]]="","",IF(Tasks[[#This Row],[_Res1Row]]&gt;0,INDEX(res_Name,Tasks[[#This Row],[_Res1Row]]),TRIM(LEFT(Tasks[[#This Row],[_Res1Text]],FIND("[",Tasks[[#This Row],[_Res1Text]]&amp;"[")-1))))</f>
        <v/>
      </c>
      <c r="DT16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7" s="42">
        <f>IF(NOT(Tasks[[#This Row],[_IsLeaf]]=1),0,(Tasks[[#This Row],[_Resource1]]&lt;&gt;"")+(Tasks[[#This Row],[_Res2]]&lt;&gt;"")+(Tasks[[#This Row],[_Res3]]&lt;&gt;"")+(Tasks[[#This Row],[_Res4]]&lt;&gt;""))</f>
        <v/>
      </c>
      <c r="DV167" s="42">
        <f>IF(Tasks[[#This Row],[_Res2Text]]="","",IF(Tasks[[#This Row],[_Res2Row]]&gt;0,INDEX(res_Name,Tasks[[#This Row],[_Res2Row]]),TRIM(LEFT(Tasks[[#This Row],[_Res2Text]],FIND("[",Tasks[[#This Row],[_Res2Text]]&amp;"[")-1))))</f>
        <v/>
      </c>
      <c r="DW16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7" s="42">
        <f>IF(OR(NOT(Tasks[[#This Row],[_IsLeaf]]=1),Tasks[[#This Row],[_Res2Row]]=0),0,N(Tasks[[#This Row],[_Days]])*HoursPerDay*IF(Tasks[[#This Row],[_Res2Units]]="",DefaultUnits,Tasks[[#This Row],[_Res2Units]]))</f>
        <v/>
      </c>
      <c r="DY167" s="42">
        <f>IF(AND(AND(Tasks[[#This Row],[_IsLeaf]]=1,Tasks[[#This Row],[_LeafTotalWork]]&gt;0),Tasks[[#This Row],[_Res2Work]]&gt;0),Tasks[[#This Row],[_Res2Work]]/(Tasks[[#This Row],[_FinishWorkday]]-Tasks[[#This Row],[_StartWorkday]]+1),0)</f>
        <v/>
      </c>
      <c r="DZ167" s="42">
        <f>Tasks[[#This Row],[_Res2WorkPerWD]]*MAX(0,Tasks[[#This Row],[_StartWorkday]]-1)</f>
        <v/>
      </c>
      <c r="EA167" s="42">
        <f>Tasks[[#This Row],[_Res2Work]]*Tasks[[#This Row],[_LeafProgress]]</f>
        <v/>
      </c>
      <c r="EB167" s="42">
        <f>IF(Tasks[[#This Row],[_Res3Text]]="","",IF(Tasks[[#This Row],[_Res3Row]]&gt;0,INDEX(res_Name,Tasks[[#This Row],[_Res3Row]]),TRIM(LEFT(Tasks[[#This Row],[_Res3Text]],FIND("[",Tasks[[#This Row],[_Res3Text]]&amp;"[")-1))))</f>
        <v/>
      </c>
      <c r="EC16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7" s="42">
        <f>IF(OR(NOT(Tasks[[#This Row],[_IsLeaf]]=1),Tasks[[#This Row],[_Res3Row]]=0),0,N(Tasks[[#This Row],[_Days]])*HoursPerDay*IF(Tasks[[#This Row],[_Res3Units]]="",DefaultUnits,Tasks[[#This Row],[_Res3Units]]))</f>
        <v/>
      </c>
      <c r="EE167" s="42">
        <f>IF(AND(AND(Tasks[[#This Row],[_IsLeaf]]=1,Tasks[[#This Row],[_LeafTotalWork]]&gt;0),Tasks[[#This Row],[_Res3Work]]&gt;0),Tasks[[#This Row],[_Res3Work]]/(Tasks[[#This Row],[_FinishWorkday]]-Tasks[[#This Row],[_StartWorkday]]+1),0)</f>
        <v/>
      </c>
      <c r="EF167" s="42">
        <f>Tasks[[#This Row],[_Res3WorkPerWD]]*MAX(0,Tasks[[#This Row],[_StartWorkday]]-1)</f>
        <v/>
      </c>
      <c r="EG167" s="42">
        <f>Tasks[[#This Row],[_Res3Work]]*Tasks[[#This Row],[_LeafProgress]]</f>
        <v/>
      </c>
      <c r="EH167" s="42">
        <f>IF(Tasks[[#This Row],[_Res4Text]]="","",IF(Tasks[[#This Row],[_Res4Row]]&gt;0,INDEX(res_Name,Tasks[[#This Row],[_Res4Row]]),TRIM(LEFT(Tasks[[#This Row],[_Res4Text]],FIND("[",Tasks[[#This Row],[_Res4Text]]&amp;"[")-1))))</f>
        <v/>
      </c>
      <c r="EI16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7" s="42">
        <f>IF(OR(NOT(Tasks[[#This Row],[_IsLeaf]]=1),Tasks[[#This Row],[_Res4Row]]=0),0,N(Tasks[[#This Row],[_Days]])*HoursPerDay*IF(Tasks[[#This Row],[_Res4Units]]="",DefaultUnits,Tasks[[#This Row],[_Res4Units]]))</f>
        <v/>
      </c>
      <c r="EK167" s="42">
        <f>IF(AND(AND(Tasks[[#This Row],[_IsLeaf]]=1,Tasks[[#This Row],[_LeafTotalWork]]&gt;0),Tasks[[#This Row],[_Res4Work]]&gt;0),Tasks[[#This Row],[_Res4Work]]/(Tasks[[#This Row],[_FinishWorkday]]-Tasks[[#This Row],[_StartWorkday]]+1),0)</f>
        <v/>
      </c>
      <c r="EL167" s="42">
        <f>Tasks[[#This Row],[_Res4WorkPerWD]]*MAX(0,Tasks[[#This Row],[_StartWorkday]]-1)</f>
        <v/>
      </c>
      <c r="EM167" s="42">
        <f>Tasks[[#This Row],[_Res4Work]]*Tasks[[#This Row],[_LeafProgress]]</f>
        <v/>
      </c>
      <c r="EN167" s="42">
        <f>IF(ISNUMBER(Tasks[[#This Row],[% Complete]]),Tasks[[#This Row],[% Complete]],IF(Tasks[[#This Row],[Stage]]="",0,IFERROR(INDEX(stg_Pct,MATCH(Tasks[[#This Row],[Stage]],stg_Name,0)),0)))</f>
        <v/>
      </c>
      <c r="EO167" s="42">
        <f>IF(NOT(Tasks[[#This Row],[_IsLeaf]]=1),0,IF(N(Tasks[[#This Row],[Actual Finish]])&gt;0,1,MIN(1,Tasks[[#This Row],[_Pct]])))</f>
        <v/>
      </c>
      <c r="EP167" s="42">
        <f>IF(OR(NOT(Tasks[[#This Row],[_IsLeaf]]=1),Tasks[[#This Row],[_Res1Row]]=0),0,N(Tasks[[#This Row],[_Days]])*HoursPerDay*IF(Tasks[[#This Row],[_Units1]]="",DefaultUnits,Tasks[[#This Row],[_Units1]]))</f>
        <v/>
      </c>
      <c r="EQ167" s="42">
        <f>Tasks[[#This Row],[_LeafWork]]+Tasks[[#This Row],[_Res2Work]]+Tasks[[#This Row],[_Res3Work]]+Tasks[[#This Row],[_Res4Work]]</f>
        <v/>
      </c>
      <c r="ER16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7" s="42">
        <f>IF(NOT(Tasks[[#This Row],[_IsLeaf]]=1),0,MAX(_xlfn.MAXIFS(Tasks[_Row],Tasks[_Pred1UID],Tasks[[#This Row],[UID]]),_xlfn.MAXIFS(Tasks[_Row],Tasks[_Pred2UID],Tasks[[#This Row],[UID]]),_xlfn.MAXIFS(Tasks[_Row],Tasks[_Pred3UID],Tasks[[#This Row],[UID]]),_xlfn.MAXIFS(Tasks[_Row],Tasks[_Pred4UID],Tasks[[#This Row],[UID]])))</f>
        <v/>
      </c>
      <c r="FA16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7" s="88">
        <f>IF(NOT(Tasks[[#This Row],[_IsLeaf]]=1),"",IF(N(Tasks[[#This Row],[_Days]])&lt;=0,Tasks[[#This Row],[_LeafLateFinish]],WORKDAY.INTL(Tasks[[#This Row],[_LeafLateFinish]],-(Tasks[[#This Row],[_Days]]-1),WorkWeek,Holidays)))</f>
        <v/>
      </c>
      <c r="FD16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7" s="42">
        <f>AND(Tasks[[#This Row],[_IsLeaf]]=1,Tasks[[#This Row],[_LeafProgress]]&lt;1,N(Tasks[[#This Row],[_LeafTotalSlack]])&lt;=CriticalSlackDays)</f>
        <v/>
      </c>
      <c r="FF167" s="42">
        <f>IF(AND(Tasks[[#This Row],[_IsLeaf]]=1,Tasks[[#This Row],[_ConstraintCode]]=1,Tasks[[#This Row],[Mode]]&lt;&gt;"Manual",N(Tasks[[#This Row],[Actual Start]])=0),MAX(0,N(Tasks[[#This Row],[Free Slack]])),0)</f>
        <v/>
      </c>
      <c r="FG167" s="88">
        <f>IF(NOT(Tasks[[#This Row],[_IsLeaf]]=1),"",IF(Tasks[[#This Row],[_AlapShift]]=0,Tasks[[#This Row],[_LeafCalcStart]],WORKDAY.INTL(Tasks[[#This Row],[_LeafCalcStart]],Tasks[[#This Row],[_AlapShift]],WorkWeek,Holidays)))</f>
        <v/>
      </c>
      <c r="FH167" s="88">
        <f>IF(NOT(Tasks[[#This Row],[_IsLeaf]]=1),"",IF(Tasks[[#This Row],[_AlapShift]]=0,Tasks[[#This Row],[_LeafCalcFinish]],WORKDAY.INTL(Tasks[[#This Row],[_LeafCalcFinish]],Tasks[[#This Row],[_AlapShift]],WorkWeek,Holidays)))</f>
        <v/>
      </c>
      <c r="FI167" s="88">
        <f>IF(NOT(Tasks[[#This Row],[_IsLeaf]]=1),"",IF(Tasks[[#This Row],[_AlapShift]]=0,Tasks[[#This Row],[_LeafFcstStart]],WORKDAY.INTL(Tasks[[#This Row],[_LeafFcstStart]],Tasks[[#This Row],[_AlapShift]],WorkWeek,Holidays)))</f>
        <v/>
      </c>
      <c r="FJ167" s="88">
        <f>IF(NOT(Tasks[[#This Row],[_IsLeaf]]=1),"",IF(Tasks[[#This Row],[_AlapShift]]=0,Tasks[[#This Row],[_LeafFcstFinish]],WORKDAY.INTL(Tasks[[#This Row],[_LeafFcstFinish]],Tasks[[#This Row],[_AlapShift]],WorkWeek,Holidays)))</f>
        <v/>
      </c>
      <c r="FK167" s="88">
        <f>IF(Tasks[[#This Row],[Task Name]]="","",IF(Tasks[[#This Row],[_IsSummary]],MIN(INDEX(Tasks[_ShownCalcStart],Tasks[[#This Row],[_Row]]+1):INDEX(Tasks[_ShownCalcStart],Tasks[[#This Row],[_Row]]+Tasks[[#This Row],[_Descendants]])),Tasks[[#This Row],[_ShownCalcStart]]))</f>
        <v/>
      </c>
      <c r="FL167" s="88">
        <f>IF(Tasks[[#This Row],[Task Name]]="","",IF(Tasks[[#This Row],[_IsSummary]],MAX(INDEX(Tasks[_ShownCalcFinish],Tasks[[#This Row],[_Row]]+1):INDEX(Tasks[_ShownCalcFinish],Tasks[[#This Row],[_Row]]+Tasks[[#This Row],[_Descendants]])),Tasks[[#This Row],[_ShownCalcFinish]]))</f>
        <v/>
      </c>
      <c r="FM16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7" s="42">
        <f>IF(AND(Tasks[[#This Row],[_IsLeaf]]=1,Tasks[[#This Row],[_LeafTotalWork]]&gt;0),NETWORKDAYS.INTL(ProjectStart,Tasks[[#This Row],[_ShownFcstStart]],WorkWeek,Holidays),0)</f>
        <v/>
      </c>
      <c r="FZ167" s="42">
        <f>IF(AND(Tasks[[#This Row],[_IsLeaf]]=1,Tasks[[#This Row],[_LeafTotalWork]]&gt;0),MAX(Tasks[[#This Row],[_StartWorkday]],NETWORKDAYS.INTL(ProjectStart,Tasks[[#This Row],[_ShownFcstFinish]],WorkWeek,Holidays)),0)</f>
        <v/>
      </c>
      <c r="GA167" s="42">
        <f>IF(AND(Tasks[[#This Row],[_IsLeaf]]=1,Tasks[[#This Row],[_LeafTotalWork]]&gt;0),Tasks[[#This Row],[_LeafWork]]/(Tasks[[#This Row],[_FinishWorkday]]-Tasks[[#This Row],[_StartWorkday]]+1),0)</f>
        <v/>
      </c>
      <c r="GB167" s="42">
        <f>Tasks[[#This Row],[_WorkPerWorkday]]*(Tasks[[#This Row],[_StartWorkday]]-1)</f>
        <v/>
      </c>
      <c r="GC167" s="42">
        <f>IF(Tasks[[#This Row],[_IsLeaf]]=1,MAX(N(Tasks[[#This Row],[_Days]]),0.1),0)</f>
        <v/>
      </c>
      <c r="GD167" s="42">
        <f>Tasks[[#This Row],[_WeightDur]]*Tasks[[#This Row],[_LeafProgress]]</f>
        <v/>
      </c>
      <c r="GE167" s="42">
        <f>Tasks[[#This Row],[_WeightDur]]*Tasks[[#This Row],[_PlannedPct]]</f>
        <v/>
      </c>
      <c r="GF16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7" s="42">
        <f>IF(AND(Tasks[[#This Row],[_IsLeaf]]=1,N(Tasks[[#This Row],[_Days]])=0,Tasks[[#This Row],[_LeafProgress]]&lt;1),Tasks[[#This Row],[_ShownFcstFinish]]+Tasks[[#This Row],[_Row]]/100000,"")</f>
        <v/>
      </c>
      <c r="GH16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7" s="42">
        <f>IF(Tasks[[#This Row],[Task Name]]="","",LEFT(Tasks[[#This Row],[WBS]],FIND(".",Tasks[[#This Row],[WBS]]&amp;".")-1))</f>
        <v/>
      </c>
      <c r="GJ167" s="42">
        <f>IF(AND(Tasks[[#This Row],[Task Name]]&lt;&gt;"",Tasks[[#This Row],[_Level]]=1),Tasks[[#This Row],[_Row]],"")</f>
        <v/>
      </c>
      <c r="GK167" s="42">
        <f>IF(AND(Tasks[[#This Row],[_IsLeaf]]=1,N(Tasks[[#This Row],[_Days]])=0),Tasks[[#This Row],[Planned Finish]]+Tasks[[#This Row],[_Row]]/100000,"")</f>
        <v/>
      </c>
      <c r="GL167" s="42">
        <f>IF(AND(Tasks[[#This Row],[_IsLeaf]]=1,Tasks[[#This Row],[_LeafProgress]]&lt;1,OR(N(Tasks[[#This Row],[Finish Var]])&gt;0,Tasks[[#This Row],[Status]]="Late Start")),MAX(0,Tasks[[#This Row],[Finish Var]])+1-Tasks[[#This Row],[_Row]]/1000000,"")</f>
        <v/>
      </c>
      <c r="GM167" s="42">
        <f>IF(AND(Tasks[[#This Row],[_IsLeaf]]=1,N(Tasks[[#This Row],[Actual Start]])=0,Tasks[[#This Row],[_ShownFcstStart]]&gt;=StatusDate,Tasks[[#This Row],[_ShownFcstStart]]&lt;=LookaheadEnd),Tasks[[#This Row],[_ShownFcstStart]]+Tasks[[#This Row],[_Row]]/100000,"")</f>
        <v/>
      </c>
      <c r="GN167" s="42">
        <f>IF(AND(Tasks[[#This Row],[_IsLeaf]]=1,Tasks[[#This Row],[_LeafProgress]]&lt;1,Tasks[[#This Row],[_ShownFcstFinish]]&gt;=StatusDate,Tasks[[#This Row],[_ShownFcstFinish]]&lt;=LookaheadEnd),Tasks[[#This Row],[_ShownFcstFinish]]+Tasks[[#This Row],[_Row]]/100000,"")</f>
        <v/>
      </c>
      <c r="GO167" s="42">
        <f>IF(Tasks[[#This Row],[_LeafCritical]],Tasks[[#This Row],[_ShownFcstStart]]+Tasks[[#This Row],[_Row]]/100000,"")</f>
        <v/>
      </c>
      <c r="GP167" s="42">
        <f>Tasks[[#This Row],[_LeafWork]]*Tasks[[#This Row],[_LeafProgress]]</f>
        <v/>
      </c>
      <c r="GQ167" s="88">
        <f>IF(AND(Tasks[[#This Row],[_IsLeaf]]=1,Tasks[[#This Row],[_LeafProgress]]&gt;=1),IF(N(Tasks[[#This Row],[Actual Finish]])&gt;0,Tasks[[#This Row],[Actual Finish]],Tasks[[#This Row],[_ShownFcstFinish]]),"")</f>
        <v/>
      </c>
      <c r="GR167" s="42">
        <f>IF(Tasks[[#This Row],[_IsLeaf]]=1,N(Tasks[[#This Row],[Story Points]]),0)</f>
        <v/>
      </c>
      <c r="GS167" s="42">
        <f>""</f>
        <v/>
      </c>
      <c r="GT167" s="42">
        <f>IF(Tasks[[#This Row],[Task Name]]="",FALSE(),AND(Tasks[[#This Row],[_IsLeaf]]=1,N(Tasks[[#This Row],[_Days]])=0))</f>
        <v/>
      </c>
      <c r="GU167" s="88">
        <f>IF(Tasks[[#This Row],[Task Name]]="",0,IF(AND(Tasks[[#This Row],[_IsLeaf]]=1,NOT(Tasks[[#This Row],[_IsMilestone]]),N(Tasks[[#This Row],[Progress]])&gt;0),Tasks[[#This Row],[Start]],0))</f>
        <v/>
      </c>
      <c r="GV167" s="88">
        <f>IF(Tasks[[#This Row],[_DoneFrom]]=0,0,IF(Tasks[[#This Row],[Progress]]&gt;=1,Tasks[[#This Row],[Finish]],MAX(Tasks[[#This Row],[_DoneFrom]],Tasks[[#This Row],[Start]]+ROUND((Tasks[[#This Row],[Finish]]-Tasks[[#This Row],[Start]]+1)*Tasks[[#This Row],[Progress]],0)-1)))</f>
        <v/>
      </c>
      <c r="GW167" s="88">
        <f>IF(Tasks[[#This Row],[Task Name]]="",0,IF(OR(NOT(Tasks[[#This Row],[_IsLeaf]]=1),Tasks[[#This Row],[_IsMilestone]],N(Tasks[[#This Row],[Progress]])&gt;=1),0,IF(Tasks[[#This Row],[_DoneTo]]&gt;0,Tasks[[#This Row],[_DoneTo]]+1,Tasks[[#This Row],[Start]])))</f>
        <v/>
      </c>
      <c r="GX167" s="88">
        <f>IF(Tasks[[#This Row],[_RemFrom]]=0,0,Tasks[[#This Row],[Finish]])</f>
        <v/>
      </c>
      <c r="GY167" s="42">
        <f>IF(Tasks[[#This Row],[Task Name]]="",FALSE(),OR(NOT(BaselineSet),N(Tasks[[#This Row],[Baseline Start]])&gt;0))</f>
        <v/>
      </c>
      <c r="GZ167" s="42">
        <f>IF(AND(Sandbox="Yes",L_PARSE_DURATION(Tasks[[#This Row],[Sandbox Duration]])&lt;&gt;""),L_PARSE_DURATION(Tasks[[#This Row],[Sandbox Duration]]),L_PARSE_DURATION(Tasks[[#This Row],[Duration]]))</f>
        <v/>
      </c>
      <c r="HA16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7" s="42">
        <f>IF(Tasks[[#This Row],[_IsLeaf]]=1,Tasks[[#This Row],[_Row]],"")</f>
        <v/>
      </c>
      <c r="HD167" s="42">
        <f>IFERROR(INDEX(Tasks[UID],SMALL(Tasks[_PickKey],Tasks[[#This Row],[_Row]]))&amp;" "&amp;INDEX(Tasks[Task Name],SMALL(Tasks[_PickKey],Tasks[[#This Row],[_Row]])),"")</f>
        <v/>
      </c>
      <c r="HE167" s="42">
        <f>IF(Tasks[[#This Row],[Task Name]]="","",IF(Tasks[[#This Row],[_IsSummary]],NETWORKDAYS.INTL(Tasks[[#This Row],[Start]],Tasks[[#This Row],[Finish]],WorkWeek,Holidays),N(Tasks[[#This Row],[_Days]])))</f>
        <v/>
      </c>
      <c r="HF167" s="42">
        <f>IF(Tasks[[#This Row],[Expected]]="",0,((Tasks[[#This Row],[Pessimistic]]-Tasks[[#This Row],[Optimistic]])/6)^2)</f>
        <v/>
      </c>
      <c r="HG167" s="42">
        <f>IF(Tasks[[#This Row],[Expected]]="",0,Tasks[[#This Row],[Expected]]-N(Tasks[[#This Row],[_Days]]))</f>
        <v/>
      </c>
    </row>
    <row r="168">
      <c r="A168" s="21">
        <f>IF(Tasks[[#This Row],[Task Name]]="","",COUNTA(Tasks[[#Headers],[Task Name]]:Tasks[[#This Row],[Task Name]])-1)</f>
        <v/>
      </c>
      <c r="B168" s="22" t="n">
        <v>176</v>
      </c>
      <c r="C168" s="22" t="n"/>
      <c r="D168" s="23" t="n"/>
      <c r="E168" s="22" t="n"/>
      <c r="F168" s="23" t="n"/>
      <c r="G168" s="22" t="n"/>
      <c r="H168" s="22" t="n"/>
      <c r="I168" s="23" t="n"/>
      <c r="J168" s="22" t="n"/>
      <c r="K168" s="22" t="n"/>
      <c r="L168" s="23" t="n"/>
      <c r="M168" s="22" t="n"/>
      <c r="N168" s="22" t="n"/>
      <c r="O168" s="23" t="n"/>
      <c r="P168" s="22" t="n"/>
      <c r="Q168" s="22" t="n"/>
      <c r="R168" s="23" t="n"/>
      <c r="S168" s="23" t="n"/>
      <c r="T168" s="82" t="n"/>
      <c r="U168" s="23" t="n"/>
      <c r="V168" s="82" t="n"/>
      <c r="W168" s="23" t="n"/>
      <c r="X168" s="82" t="n"/>
      <c r="Y168" s="23" t="n"/>
      <c r="Z168" s="82" t="n"/>
      <c r="AA168" s="23" t="n"/>
      <c r="AB168" s="23" t="n"/>
      <c r="AC168" s="7" t="n"/>
      <c r="AD168" s="7" t="n"/>
      <c r="AE168" s="61">
        <f>IF(Tasks[[#This Row],[Task Name]]="","",IF(Tasks[[#This Row],[_IsSummary]],MIN(INDEX(Tasks[_ShownFcstStart],Tasks[[#This Row],[_Row]]+1):INDEX(Tasks[_ShownFcstStart],Tasks[[#This Row],[_Row]]+Tasks[[#This Row],[_Descendants]])),Tasks[[#This Row],[_ShownFcstStart]]))</f>
        <v/>
      </c>
      <c r="AF168" s="61">
        <f>IF(Tasks[[#This Row],[Task Name]]="","",IF(Tasks[[#This Row],[_IsSummary]],MAX(INDEX(Tasks[_ShownFcstFinish],Tasks[[#This Row],[_Row]]+1):INDEX(Tasks[_ShownFcstFinish],Tasks[[#This Row],[_Row]]+Tasks[[#This Row],[_Descendants]])),Tasks[[#This Row],[_ShownFcstFinish]]))</f>
        <v/>
      </c>
      <c r="AG168" s="21">
        <f>""</f>
        <v/>
      </c>
      <c r="AH168" s="23" t="n"/>
      <c r="AI16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8" s="7" t="n"/>
      <c r="AK168" s="22" t="n"/>
      <c r="AL168" s="23" t="n"/>
      <c r="AM168" s="7" t="n"/>
      <c r="AN168" s="21">
        <f>IF(Tasks[[#This Row],[Task Name]]="","",IF(Tasks[[#This Row],[Finish]]&gt;=Tasks[[#This Row],[Planned Finish]],NETWORKDAYS.INTL(Tasks[[#This Row],[Planned Finish]],Tasks[[#This Row],[Finish]],WorkWeek,Holidays)-1,1-NETWORKDAYS.INTL(Tasks[[#This Row],[Finish]],Tasks[[#This Row],[Planned Finish]],WorkWeek,Holidays)))</f>
        <v/>
      </c>
      <c r="AO168" s="21">
        <f>IF(Tasks[[#This Row],[Task Name]]="","",IF(Tasks[[#This Row],[Progress]]&gt;=1,"Complete",IF(OR(N(Tasks[[#This Row],[Actual Start]])&gt;0,Tasks[[#This Row],[Progress]]&gt;0),IF(Tasks[[#This Row],[Finish Var]]&gt;0,"Behind","In Progress"),IF(Tasks[[#This Row],[Planned Start]]&lt;StatusDate,"Late Start","Not Started"))))</f>
        <v/>
      </c>
      <c r="AP168" s="21">
        <f>IF(Tasks[[#This Row],[Task Name]]="","",IF(IF(Tasks[[#This Row],[_IsSummary]],COUNTIF(INDEX(Tasks[_LeafCritical],Tasks[[#This Row],[_Row]]+1):INDEX(Tasks[_LeafCritical],Tasks[[#This Row],[_Row]]+Tasks[[#This Row],[_Descendants]]),TRUE())&gt;0,Tasks[[#This Row],[_LeafCritical]]),"Yes",""))</f>
        <v/>
      </c>
      <c r="AQ168" s="61">
        <f>IF(Tasks[[#This Row],[Task Name]]="","",IF(N(Tasks[[#This Row],[Baseline Start]])&gt;0,Tasks[[#This Row],[Baseline Start]],Tasks[[#This Row],[_CalcStart]]))</f>
        <v/>
      </c>
      <c r="AR168" s="61">
        <f>IF(Tasks[[#This Row],[Task Name]]="","",IF(N(Tasks[[#This Row],[Baseline Finish]])&gt;0,Tasks[[#This Row],[Baseline Finish]],Tasks[[#This Row],[_CalcFinish]]))</f>
        <v/>
      </c>
      <c r="AS168" s="21">
        <f>IF(Tasks[[#This Row],[Task Name]]="","",IF(Tasks[[#This Row],[Start]]&gt;=Tasks[[#This Row],[Planned Start]],NETWORKDAYS.INTL(Tasks[[#This Row],[Planned Start]],Tasks[[#This Row],[Start]],WorkWeek,Holidays)-1,1-NETWORKDAYS.INTL(Tasks[[#This Row],[Start]],Tasks[[#This Row],[Planned Start]],WorkWeek,Holidays)))</f>
        <v/>
      </c>
      <c r="AT168" s="61">
        <f>IF(Tasks[[#This Row],[Task Name]]="","",IF(Tasks[[#This Row],[_IsSummary]],MIN(INDEX(Tasks[_LeafLateStart],Tasks[[#This Row],[_Row]]+1):INDEX(Tasks[_LeafLateStart],Tasks[[#This Row],[_Row]]+Tasks[[#This Row],[_Descendants]])),Tasks[[#This Row],[_LeafLateStart]]))</f>
        <v/>
      </c>
      <c r="AU168" s="61">
        <f>IF(Tasks[[#This Row],[Task Name]]="","",IF(Tasks[[#This Row],[_IsSummary]],MAX(INDEX(Tasks[_LeafLateFinish],Tasks[[#This Row],[_Row]]+1):INDEX(Tasks[_LeafLateFinish],Tasks[[#This Row],[_Row]]+Tasks[[#This Row],[_Descendants]])),Tasks[[#This Row],[_LeafLateFinish]]))</f>
        <v/>
      </c>
      <c r="AV168" s="21">
        <f>IF(Tasks[[#This Row],[Task Name]]="","",IF(Tasks[[#This Row],[_IsSummary]],MIN(INDEX(Tasks[_LeafTotalSlack],Tasks[[#This Row],[_Row]]+1):INDEX(Tasks[_LeafTotalSlack],Tasks[[#This Row],[_Row]]+Tasks[[#This Row],[_Descendants]])),Tasks[[#This Row],[_LeafTotalSlack]]))</f>
        <v/>
      </c>
      <c r="AW16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3" t="n"/>
      <c r="BA16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f>IF(Tasks[[#This Row],[Task Name]]="","",IF(Tasks[[#This Row],[_Level]]&lt;=OutlineShowLevel,"Yes","No"))</f>
        <v/>
      </c>
      <c r="BE168" s="84">
        <f>IF(Tasks[[#This Row],[Task Name]]="","",IF(Tasks[[#This Row],[_IsSummary]],SUM(INDEX(Tasks[_LeafTotalWork],Tasks[[#This Row],[_Row]]+1):INDEX(Tasks[_LeafTotalWork],Tasks[[#This Row],[_Row]]+Tasks[[#This Row],[_Descendants]])),Tasks[[#This Row],[_LeafTotalWork]]))</f>
        <v/>
      </c>
      <c r="BF168" s="23" t="n"/>
      <c r="BG16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f>""</f>
        <v/>
      </c>
      <c r="BI168" s="85" t="n"/>
      <c r="BJ168" s="22" t="n"/>
      <c r="BK168" s="21">
        <f>IF(OR(Tasks[[#This Row],[Task Name]]="",Tasks[[#This Row],[Baseline Duration]]=""),"",Tasks[[#This Row],[_SpanDays]]-N(Tasks[[#This Row],[Baseline Duration]]))</f>
        <v/>
      </c>
      <c r="BL168" s="84">
        <f>IF(OR(Tasks[[#This Row],[Task Name]]="",Tasks[[#This Row],[Baseline Work]]=""),"",Tasks[[#This Row],[Work]]-N(Tasks[[#This Row],[Baseline Work]]))</f>
        <v/>
      </c>
      <c r="BM168" s="61">
        <f>IF(Tasks[[#This Row],[Task Name]]="","",IF(OR(TakeBaseline="Yes",N(Tasks[[#This Row],[Baseline Start]])=0),Tasks[[#This Row],[Start]],Tasks[[#This Row],[Baseline Start]]))</f>
        <v/>
      </c>
      <c r="BN168" s="61">
        <f>IF(Tasks[[#This Row],[Task Name]]="","",IF(OR(TakeBaseline="Yes",N(Tasks[[#This Row],[Baseline Finish]])=0),Tasks[[#This Row],[Finish]],Tasks[[#This Row],[Baseline Finish]]))</f>
        <v/>
      </c>
      <c r="BO168" s="21">
        <f>IF(Tasks[[#This Row],[Task Name]]="","",IF(OR(TakeBaseline="Yes",N(Tasks[[#This Row],[Baseline Duration]])=0),Tasks[[#This Row],[_SpanDays]],Tasks[[#This Row],[Baseline Duration]]))</f>
        <v/>
      </c>
      <c r="BP168" s="84">
        <f>IF(Tasks[[#This Row],[Task Name]]="","",IF(OR(TakeBaseline="Yes",N(Tasks[[#This Row],[Baseline Work]])=0),Tasks[[#This Row],[Work]],Tasks[[#This Row],[Baseline Work]]))</f>
        <v/>
      </c>
      <c r="BQ168" s="7" t="n"/>
      <c r="BR168" s="7" t="n"/>
      <c r="BS168" s="22" t="n"/>
      <c r="BT168" s="86" t="n"/>
      <c r="BU168" s="23" t="n"/>
      <c r="BV168" s="23" t="n"/>
      <c r="BW168" s="23" t="n"/>
      <c r="BX168" s="87">
        <f>IF(AND(Tasks[[#This Row],[_IsLeaf]]=1,ISNUMBER(Tasks[[#This Row],[Optimistic]]),ISNUMBER(Tasks[[#This Row],[Pessimistic]])),ROUND((Tasks[[#This Row],[Optimistic]]+4*N(Tasks[[#This Row],[_Days]])+Tasks[[#This Row],[Pessimistic]])/6,1),"")</f>
        <v/>
      </c>
      <c r="BY168" s="85" t="n"/>
      <c r="BZ168" s="85" t="n"/>
      <c r="CA168" s="22" t="n"/>
      <c r="CB168" s="42">
        <f>IF(Tasks[[#This Row],[Task Name]]="","",MAX(1,N(Tasks[[#This Row],[Level]])))</f>
        <v/>
      </c>
      <c r="CC168" s="42">
        <f>ROW()-ROW(Tasks[[#Headers],[ID]])</f>
        <v/>
      </c>
      <c r="CD168" s="42">
        <f>IF(OR(Tasks[[#This Row],[Task Name]]="",Tasks[[#This Row],[_Level]]&lt;=1),0,IFERROR(LOOKUP(2,1/(Tasks[[#Headers],[_Level]]:Tasks[[#This Row],[_Level]]=Tasks[[#This Row],[_Level]]-1),ROW(Tasks[[#Headers],[_Level]]:Tasks[[#This Row],[_Level]])),0))</f>
        <v/>
      </c>
      <c r="CE168" s="42">
        <f>IFERROR(N(INDEX(Tasks[_Level],Tasks[[#This Row],[_Row]]+1)),0)</f>
        <v/>
      </c>
      <c r="CF168" s="42">
        <f>AND(Tasks[[#This Row],[Task Name]]&lt;&gt;"",Tasks[[#This Row],[_NextLevel]]&gt;Tasks[[#This Row],[_Level]])</f>
        <v/>
      </c>
      <c r="CG168" s="42">
        <f>IF(Tasks[[#This Row],[_IsSummary]],COUNTIF(Tasks[WBS],Tasks[[#This Row],[WBS]]&amp;".*"),0)</f>
        <v/>
      </c>
      <c r="CH168" s="42">
        <f>IF(AND(Tasks[[#This Row],[Task Name]]&lt;&gt;"",NOT(Tasks[[#This Row],[_IsSummary]])),1,0)</f>
        <v/>
      </c>
      <c r="CI168" s="42">
        <f>IF(N(Tasks[[#This Row],[_Pred1UID]])=0,0,IFERROR(MATCH(Tasks[[#This Row],[_Pred1UID]],Tasks[UID],0),-1))</f>
        <v/>
      </c>
      <c r="CJ168" s="42">
        <f>IF(N(Tasks[[#This Row],[_Pred2UID]])=0,0,IFERROR(MATCH(Tasks[[#This Row],[_Pred2UID]],Tasks[UID],0),-1))</f>
        <v/>
      </c>
      <c r="CK168" s="42">
        <f>IF(N(Tasks[[#This Row],[_Pred3UID]])=0,0,IFERROR(MATCH(Tasks[[#This Row],[_Pred3UID]],Tasks[UID],0),-1))</f>
        <v/>
      </c>
      <c r="CL168" s="42">
        <f>IF(N(Tasks[[#This Row],[_Pred4UID]])=0,0,IFERROR(MATCH(Tasks[[#This Row],[_Pred4UID]],Tasks[UID],0),-1))</f>
        <v/>
      </c>
      <c r="CM16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8" s="88">
        <f>IF(N(Tasks[[#This Row],[Constraint Date]])=0,0,IF(AND(OR(Tasks[[#This Row],[_ConstraintCode]]=3,Tasks[[#This Row],[_ConstraintCode]]=6,Tasks[[#This Row],[_ConstraintCode]]=7),N(Tasks[[#This Row],[_Days]])&gt;1),WORKDAY.INTL(N(Tasks[[#This Row],[Constraint Date]]),-(N(Tasks[[#This Row],[_Days]])-1),WorkWeek,Holidays),N(Tasks[[#This Row],[Constraint Date]])))</f>
        <v/>
      </c>
      <c r="CO168" s="88">
        <f>IF(OR(Tasks[[#This Row],[_ConstraintCode]]=2,Tasks[[#This Row],[_ConstraintCode]]=3,Tasks[[#This Row],[_ConstraintCode]]=4,Tasks[[#This Row],[_ConstraintCode]]=6),Tasks[[#This Row],[_ConstraintStart]],0)</f>
        <v/>
      </c>
      <c r="CP168" s="88">
        <f>IF(OR(Tasks[[#This Row],[_ConstraintCode]]=2,Tasks[[#This Row],[_ConstraintCode]]=3,Tasks[[#This Row],[_ConstraintCode]]=5,Tasks[[#This Row],[_ConstraintCode]]=7),Tasks[[#This Row],[_ConstraintStart]],2958465)</f>
        <v/>
      </c>
      <c r="CQ16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8" s="88">
        <f>IF(NOT(Tasks[[#This Row],[_IsLeaf]]=1),"",IF(N(Tasks[[#This Row],[_Days]])&lt;=0,Tasks[[#This Row],[_LeafCalcStart]],WORKDAY.INTL(Tasks[[#This Row],[_LeafCalcStart]],Tasks[[#This Row],[_Days]]-1,WorkWeek,Holidays)))</f>
        <v/>
      </c>
      <c r="CS16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8" s="42">
        <f>IF(Tasks[[#This Row],[_Predecessors]]="","",TRIM(MID(SUBSTITUTE(SUBSTITUTE(SUBSTITUTE(UPPER(Tasks[[#This Row],[_Predecessors]]),";",",")," ",""),",",REPT(" ",99)),1,99)))</f>
        <v/>
      </c>
      <c r="CV168" s="42">
        <f>IF(Tasks[[#This Row],[_Pred1Text]]="","",IFERROR(VALUE(LEFT(Tasks[[#This Row],[_Pred1Text]],MIN(FIND("F",Tasks[[#This Row],[_Pred1Text]]&amp;"F"),FIND("S",Tasks[[#This Row],[_Pred1Text]]&amp;"S"),FIND("+",Tasks[[#This Row],[_Pred1Text]]&amp;"+"),FIND("-",Tasks[[#This Row],[_Pred1Text]]&amp;"-"))-1)),""))</f>
        <v/>
      </c>
      <c r="CW16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8" s="42">
        <f>IF(Tasks[[#This Row],[_Pred1Text]]="","",TRIM(MID(SUBSTITUTE(SUBSTITUTE(SUBSTITUTE(UPPER(Tasks[[#This Row],[_Predecessors]]),";",",")," ",""),",",REPT(" ",99)),100,99)))</f>
        <v/>
      </c>
      <c r="CZ168" s="42">
        <f>IF(Tasks[[#This Row],[_Pred2Text]]="","",IFERROR(VALUE(LEFT(Tasks[[#This Row],[_Pred2Text]],MIN(FIND("F",Tasks[[#This Row],[_Pred2Text]]&amp;"F"),FIND("S",Tasks[[#This Row],[_Pred2Text]]&amp;"S"),FIND("+",Tasks[[#This Row],[_Pred2Text]]&amp;"+"),FIND("-",Tasks[[#This Row],[_Pred2Text]]&amp;"-"))-1)),""))</f>
        <v/>
      </c>
      <c r="DA16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8" s="42">
        <f>IF(Tasks[[#This Row],[_Pred2Text]]="","",TRIM(MID(SUBSTITUTE(SUBSTITUTE(SUBSTITUTE(UPPER(Tasks[[#This Row],[_Predecessors]]),";",",")," ",""),",",REPT(" ",99)),199,99)))</f>
        <v/>
      </c>
      <c r="DD168" s="42">
        <f>IF(Tasks[[#This Row],[_Pred3Text]]="","",IFERROR(VALUE(LEFT(Tasks[[#This Row],[_Pred3Text]],MIN(FIND("F",Tasks[[#This Row],[_Pred3Text]]&amp;"F"),FIND("S",Tasks[[#This Row],[_Pred3Text]]&amp;"S"),FIND("+",Tasks[[#This Row],[_Pred3Text]]&amp;"+"),FIND("-",Tasks[[#This Row],[_Pred3Text]]&amp;"-"))-1)),""))</f>
        <v/>
      </c>
      <c r="DE16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8" s="42">
        <f>IF(Tasks[[#This Row],[_Pred3Text]]="","",TRIM(MID(SUBSTITUTE(SUBSTITUTE(SUBSTITUTE(UPPER(Tasks[[#This Row],[_Predecessors]]),";",",")," ",""),",",REPT(" ",99)),298,99)))</f>
        <v/>
      </c>
      <c r="DH168" s="42">
        <f>IF(Tasks[[#This Row],[_Pred4Text]]="","",IFERROR(VALUE(LEFT(Tasks[[#This Row],[_Pred4Text]],MIN(FIND("F",Tasks[[#This Row],[_Pred4Text]]&amp;"F"),FIND("S",Tasks[[#This Row],[_Pred4Text]]&amp;"S"),FIND("+",Tasks[[#This Row],[_Pred4Text]]&amp;"+"),FIND("-",Tasks[[#This Row],[_Pred4Text]]&amp;"-"))-1)),""))</f>
        <v/>
      </c>
      <c r="DI16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8" s="42">
        <f>IF(OR(Tasks[[#This Row],[Task Name]]="",Tasks[[#This Row],[_Resources]]=""),"",TRIM(MID(SUBSTITUTE(Tasks[[#This Row],[_Resources]],",",REPT(" ",99)),1,99)))</f>
        <v/>
      </c>
      <c r="DL168" s="42">
        <f>IF(Tasks[[#This Row],[_Res1Text]]="","",TRIM(MID(SUBSTITUTE(Tasks[[#This Row],[_Resources]],",",REPT(" ",99)),100,99)))</f>
        <v/>
      </c>
      <c r="DM168" s="42">
        <f>IF(Tasks[[#This Row],[_Res2Text]]="","",TRIM(MID(SUBSTITUTE(Tasks[[#This Row],[_Resources]],",",REPT(" ",99)),199,99)))</f>
        <v/>
      </c>
      <c r="DN168" s="42">
        <f>IF(Tasks[[#This Row],[_Res3Text]]="","",TRIM(MID(SUBSTITUTE(Tasks[[#This Row],[_Resources]],",",REPT(" ",99)),298,99)))</f>
        <v/>
      </c>
      <c r="DO168" s="42">
        <f>IF(Tasks[[#This Row],[_Res1Text]]="",0,IFERROR(MATCH(TRIM(LEFT(Tasks[[#This Row],[_Res1Text]],FIND("[",Tasks[[#This Row],[_Res1Text]]&amp;"[")-1)),res_Name,0),IFERROR(MATCH(TRIM(LEFT(Tasks[[#This Row],[_Res1Text]],FIND("[",Tasks[[#This Row],[_Res1Text]]&amp;"[")-1)),res_Initials,0),0)))</f>
        <v/>
      </c>
      <c r="DP168" s="42">
        <f>IF(Tasks[[#This Row],[_Res2Text]]="",0,IFERROR(MATCH(TRIM(LEFT(Tasks[[#This Row],[_Res2Text]],FIND("[",Tasks[[#This Row],[_Res2Text]]&amp;"[")-1)),res_Name,0),IFERROR(MATCH(TRIM(LEFT(Tasks[[#This Row],[_Res2Text]],FIND("[",Tasks[[#This Row],[_Res2Text]]&amp;"[")-1)),res_Initials,0),0)))</f>
        <v/>
      </c>
      <c r="DQ168" s="42">
        <f>IF(Tasks[[#This Row],[_Res3Text]]="",0,IFERROR(MATCH(TRIM(LEFT(Tasks[[#This Row],[_Res3Text]],FIND("[",Tasks[[#This Row],[_Res3Text]]&amp;"[")-1)),res_Name,0),IFERROR(MATCH(TRIM(LEFT(Tasks[[#This Row],[_Res3Text]],FIND("[",Tasks[[#This Row],[_Res3Text]]&amp;"[")-1)),res_Initials,0),0)))</f>
        <v/>
      </c>
      <c r="DR168" s="42">
        <f>IF(Tasks[[#This Row],[_Res4Text]]="",0,IFERROR(MATCH(TRIM(LEFT(Tasks[[#This Row],[_Res4Text]],FIND("[",Tasks[[#This Row],[_Res4Text]]&amp;"[")-1)),res_Name,0),IFERROR(MATCH(TRIM(LEFT(Tasks[[#This Row],[_Res4Text]],FIND("[",Tasks[[#This Row],[_Res4Text]]&amp;"[")-1)),res_Initials,0),0)))</f>
        <v/>
      </c>
      <c r="DS168" s="42">
        <f>IF(Tasks[[#This Row],[_Res1Text]]="","",IF(Tasks[[#This Row],[_Res1Row]]&gt;0,INDEX(res_Name,Tasks[[#This Row],[_Res1Row]]),TRIM(LEFT(Tasks[[#This Row],[_Res1Text]],FIND("[",Tasks[[#This Row],[_Res1Text]]&amp;"[")-1))))</f>
        <v/>
      </c>
      <c r="DT16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8" s="42">
        <f>IF(NOT(Tasks[[#This Row],[_IsLeaf]]=1),0,(Tasks[[#This Row],[_Resource1]]&lt;&gt;"")+(Tasks[[#This Row],[_Res2]]&lt;&gt;"")+(Tasks[[#This Row],[_Res3]]&lt;&gt;"")+(Tasks[[#This Row],[_Res4]]&lt;&gt;""))</f>
        <v/>
      </c>
      <c r="DV168" s="42">
        <f>IF(Tasks[[#This Row],[_Res2Text]]="","",IF(Tasks[[#This Row],[_Res2Row]]&gt;0,INDEX(res_Name,Tasks[[#This Row],[_Res2Row]]),TRIM(LEFT(Tasks[[#This Row],[_Res2Text]],FIND("[",Tasks[[#This Row],[_Res2Text]]&amp;"[")-1))))</f>
        <v/>
      </c>
      <c r="DW16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8" s="42">
        <f>IF(OR(NOT(Tasks[[#This Row],[_IsLeaf]]=1),Tasks[[#This Row],[_Res2Row]]=0),0,N(Tasks[[#This Row],[_Days]])*HoursPerDay*IF(Tasks[[#This Row],[_Res2Units]]="",DefaultUnits,Tasks[[#This Row],[_Res2Units]]))</f>
        <v/>
      </c>
      <c r="DY168" s="42">
        <f>IF(AND(AND(Tasks[[#This Row],[_IsLeaf]]=1,Tasks[[#This Row],[_LeafTotalWork]]&gt;0),Tasks[[#This Row],[_Res2Work]]&gt;0),Tasks[[#This Row],[_Res2Work]]/(Tasks[[#This Row],[_FinishWorkday]]-Tasks[[#This Row],[_StartWorkday]]+1),0)</f>
        <v/>
      </c>
      <c r="DZ168" s="42">
        <f>Tasks[[#This Row],[_Res2WorkPerWD]]*MAX(0,Tasks[[#This Row],[_StartWorkday]]-1)</f>
        <v/>
      </c>
      <c r="EA168" s="42">
        <f>Tasks[[#This Row],[_Res2Work]]*Tasks[[#This Row],[_LeafProgress]]</f>
        <v/>
      </c>
      <c r="EB168" s="42">
        <f>IF(Tasks[[#This Row],[_Res3Text]]="","",IF(Tasks[[#This Row],[_Res3Row]]&gt;0,INDEX(res_Name,Tasks[[#This Row],[_Res3Row]]),TRIM(LEFT(Tasks[[#This Row],[_Res3Text]],FIND("[",Tasks[[#This Row],[_Res3Text]]&amp;"[")-1))))</f>
        <v/>
      </c>
      <c r="EC16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8" s="42">
        <f>IF(OR(NOT(Tasks[[#This Row],[_IsLeaf]]=1),Tasks[[#This Row],[_Res3Row]]=0),0,N(Tasks[[#This Row],[_Days]])*HoursPerDay*IF(Tasks[[#This Row],[_Res3Units]]="",DefaultUnits,Tasks[[#This Row],[_Res3Units]]))</f>
        <v/>
      </c>
      <c r="EE168" s="42">
        <f>IF(AND(AND(Tasks[[#This Row],[_IsLeaf]]=1,Tasks[[#This Row],[_LeafTotalWork]]&gt;0),Tasks[[#This Row],[_Res3Work]]&gt;0),Tasks[[#This Row],[_Res3Work]]/(Tasks[[#This Row],[_FinishWorkday]]-Tasks[[#This Row],[_StartWorkday]]+1),0)</f>
        <v/>
      </c>
      <c r="EF168" s="42">
        <f>Tasks[[#This Row],[_Res3WorkPerWD]]*MAX(0,Tasks[[#This Row],[_StartWorkday]]-1)</f>
        <v/>
      </c>
      <c r="EG168" s="42">
        <f>Tasks[[#This Row],[_Res3Work]]*Tasks[[#This Row],[_LeafProgress]]</f>
        <v/>
      </c>
      <c r="EH168" s="42">
        <f>IF(Tasks[[#This Row],[_Res4Text]]="","",IF(Tasks[[#This Row],[_Res4Row]]&gt;0,INDEX(res_Name,Tasks[[#This Row],[_Res4Row]]),TRIM(LEFT(Tasks[[#This Row],[_Res4Text]],FIND("[",Tasks[[#This Row],[_Res4Text]]&amp;"[")-1))))</f>
        <v/>
      </c>
      <c r="EI16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8" s="42">
        <f>IF(OR(NOT(Tasks[[#This Row],[_IsLeaf]]=1),Tasks[[#This Row],[_Res4Row]]=0),0,N(Tasks[[#This Row],[_Days]])*HoursPerDay*IF(Tasks[[#This Row],[_Res4Units]]="",DefaultUnits,Tasks[[#This Row],[_Res4Units]]))</f>
        <v/>
      </c>
      <c r="EK168" s="42">
        <f>IF(AND(AND(Tasks[[#This Row],[_IsLeaf]]=1,Tasks[[#This Row],[_LeafTotalWork]]&gt;0),Tasks[[#This Row],[_Res4Work]]&gt;0),Tasks[[#This Row],[_Res4Work]]/(Tasks[[#This Row],[_FinishWorkday]]-Tasks[[#This Row],[_StartWorkday]]+1),0)</f>
        <v/>
      </c>
      <c r="EL168" s="42">
        <f>Tasks[[#This Row],[_Res4WorkPerWD]]*MAX(0,Tasks[[#This Row],[_StartWorkday]]-1)</f>
        <v/>
      </c>
      <c r="EM168" s="42">
        <f>Tasks[[#This Row],[_Res4Work]]*Tasks[[#This Row],[_LeafProgress]]</f>
        <v/>
      </c>
      <c r="EN168" s="42">
        <f>IF(ISNUMBER(Tasks[[#This Row],[% Complete]]),Tasks[[#This Row],[% Complete]],IF(Tasks[[#This Row],[Stage]]="",0,IFERROR(INDEX(stg_Pct,MATCH(Tasks[[#This Row],[Stage]],stg_Name,0)),0)))</f>
        <v/>
      </c>
      <c r="EO168" s="42">
        <f>IF(NOT(Tasks[[#This Row],[_IsLeaf]]=1),0,IF(N(Tasks[[#This Row],[Actual Finish]])&gt;0,1,MIN(1,Tasks[[#This Row],[_Pct]])))</f>
        <v/>
      </c>
      <c r="EP168" s="42">
        <f>IF(OR(NOT(Tasks[[#This Row],[_IsLeaf]]=1),Tasks[[#This Row],[_Res1Row]]=0),0,N(Tasks[[#This Row],[_Days]])*HoursPerDay*IF(Tasks[[#This Row],[_Units1]]="",DefaultUnits,Tasks[[#This Row],[_Units1]]))</f>
        <v/>
      </c>
      <c r="EQ168" s="42">
        <f>Tasks[[#This Row],[_LeafWork]]+Tasks[[#This Row],[_Res2Work]]+Tasks[[#This Row],[_Res3Work]]+Tasks[[#This Row],[_Res4Work]]</f>
        <v/>
      </c>
      <c r="ER16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8" s="42">
        <f>IF(NOT(Tasks[[#This Row],[_IsLeaf]]=1),0,MAX(_xlfn.MAXIFS(Tasks[_Row],Tasks[_Pred1UID],Tasks[[#This Row],[UID]]),_xlfn.MAXIFS(Tasks[_Row],Tasks[_Pred2UID],Tasks[[#This Row],[UID]]),_xlfn.MAXIFS(Tasks[_Row],Tasks[_Pred3UID],Tasks[[#This Row],[UID]]),_xlfn.MAXIFS(Tasks[_Row],Tasks[_Pred4UID],Tasks[[#This Row],[UID]])))</f>
        <v/>
      </c>
      <c r="FA16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8" s="88">
        <f>IF(NOT(Tasks[[#This Row],[_IsLeaf]]=1),"",IF(N(Tasks[[#This Row],[_Days]])&lt;=0,Tasks[[#This Row],[_LeafLateFinish]],WORKDAY.INTL(Tasks[[#This Row],[_LeafLateFinish]],-(Tasks[[#This Row],[_Days]]-1),WorkWeek,Holidays)))</f>
        <v/>
      </c>
      <c r="FD16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8" s="42">
        <f>AND(Tasks[[#This Row],[_IsLeaf]]=1,Tasks[[#This Row],[_LeafProgress]]&lt;1,N(Tasks[[#This Row],[_LeafTotalSlack]])&lt;=CriticalSlackDays)</f>
        <v/>
      </c>
      <c r="FF168" s="42">
        <f>IF(AND(Tasks[[#This Row],[_IsLeaf]]=1,Tasks[[#This Row],[_ConstraintCode]]=1,Tasks[[#This Row],[Mode]]&lt;&gt;"Manual",N(Tasks[[#This Row],[Actual Start]])=0),MAX(0,N(Tasks[[#This Row],[Free Slack]])),0)</f>
        <v/>
      </c>
      <c r="FG168" s="88">
        <f>IF(NOT(Tasks[[#This Row],[_IsLeaf]]=1),"",IF(Tasks[[#This Row],[_AlapShift]]=0,Tasks[[#This Row],[_LeafCalcStart]],WORKDAY.INTL(Tasks[[#This Row],[_LeafCalcStart]],Tasks[[#This Row],[_AlapShift]],WorkWeek,Holidays)))</f>
        <v/>
      </c>
      <c r="FH168" s="88">
        <f>IF(NOT(Tasks[[#This Row],[_IsLeaf]]=1),"",IF(Tasks[[#This Row],[_AlapShift]]=0,Tasks[[#This Row],[_LeafCalcFinish]],WORKDAY.INTL(Tasks[[#This Row],[_LeafCalcFinish]],Tasks[[#This Row],[_AlapShift]],WorkWeek,Holidays)))</f>
        <v/>
      </c>
      <c r="FI168" s="88">
        <f>IF(NOT(Tasks[[#This Row],[_IsLeaf]]=1),"",IF(Tasks[[#This Row],[_AlapShift]]=0,Tasks[[#This Row],[_LeafFcstStart]],WORKDAY.INTL(Tasks[[#This Row],[_LeafFcstStart]],Tasks[[#This Row],[_AlapShift]],WorkWeek,Holidays)))</f>
        <v/>
      </c>
      <c r="FJ168" s="88">
        <f>IF(NOT(Tasks[[#This Row],[_IsLeaf]]=1),"",IF(Tasks[[#This Row],[_AlapShift]]=0,Tasks[[#This Row],[_LeafFcstFinish]],WORKDAY.INTL(Tasks[[#This Row],[_LeafFcstFinish]],Tasks[[#This Row],[_AlapShift]],WorkWeek,Holidays)))</f>
        <v/>
      </c>
      <c r="FK168" s="88">
        <f>IF(Tasks[[#This Row],[Task Name]]="","",IF(Tasks[[#This Row],[_IsSummary]],MIN(INDEX(Tasks[_ShownCalcStart],Tasks[[#This Row],[_Row]]+1):INDEX(Tasks[_ShownCalcStart],Tasks[[#This Row],[_Row]]+Tasks[[#This Row],[_Descendants]])),Tasks[[#This Row],[_ShownCalcStart]]))</f>
        <v/>
      </c>
      <c r="FL168" s="88">
        <f>IF(Tasks[[#This Row],[Task Name]]="","",IF(Tasks[[#This Row],[_IsSummary]],MAX(INDEX(Tasks[_ShownCalcFinish],Tasks[[#This Row],[_Row]]+1):INDEX(Tasks[_ShownCalcFinish],Tasks[[#This Row],[_Row]]+Tasks[[#This Row],[_Descendants]])),Tasks[[#This Row],[_ShownCalcFinish]]))</f>
        <v/>
      </c>
      <c r="FM16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8" s="42">
        <f>IF(AND(Tasks[[#This Row],[_IsLeaf]]=1,Tasks[[#This Row],[_LeafTotalWork]]&gt;0),NETWORKDAYS.INTL(ProjectStart,Tasks[[#This Row],[_ShownFcstStart]],WorkWeek,Holidays),0)</f>
        <v/>
      </c>
      <c r="FZ168" s="42">
        <f>IF(AND(Tasks[[#This Row],[_IsLeaf]]=1,Tasks[[#This Row],[_LeafTotalWork]]&gt;0),MAX(Tasks[[#This Row],[_StartWorkday]],NETWORKDAYS.INTL(ProjectStart,Tasks[[#This Row],[_ShownFcstFinish]],WorkWeek,Holidays)),0)</f>
        <v/>
      </c>
      <c r="GA168" s="42">
        <f>IF(AND(Tasks[[#This Row],[_IsLeaf]]=1,Tasks[[#This Row],[_LeafTotalWork]]&gt;0),Tasks[[#This Row],[_LeafWork]]/(Tasks[[#This Row],[_FinishWorkday]]-Tasks[[#This Row],[_StartWorkday]]+1),0)</f>
        <v/>
      </c>
      <c r="GB168" s="42">
        <f>Tasks[[#This Row],[_WorkPerWorkday]]*(Tasks[[#This Row],[_StartWorkday]]-1)</f>
        <v/>
      </c>
      <c r="GC168" s="42">
        <f>IF(Tasks[[#This Row],[_IsLeaf]]=1,MAX(N(Tasks[[#This Row],[_Days]]),0.1),0)</f>
        <v/>
      </c>
      <c r="GD168" s="42">
        <f>Tasks[[#This Row],[_WeightDur]]*Tasks[[#This Row],[_LeafProgress]]</f>
        <v/>
      </c>
      <c r="GE168" s="42">
        <f>Tasks[[#This Row],[_WeightDur]]*Tasks[[#This Row],[_PlannedPct]]</f>
        <v/>
      </c>
      <c r="GF16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8" s="42">
        <f>IF(AND(Tasks[[#This Row],[_IsLeaf]]=1,N(Tasks[[#This Row],[_Days]])=0,Tasks[[#This Row],[_LeafProgress]]&lt;1),Tasks[[#This Row],[_ShownFcstFinish]]+Tasks[[#This Row],[_Row]]/100000,"")</f>
        <v/>
      </c>
      <c r="GH16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8" s="42">
        <f>IF(Tasks[[#This Row],[Task Name]]="","",LEFT(Tasks[[#This Row],[WBS]],FIND(".",Tasks[[#This Row],[WBS]]&amp;".")-1))</f>
        <v/>
      </c>
      <c r="GJ168" s="42">
        <f>IF(AND(Tasks[[#This Row],[Task Name]]&lt;&gt;"",Tasks[[#This Row],[_Level]]=1),Tasks[[#This Row],[_Row]],"")</f>
        <v/>
      </c>
      <c r="GK168" s="42">
        <f>IF(AND(Tasks[[#This Row],[_IsLeaf]]=1,N(Tasks[[#This Row],[_Days]])=0),Tasks[[#This Row],[Planned Finish]]+Tasks[[#This Row],[_Row]]/100000,"")</f>
        <v/>
      </c>
      <c r="GL168" s="42">
        <f>IF(AND(Tasks[[#This Row],[_IsLeaf]]=1,Tasks[[#This Row],[_LeafProgress]]&lt;1,OR(N(Tasks[[#This Row],[Finish Var]])&gt;0,Tasks[[#This Row],[Status]]="Late Start")),MAX(0,Tasks[[#This Row],[Finish Var]])+1-Tasks[[#This Row],[_Row]]/1000000,"")</f>
        <v/>
      </c>
      <c r="GM168" s="42">
        <f>IF(AND(Tasks[[#This Row],[_IsLeaf]]=1,N(Tasks[[#This Row],[Actual Start]])=0,Tasks[[#This Row],[_ShownFcstStart]]&gt;=StatusDate,Tasks[[#This Row],[_ShownFcstStart]]&lt;=LookaheadEnd),Tasks[[#This Row],[_ShownFcstStart]]+Tasks[[#This Row],[_Row]]/100000,"")</f>
        <v/>
      </c>
      <c r="GN168" s="42">
        <f>IF(AND(Tasks[[#This Row],[_IsLeaf]]=1,Tasks[[#This Row],[_LeafProgress]]&lt;1,Tasks[[#This Row],[_ShownFcstFinish]]&gt;=StatusDate,Tasks[[#This Row],[_ShownFcstFinish]]&lt;=LookaheadEnd),Tasks[[#This Row],[_ShownFcstFinish]]+Tasks[[#This Row],[_Row]]/100000,"")</f>
        <v/>
      </c>
      <c r="GO168" s="42">
        <f>IF(Tasks[[#This Row],[_LeafCritical]],Tasks[[#This Row],[_ShownFcstStart]]+Tasks[[#This Row],[_Row]]/100000,"")</f>
        <v/>
      </c>
      <c r="GP168" s="42">
        <f>Tasks[[#This Row],[_LeafWork]]*Tasks[[#This Row],[_LeafProgress]]</f>
        <v/>
      </c>
      <c r="GQ168" s="88">
        <f>IF(AND(Tasks[[#This Row],[_IsLeaf]]=1,Tasks[[#This Row],[_LeafProgress]]&gt;=1),IF(N(Tasks[[#This Row],[Actual Finish]])&gt;0,Tasks[[#This Row],[Actual Finish]],Tasks[[#This Row],[_ShownFcstFinish]]),"")</f>
        <v/>
      </c>
      <c r="GR168" s="42">
        <f>IF(Tasks[[#This Row],[_IsLeaf]]=1,N(Tasks[[#This Row],[Story Points]]),0)</f>
        <v/>
      </c>
      <c r="GS168" s="42">
        <f>""</f>
        <v/>
      </c>
      <c r="GT168" s="42">
        <f>IF(Tasks[[#This Row],[Task Name]]="",FALSE(),AND(Tasks[[#This Row],[_IsLeaf]]=1,N(Tasks[[#This Row],[_Days]])=0))</f>
        <v/>
      </c>
      <c r="GU168" s="88">
        <f>IF(Tasks[[#This Row],[Task Name]]="",0,IF(AND(Tasks[[#This Row],[_IsLeaf]]=1,NOT(Tasks[[#This Row],[_IsMilestone]]),N(Tasks[[#This Row],[Progress]])&gt;0),Tasks[[#This Row],[Start]],0))</f>
        <v/>
      </c>
      <c r="GV168" s="88">
        <f>IF(Tasks[[#This Row],[_DoneFrom]]=0,0,IF(Tasks[[#This Row],[Progress]]&gt;=1,Tasks[[#This Row],[Finish]],MAX(Tasks[[#This Row],[_DoneFrom]],Tasks[[#This Row],[Start]]+ROUND((Tasks[[#This Row],[Finish]]-Tasks[[#This Row],[Start]]+1)*Tasks[[#This Row],[Progress]],0)-1)))</f>
        <v/>
      </c>
      <c r="GW168" s="88">
        <f>IF(Tasks[[#This Row],[Task Name]]="",0,IF(OR(NOT(Tasks[[#This Row],[_IsLeaf]]=1),Tasks[[#This Row],[_IsMilestone]],N(Tasks[[#This Row],[Progress]])&gt;=1),0,IF(Tasks[[#This Row],[_DoneTo]]&gt;0,Tasks[[#This Row],[_DoneTo]]+1,Tasks[[#This Row],[Start]])))</f>
        <v/>
      </c>
      <c r="GX168" s="88">
        <f>IF(Tasks[[#This Row],[_RemFrom]]=0,0,Tasks[[#This Row],[Finish]])</f>
        <v/>
      </c>
      <c r="GY168" s="42">
        <f>IF(Tasks[[#This Row],[Task Name]]="",FALSE(),OR(NOT(BaselineSet),N(Tasks[[#This Row],[Baseline Start]])&gt;0))</f>
        <v/>
      </c>
      <c r="GZ168" s="42">
        <f>IF(AND(Sandbox="Yes",L_PARSE_DURATION(Tasks[[#This Row],[Sandbox Duration]])&lt;&gt;""),L_PARSE_DURATION(Tasks[[#This Row],[Sandbox Duration]]),L_PARSE_DURATION(Tasks[[#This Row],[Duration]]))</f>
        <v/>
      </c>
      <c r="HA16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8" s="42">
        <f>IF(Tasks[[#This Row],[_IsLeaf]]=1,Tasks[[#This Row],[_Row]],"")</f>
        <v/>
      </c>
      <c r="HD168" s="42">
        <f>IFERROR(INDEX(Tasks[UID],SMALL(Tasks[_PickKey],Tasks[[#This Row],[_Row]]))&amp;" "&amp;INDEX(Tasks[Task Name],SMALL(Tasks[_PickKey],Tasks[[#This Row],[_Row]])),"")</f>
        <v/>
      </c>
      <c r="HE168" s="42">
        <f>IF(Tasks[[#This Row],[Task Name]]="","",IF(Tasks[[#This Row],[_IsSummary]],NETWORKDAYS.INTL(Tasks[[#This Row],[Start]],Tasks[[#This Row],[Finish]],WorkWeek,Holidays),N(Tasks[[#This Row],[_Days]])))</f>
        <v/>
      </c>
      <c r="HF168" s="42">
        <f>IF(Tasks[[#This Row],[Expected]]="",0,((Tasks[[#This Row],[Pessimistic]]-Tasks[[#This Row],[Optimistic]])/6)^2)</f>
        <v/>
      </c>
      <c r="HG168" s="42">
        <f>IF(Tasks[[#This Row],[Expected]]="",0,Tasks[[#This Row],[Expected]]-N(Tasks[[#This Row],[_Days]]))</f>
        <v/>
      </c>
    </row>
    <row r="169">
      <c r="A169" s="21">
        <f>IF(Tasks[[#This Row],[Task Name]]="","",COUNTA(Tasks[[#Headers],[Task Name]]:Tasks[[#This Row],[Task Name]])-1)</f>
        <v/>
      </c>
      <c r="B169" s="22" t="n">
        <v>177</v>
      </c>
      <c r="C169" s="22" t="n"/>
      <c r="D169" s="23" t="n"/>
      <c r="E169" s="22" t="n"/>
      <c r="F169" s="23" t="n"/>
      <c r="G169" s="22" t="n"/>
      <c r="H169" s="22" t="n"/>
      <c r="I169" s="23" t="n"/>
      <c r="J169" s="22" t="n"/>
      <c r="K169" s="22" t="n"/>
      <c r="L169" s="23" t="n"/>
      <c r="M169" s="22" t="n"/>
      <c r="N169" s="22" t="n"/>
      <c r="O169" s="23" t="n"/>
      <c r="P169" s="22" t="n"/>
      <c r="Q169" s="22" t="n"/>
      <c r="R169" s="23" t="n"/>
      <c r="S169" s="23" t="n"/>
      <c r="T169" s="82" t="n"/>
      <c r="U169" s="23" t="n"/>
      <c r="V169" s="82" t="n"/>
      <c r="W169" s="23" t="n"/>
      <c r="X169" s="82" t="n"/>
      <c r="Y169" s="23" t="n"/>
      <c r="Z169" s="82" t="n"/>
      <c r="AA169" s="23" t="n"/>
      <c r="AB169" s="23" t="n"/>
      <c r="AC169" s="7" t="n"/>
      <c r="AD169" s="7" t="n"/>
      <c r="AE169" s="61">
        <f>IF(Tasks[[#This Row],[Task Name]]="","",IF(Tasks[[#This Row],[_IsSummary]],MIN(INDEX(Tasks[_ShownFcstStart],Tasks[[#This Row],[_Row]]+1):INDEX(Tasks[_ShownFcstStart],Tasks[[#This Row],[_Row]]+Tasks[[#This Row],[_Descendants]])),Tasks[[#This Row],[_ShownFcstStart]]))</f>
        <v/>
      </c>
      <c r="AF169" s="61">
        <f>IF(Tasks[[#This Row],[Task Name]]="","",IF(Tasks[[#This Row],[_IsSummary]],MAX(INDEX(Tasks[_ShownFcstFinish],Tasks[[#This Row],[_Row]]+1):INDEX(Tasks[_ShownFcstFinish],Tasks[[#This Row],[_Row]]+Tasks[[#This Row],[_Descendants]])),Tasks[[#This Row],[_ShownFcstFinish]]))</f>
        <v/>
      </c>
      <c r="AG169" s="21">
        <f>""</f>
        <v/>
      </c>
      <c r="AH169" s="23" t="n"/>
      <c r="AI16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69" s="7" t="n"/>
      <c r="AK169" s="22" t="n"/>
      <c r="AL169" s="23" t="n"/>
      <c r="AM169" s="7" t="n"/>
      <c r="AN169" s="21">
        <f>IF(Tasks[[#This Row],[Task Name]]="","",IF(Tasks[[#This Row],[Finish]]&gt;=Tasks[[#This Row],[Planned Finish]],NETWORKDAYS.INTL(Tasks[[#This Row],[Planned Finish]],Tasks[[#This Row],[Finish]],WorkWeek,Holidays)-1,1-NETWORKDAYS.INTL(Tasks[[#This Row],[Finish]],Tasks[[#This Row],[Planned Finish]],WorkWeek,Holidays)))</f>
        <v/>
      </c>
      <c r="AO169" s="21">
        <f>IF(Tasks[[#This Row],[Task Name]]="","",IF(Tasks[[#This Row],[Progress]]&gt;=1,"Complete",IF(OR(N(Tasks[[#This Row],[Actual Start]])&gt;0,Tasks[[#This Row],[Progress]]&gt;0),IF(Tasks[[#This Row],[Finish Var]]&gt;0,"Behind","In Progress"),IF(Tasks[[#This Row],[Planned Start]]&lt;StatusDate,"Late Start","Not Started"))))</f>
        <v/>
      </c>
      <c r="AP169" s="21">
        <f>IF(Tasks[[#This Row],[Task Name]]="","",IF(IF(Tasks[[#This Row],[_IsSummary]],COUNTIF(INDEX(Tasks[_LeafCritical],Tasks[[#This Row],[_Row]]+1):INDEX(Tasks[_LeafCritical],Tasks[[#This Row],[_Row]]+Tasks[[#This Row],[_Descendants]]),TRUE())&gt;0,Tasks[[#This Row],[_LeafCritical]]),"Yes",""))</f>
        <v/>
      </c>
      <c r="AQ169" s="61">
        <f>IF(Tasks[[#This Row],[Task Name]]="","",IF(N(Tasks[[#This Row],[Baseline Start]])&gt;0,Tasks[[#This Row],[Baseline Start]],Tasks[[#This Row],[_CalcStart]]))</f>
        <v/>
      </c>
      <c r="AR169" s="61">
        <f>IF(Tasks[[#This Row],[Task Name]]="","",IF(N(Tasks[[#This Row],[Baseline Finish]])&gt;0,Tasks[[#This Row],[Baseline Finish]],Tasks[[#This Row],[_CalcFinish]]))</f>
        <v/>
      </c>
      <c r="AS169" s="21">
        <f>IF(Tasks[[#This Row],[Task Name]]="","",IF(Tasks[[#This Row],[Start]]&gt;=Tasks[[#This Row],[Planned Start]],NETWORKDAYS.INTL(Tasks[[#This Row],[Planned Start]],Tasks[[#This Row],[Start]],WorkWeek,Holidays)-1,1-NETWORKDAYS.INTL(Tasks[[#This Row],[Start]],Tasks[[#This Row],[Planned Start]],WorkWeek,Holidays)))</f>
        <v/>
      </c>
      <c r="AT169" s="61">
        <f>IF(Tasks[[#This Row],[Task Name]]="","",IF(Tasks[[#This Row],[_IsSummary]],MIN(INDEX(Tasks[_LeafLateStart],Tasks[[#This Row],[_Row]]+1):INDEX(Tasks[_LeafLateStart],Tasks[[#This Row],[_Row]]+Tasks[[#This Row],[_Descendants]])),Tasks[[#This Row],[_LeafLateStart]]))</f>
        <v/>
      </c>
      <c r="AU169" s="61">
        <f>IF(Tasks[[#This Row],[Task Name]]="","",IF(Tasks[[#This Row],[_IsSummary]],MAX(INDEX(Tasks[_LeafLateFinish],Tasks[[#This Row],[_Row]]+1):INDEX(Tasks[_LeafLateFinish],Tasks[[#This Row],[_Row]]+Tasks[[#This Row],[_Descendants]])),Tasks[[#This Row],[_LeafLateFinish]]))</f>
        <v/>
      </c>
      <c r="AV169" s="21">
        <f>IF(Tasks[[#This Row],[Task Name]]="","",IF(Tasks[[#This Row],[_IsSummary]],MIN(INDEX(Tasks[_LeafTotalSlack],Tasks[[#This Row],[_Row]]+1):INDEX(Tasks[_LeafTotalSlack],Tasks[[#This Row],[_Row]]+Tasks[[#This Row],[_Descendants]])),Tasks[[#This Row],[_LeafTotalSlack]]))</f>
        <v/>
      </c>
      <c r="AW16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3" t="n"/>
      <c r="BA16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f>IF(Tasks[[#This Row],[Task Name]]="","",IF(Tasks[[#This Row],[_Level]]&lt;=OutlineShowLevel,"Yes","No"))</f>
        <v/>
      </c>
      <c r="BE169" s="84">
        <f>IF(Tasks[[#This Row],[Task Name]]="","",IF(Tasks[[#This Row],[_IsSummary]],SUM(INDEX(Tasks[_LeafTotalWork],Tasks[[#This Row],[_Row]]+1):INDEX(Tasks[_LeafTotalWork],Tasks[[#This Row],[_Row]]+Tasks[[#This Row],[_Descendants]])),Tasks[[#This Row],[_LeafTotalWork]]))</f>
        <v/>
      </c>
      <c r="BF169" s="23" t="n"/>
      <c r="BG16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f>""</f>
        <v/>
      </c>
      <c r="BI169" s="85" t="n"/>
      <c r="BJ169" s="22" t="n"/>
      <c r="BK169" s="21">
        <f>IF(OR(Tasks[[#This Row],[Task Name]]="",Tasks[[#This Row],[Baseline Duration]]=""),"",Tasks[[#This Row],[_SpanDays]]-N(Tasks[[#This Row],[Baseline Duration]]))</f>
        <v/>
      </c>
      <c r="BL169" s="84">
        <f>IF(OR(Tasks[[#This Row],[Task Name]]="",Tasks[[#This Row],[Baseline Work]]=""),"",Tasks[[#This Row],[Work]]-N(Tasks[[#This Row],[Baseline Work]]))</f>
        <v/>
      </c>
      <c r="BM169" s="61">
        <f>IF(Tasks[[#This Row],[Task Name]]="","",IF(OR(TakeBaseline="Yes",N(Tasks[[#This Row],[Baseline Start]])=0),Tasks[[#This Row],[Start]],Tasks[[#This Row],[Baseline Start]]))</f>
        <v/>
      </c>
      <c r="BN169" s="61">
        <f>IF(Tasks[[#This Row],[Task Name]]="","",IF(OR(TakeBaseline="Yes",N(Tasks[[#This Row],[Baseline Finish]])=0),Tasks[[#This Row],[Finish]],Tasks[[#This Row],[Baseline Finish]]))</f>
        <v/>
      </c>
      <c r="BO169" s="21">
        <f>IF(Tasks[[#This Row],[Task Name]]="","",IF(OR(TakeBaseline="Yes",N(Tasks[[#This Row],[Baseline Duration]])=0),Tasks[[#This Row],[_SpanDays]],Tasks[[#This Row],[Baseline Duration]]))</f>
        <v/>
      </c>
      <c r="BP169" s="84">
        <f>IF(Tasks[[#This Row],[Task Name]]="","",IF(OR(TakeBaseline="Yes",N(Tasks[[#This Row],[Baseline Work]])=0),Tasks[[#This Row],[Work]],Tasks[[#This Row],[Baseline Work]]))</f>
        <v/>
      </c>
      <c r="BQ169" s="7" t="n"/>
      <c r="BR169" s="7" t="n"/>
      <c r="BS169" s="22" t="n"/>
      <c r="BT169" s="86" t="n"/>
      <c r="BU169" s="23" t="n"/>
      <c r="BV169" s="23" t="n"/>
      <c r="BW169" s="23" t="n"/>
      <c r="BX169" s="87">
        <f>IF(AND(Tasks[[#This Row],[_IsLeaf]]=1,ISNUMBER(Tasks[[#This Row],[Optimistic]]),ISNUMBER(Tasks[[#This Row],[Pessimistic]])),ROUND((Tasks[[#This Row],[Optimistic]]+4*N(Tasks[[#This Row],[_Days]])+Tasks[[#This Row],[Pessimistic]])/6,1),"")</f>
        <v/>
      </c>
      <c r="BY169" s="85" t="n"/>
      <c r="BZ169" s="85" t="n"/>
      <c r="CA169" s="22" t="n"/>
      <c r="CB169" s="42">
        <f>IF(Tasks[[#This Row],[Task Name]]="","",MAX(1,N(Tasks[[#This Row],[Level]])))</f>
        <v/>
      </c>
      <c r="CC169" s="42">
        <f>ROW()-ROW(Tasks[[#Headers],[ID]])</f>
        <v/>
      </c>
      <c r="CD169" s="42">
        <f>IF(OR(Tasks[[#This Row],[Task Name]]="",Tasks[[#This Row],[_Level]]&lt;=1),0,IFERROR(LOOKUP(2,1/(Tasks[[#Headers],[_Level]]:Tasks[[#This Row],[_Level]]=Tasks[[#This Row],[_Level]]-1),ROW(Tasks[[#Headers],[_Level]]:Tasks[[#This Row],[_Level]])),0))</f>
        <v/>
      </c>
      <c r="CE169" s="42">
        <f>IFERROR(N(INDEX(Tasks[_Level],Tasks[[#This Row],[_Row]]+1)),0)</f>
        <v/>
      </c>
      <c r="CF169" s="42">
        <f>AND(Tasks[[#This Row],[Task Name]]&lt;&gt;"",Tasks[[#This Row],[_NextLevel]]&gt;Tasks[[#This Row],[_Level]])</f>
        <v/>
      </c>
      <c r="CG169" s="42">
        <f>IF(Tasks[[#This Row],[_IsSummary]],COUNTIF(Tasks[WBS],Tasks[[#This Row],[WBS]]&amp;".*"),0)</f>
        <v/>
      </c>
      <c r="CH169" s="42">
        <f>IF(AND(Tasks[[#This Row],[Task Name]]&lt;&gt;"",NOT(Tasks[[#This Row],[_IsSummary]])),1,0)</f>
        <v/>
      </c>
      <c r="CI169" s="42">
        <f>IF(N(Tasks[[#This Row],[_Pred1UID]])=0,0,IFERROR(MATCH(Tasks[[#This Row],[_Pred1UID]],Tasks[UID],0),-1))</f>
        <v/>
      </c>
      <c r="CJ169" s="42">
        <f>IF(N(Tasks[[#This Row],[_Pred2UID]])=0,0,IFERROR(MATCH(Tasks[[#This Row],[_Pred2UID]],Tasks[UID],0),-1))</f>
        <v/>
      </c>
      <c r="CK169" s="42">
        <f>IF(N(Tasks[[#This Row],[_Pred3UID]])=0,0,IFERROR(MATCH(Tasks[[#This Row],[_Pred3UID]],Tasks[UID],0),-1))</f>
        <v/>
      </c>
      <c r="CL169" s="42">
        <f>IF(N(Tasks[[#This Row],[_Pred4UID]])=0,0,IFERROR(MATCH(Tasks[[#This Row],[_Pred4UID]],Tasks[UID],0),-1))</f>
        <v/>
      </c>
      <c r="CM16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9" s="88">
        <f>IF(N(Tasks[[#This Row],[Constraint Date]])=0,0,IF(AND(OR(Tasks[[#This Row],[_ConstraintCode]]=3,Tasks[[#This Row],[_ConstraintCode]]=6,Tasks[[#This Row],[_ConstraintCode]]=7),N(Tasks[[#This Row],[_Days]])&gt;1),WORKDAY.INTL(N(Tasks[[#This Row],[Constraint Date]]),-(N(Tasks[[#This Row],[_Days]])-1),WorkWeek,Holidays),N(Tasks[[#This Row],[Constraint Date]])))</f>
        <v/>
      </c>
      <c r="CO169" s="88">
        <f>IF(OR(Tasks[[#This Row],[_ConstraintCode]]=2,Tasks[[#This Row],[_ConstraintCode]]=3,Tasks[[#This Row],[_ConstraintCode]]=4,Tasks[[#This Row],[_ConstraintCode]]=6),Tasks[[#This Row],[_ConstraintStart]],0)</f>
        <v/>
      </c>
      <c r="CP169" s="88">
        <f>IF(OR(Tasks[[#This Row],[_ConstraintCode]]=2,Tasks[[#This Row],[_ConstraintCode]]=3,Tasks[[#This Row],[_ConstraintCode]]=5,Tasks[[#This Row],[_ConstraintCode]]=7),Tasks[[#This Row],[_ConstraintStart]],2958465)</f>
        <v/>
      </c>
      <c r="CQ16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9" s="88">
        <f>IF(NOT(Tasks[[#This Row],[_IsLeaf]]=1),"",IF(N(Tasks[[#This Row],[_Days]])&lt;=0,Tasks[[#This Row],[_LeafCalcStart]],WORKDAY.INTL(Tasks[[#This Row],[_LeafCalcStart]],Tasks[[#This Row],[_Days]]-1,WorkWeek,Holidays)))</f>
        <v/>
      </c>
      <c r="CS16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9" s="42">
        <f>IF(Tasks[[#This Row],[_Predecessors]]="","",TRIM(MID(SUBSTITUTE(SUBSTITUTE(SUBSTITUTE(UPPER(Tasks[[#This Row],[_Predecessors]]),";",",")," ",""),",",REPT(" ",99)),1,99)))</f>
        <v/>
      </c>
      <c r="CV169" s="42">
        <f>IF(Tasks[[#This Row],[_Pred1Text]]="","",IFERROR(VALUE(LEFT(Tasks[[#This Row],[_Pred1Text]],MIN(FIND("F",Tasks[[#This Row],[_Pred1Text]]&amp;"F"),FIND("S",Tasks[[#This Row],[_Pred1Text]]&amp;"S"),FIND("+",Tasks[[#This Row],[_Pred1Text]]&amp;"+"),FIND("-",Tasks[[#This Row],[_Pred1Text]]&amp;"-"))-1)),""))</f>
        <v/>
      </c>
      <c r="CW16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9" s="42">
        <f>IF(Tasks[[#This Row],[_Pred1Text]]="","",TRIM(MID(SUBSTITUTE(SUBSTITUTE(SUBSTITUTE(UPPER(Tasks[[#This Row],[_Predecessors]]),";",",")," ",""),",",REPT(" ",99)),100,99)))</f>
        <v/>
      </c>
      <c r="CZ169" s="42">
        <f>IF(Tasks[[#This Row],[_Pred2Text]]="","",IFERROR(VALUE(LEFT(Tasks[[#This Row],[_Pred2Text]],MIN(FIND("F",Tasks[[#This Row],[_Pred2Text]]&amp;"F"),FIND("S",Tasks[[#This Row],[_Pred2Text]]&amp;"S"),FIND("+",Tasks[[#This Row],[_Pred2Text]]&amp;"+"),FIND("-",Tasks[[#This Row],[_Pred2Text]]&amp;"-"))-1)),""))</f>
        <v/>
      </c>
      <c r="DA16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9" s="42">
        <f>IF(Tasks[[#This Row],[_Pred2Text]]="","",TRIM(MID(SUBSTITUTE(SUBSTITUTE(SUBSTITUTE(UPPER(Tasks[[#This Row],[_Predecessors]]),";",",")," ",""),",",REPT(" ",99)),199,99)))</f>
        <v/>
      </c>
      <c r="DD169" s="42">
        <f>IF(Tasks[[#This Row],[_Pred3Text]]="","",IFERROR(VALUE(LEFT(Tasks[[#This Row],[_Pred3Text]],MIN(FIND("F",Tasks[[#This Row],[_Pred3Text]]&amp;"F"),FIND("S",Tasks[[#This Row],[_Pred3Text]]&amp;"S"),FIND("+",Tasks[[#This Row],[_Pred3Text]]&amp;"+"),FIND("-",Tasks[[#This Row],[_Pred3Text]]&amp;"-"))-1)),""))</f>
        <v/>
      </c>
      <c r="DE16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9" s="42">
        <f>IF(Tasks[[#This Row],[_Pred3Text]]="","",TRIM(MID(SUBSTITUTE(SUBSTITUTE(SUBSTITUTE(UPPER(Tasks[[#This Row],[_Predecessors]]),";",",")," ",""),",",REPT(" ",99)),298,99)))</f>
        <v/>
      </c>
      <c r="DH169" s="42">
        <f>IF(Tasks[[#This Row],[_Pred4Text]]="","",IFERROR(VALUE(LEFT(Tasks[[#This Row],[_Pred4Text]],MIN(FIND("F",Tasks[[#This Row],[_Pred4Text]]&amp;"F"),FIND("S",Tasks[[#This Row],[_Pred4Text]]&amp;"S"),FIND("+",Tasks[[#This Row],[_Pred4Text]]&amp;"+"),FIND("-",Tasks[[#This Row],[_Pred4Text]]&amp;"-"))-1)),""))</f>
        <v/>
      </c>
      <c r="DI16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9" s="42">
        <f>IF(OR(Tasks[[#This Row],[Task Name]]="",Tasks[[#This Row],[_Resources]]=""),"",TRIM(MID(SUBSTITUTE(Tasks[[#This Row],[_Resources]],",",REPT(" ",99)),1,99)))</f>
        <v/>
      </c>
      <c r="DL169" s="42">
        <f>IF(Tasks[[#This Row],[_Res1Text]]="","",TRIM(MID(SUBSTITUTE(Tasks[[#This Row],[_Resources]],",",REPT(" ",99)),100,99)))</f>
        <v/>
      </c>
      <c r="DM169" s="42">
        <f>IF(Tasks[[#This Row],[_Res2Text]]="","",TRIM(MID(SUBSTITUTE(Tasks[[#This Row],[_Resources]],",",REPT(" ",99)),199,99)))</f>
        <v/>
      </c>
      <c r="DN169" s="42">
        <f>IF(Tasks[[#This Row],[_Res3Text]]="","",TRIM(MID(SUBSTITUTE(Tasks[[#This Row],[_Resources]],",",REPT(" ",99)),298,99)))</f>
        <v/>
      </c>
      <c r="DO169" s="42">
        <f>IF(Tasks[[#This Row],[_Res1Text]]="",0,IFERROR(MATCH(TRIM(LEFT(Tasks[[#This Row],[_Res1Text]],FIND("[",Tasks[[#This Row],[_Res1Text]]&amp;"[")-1)),res_Name,0),IFERROR(MATCH(TRIM(LEFT(Tasks[[#This Row],[_Res1Text]],FIND("[",Tasks[[#This Row],[_Res1Text]]&amp;"[")-1)),res_Initials,0),0)))</f>
        <v/>
      </c>
      <c r="DP169" s="42">
        <f>IF(Tasks[[#This Row],[_Res2Text]]="",0,IFERROR(MATCH(TRIM(LEFT(Tasks[[#This Row],[_Res2Text]],FIND("[",Tasks[[#This Row],[_Res2Text]]&amp;"[")-1)),res_Name,0),IFERROR(MATCH(TRIM(LEFT(Tasks[[#This Row],[_Res2Text]],FIND("[",Tasks[[#This Row],[_Res2Text]]&amp;"[")-1)),res_Initials,0),0)))</f>
        <v/>
      </c>
      <c r="DQ169" s="42">
        <f>IF(Tasks[[#This Row],[_Res3Text]]="",0,IFERROR(MATCH(TRIM(LEFT(Tasks[[#This Row],[_Res3Text]],FIND("[",Tasks[[#This Row],[_Res3Text]]&amp;"[")-1)),res_Name,0),IFERROR(MATCH(TRIM(LEFT(Tasks[[#This Row],[_Res3Text]],FIND("[",Tasks[[#This Row],[_Res3Text]]&amp;"[")-1)),res_Initials,0),0)))</f>
        <v/>
      </c>
      <c r="DR169" s="42">
        <f>IF(Tasks[[#This Row],[_Res4Text]]="",0,IFERROR(MATCH(TRIM(LEFT(Tasks[[#This Row],[_Res4Text]],FIND("[",Tasks[[#This Row],[_Res4Text]]&amp;"[")-1)),res_Name,0),IFERROR(MATCH(TRIM(LEFT(Tasks[[#This Row],[_Res4Text]],FIND("[",Tasks[[#This Row],[_Res4Text]]&amp;"[")-1)),res_Initials,0),0)))</f>
        <v/>
      </c>
      <c r="DS169" s="42">
        <f>IF(Tasks[[#This Row],[_Res1Text]]="","",IF(Tasks[[#This Row],[_Res1Row]]&gt;0,INDEX(res_Name,Tasks[[#This Row],[_Res1Row]]),TRIM(LEFT(Tasks[[#This Row],[_Res1Text]],FIND("[",Tasks[[#This Row],[_Res1Text]]&amp;"[")-1))))</f>
        <v/>
      </c>
      <c r="DT16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9" s="42">
        <f>IF(NOT(Tasks[[#This Row],[_IsLeaf]]=1),0,(Tasks[[#This Row],[_Resource1]]&lt;&gt;"")+(Tasks[[#This Row],[_Res2]]&lt;&gt;"")+(Tasks[[#This Row],[_Res3]]&lt;&gt;"")+(Tasks[[#This Row],[_Res4]]&lt;&gt;""))</f>
        <v/>
      </c>
      <c r="DV169" s="42">
        <f>IF(Tasks[[#This Row],[_Res2Text]]="","",IF(Tasks[[#This Row],[_Res2Row]]&gt;0,INDEX(res_Name,Tasks[[#This Row],[_Res2Row]]),TRIM(LEFT(Tasks[[#This Row],[_Res2Text]],FIND("[",Tasks[[#This Row],[_Res2Text]]&amp;"[")-1))))</f>
        <v/>
      </c>
      <c r="DW16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9" s="42">
        <f>IF(OR(NOT(Tasks[[#This Row],[_IsLeaf]]=1),Tasks[[#This Row],[_Res2Row]]=0),0,N(Tasks[[#This Row],[_Days]])*HoursPerDay*IF(Tasks[[#This Row],[_Res2Units]]="",DefaultUnits,Tasks[[#This Row],[_Res2Units]]))</f>
        <v/>
      </c>
      <c r="DY169" s="42">
        <f>IF(AND(AND(Tasks[[#This Row],[_IsLeaf]]=1,Tasks[[#This Row],[_LeafTotalWork]]&gt;0),Tasks[[#This Row],[_Res2Work]]&gt;0),Tasks[[#This Row],[_Res2Work]]/(Tasks[[#This Row],[_FinishWorkday]]-Tasks[[#This Row],[_StartWorkday]]+1),0)</f>
        <v/>
      </c>
      <c r="DZ169" s="42">
        <f>Tasks[[#This Row],[_Res2WorkPerWD]]*MAX(0,Tasks[[#This Row],[_StartWorkday]]-1)</f>
        <v/>
      </c>
      <c r="EA169" s="42">
        <f>Tasks[[#This Row],[_Res2Work]]*Tasks[[#This Row],[_LeafProgress]]</f>
        <v/>
      </c>
      <c r="EB169" s="42">
        <f>IF(Tasks[[#This Row],[_Res3Text]]="","",IF(Tasks[[#This Row],[_Res3Row]]&gt;0,INDEX(res_Name,Tasks[[#This Row],[_Res3Row]]),TRIM(LEFT(Tasks[[#This Row],[_Res3Text]],FIND("[",Tasks[[#This Row],[_Res3Text]]&amp;"[")-1))))</f>
        <v/>
      </c>
      <c r="EC16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9" s="42">
        <f>IF(OR(NOT(Tasks[[#This Row],[_IsLeaf]]=1),Tasks[[#This Row],[_Res3Row]]=0),0,N(Tasks[[#This Row],[_Days]])*HoursPerDay*IF(Tasks[[#This Row],[_Res3Units]]="",DefaultUnits,Tasks[[#This Row],[_Res3Units]]))</f>
        <v/>
      </c>
      <c r="EE169" s="42">
        <f>IF(AND(AND(Tasks[[#This Row],[_IsLeaf]]=1,Tasks[[#This Row],[_LeafTotalWork]]&gt;0),Tasks[[#This Row],[_Res3Work]]&gt;0),Tasks[[#This Row],[_Res3Work]]/(Tasks[[#This Row],[_FinishWorkday]]-Tasks[[#This Row],[_StartWorkday]]+1),0)</f>
        <v/>
      </c>
      <c r="EF169" s="42">
        <f>Tasks[[#This Row],[_Res3WorkPerWD]]*MAX(0,Tasks[[#This Row],[_StartWorkday]]-1)</f>
        <v/>
      </c>
      <c r="EG169" s="42">
        <f>Tasks[[#This Row],[_Res3Work]]*Tasks[[#This Row],[_LeafProgress]]</f>
        <v/>
      </c>
      <c r="EH169" s="42">
        <f>IF(Tasks[[#This Row],[_Res4Text]]="","",IF(Tasks[[#This Row],[_Res4Row]]&gt;0,INDEX(res_Name,Tasks[[#This Row],[_Res4Row]]),TRIM(LEFT(Tasks[[#This Row],[_Res4Text]],FIND("[",Tasks[[#This Row],[_Res4Text]]&amp;"[")-1))))</f>
        <v/>
      </c>
      <c r="EI16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9" s="42">
        <f>IF(OR(NOT(Tasks[[#This Row],[_IsLeaf]]=1),Tasks[[#This Row],[_Res4Row]]=0),0,N(Tasks[[#This Row],[_Days]])*HoursPerDay*IF(Tasks[[#This Row],[_Res4Units]]="",DefaultUnits,Tasks[[#This Row],[_Res4Units]]))</f>
        <v/>
      </c>
      <c r="EK169" s="42">
        <f>IF(AND(AND(Tasks[[#This Row],[_IsLeaf]]=1,Tasks[[#This Row],[_LeafTotalWork]]&gt;0),Tasks[[#This Row],[_Res4Work]]&gt;0),Tasks[[#This Row],[_Res4Work]]/(Tasks[[#This Row],[_FinishWorkday]]-Tasks[[#This Row],[_StartWorkday]]+1),0)</f>
        <v/>
      </c>
      <c r="EL169" s="42">
        <f>Tasks[[#This Row],[_Res4WorkPerWD]]*MAX(0,Tasks[[#This Row],[_StartWorkday]]-1)</f>
        <v/>
      </c>
      <c r="EM169" s="42">
        <f>Tasks[[#This Row],[_Res4Work]]*Tasks[[#This Row],[_LeafProgress]]</f>
        <v/>
      </c>
      <c r="EN169" s="42">
        <f>IF(ISNUMBER(Tasks[[#This Row],[% Complete]]),Tasks[[#This Row],[% Complete]],IF(Tasks[[#This Row],[Stage]]="",0,IFERROR(INDEX(stg_Pct,MATCH(Tasks[[#This Row],[Stage]],stg_Name,0)),0)))</f>
        <v/>
      </c>
      <c r="EO169" s="42">
        <f>IF(NOT(Tasks[[#This Row],[_IsLeaf]]=1),0,IF(N(Tasks[[#This Row],[Actual Finish]])&gt;0,1,MIN(1,Tasks[[#This Row],[_Pct]])))</f>
        <v/>
      </c>
      <c r="EP169" s="42">
        <f>IF(OR(NOT(Tasks[[#This Row],[_IsLeaf]]=1),Tasks[[#This Row],[_Res1Row]]=0),0,N(Tasks[[#This Row],[_Days]])*HoursPerDay*IF(Tasks[[#This Row],[_Units1]]="",DefaultUnits,Tasks[[#This Row],[_Units1]]))</f>
        <v/>
      </c>
      <c r="EQ169" s="42">
        <f>Tasks[[#This Row],[_LeafWork]]+Tasks[[#This Row],[_Res2Work]]+Tasks[[#This Row],[_Res3Work]]+Tasks[[#This Row],[_Res4Work]]</f>
        <v/>
      </c>
      <c r="ER16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9" s="42">
        <f>IF(NOT(Tasks[[#This Row],[_IsLeaf]]=1),0,MAX(_xlfn.MAXIFS(Tasks[_Row],Tasks[_Pred1UID],Tasks[[#This Row],[UID]]),_xlfn.MAXIFS(Tasks[_Row],Tasks[_Pred2UID],Tasks[[#This Row],[UID]]),_xlfn.MAXIFS(Tasks[_Row],Tasks[_Pred3UID],Tasks[[#This Row],[UID]]),_xlfn.MAXIFS(Tasks[_Row],Tasks[_Pred4UID],Tasks[[#This Row],[UID]])))</f>
        <v/>
      </c>
      <c r="FA16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9" s="88">
        <f>IF(NOT(Tasks[[#This Row],[_IsLeaf]]=1),"",IF(N(Tasks[[#This Row],[_Days]])&lt;=0,Tasks[[#This Row],[_LeafLateFinish]],WORKDAY.INTL(Tasks[[#This Row],[_LeafLateFinish]],-(Tasks[[#This Row],[_Days]]-1),WorkWeek,Holidays)))</f>
        <v/>
      </c>
      <c r="FD16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9" s="42">
        <f>AND(Tasks[[#This Row],[_IsLeaf]]=1,Tasks[[#This Row],[_LeafProgress]]&lt;1,N(Tasks[[#This Row],[_LeafTotalSlack]])&lt;=CriticalSlackDays)</f>
        <v/>
      </c>
      <c r="FF169" s="42">
        <f>IF(AND(Tasks[[#This Row],[_IsLeaf]]=1,Tasks[[#This Row],[_ConstraintCode]]=1,Tasks[[#This Row],[Mode]]&lt;&gt;"Manual",N(Tasks[[#This Row],[Actual Start]])=0),MAX(0,N(Tasks[[#This Row],[Free Slack]])),0)</f>
        <v/>
      </c>
      <c r="FG169" s="88">
        <f>IF(NOT(Tasks[[#This Row],[_IsLeaf]]=1),"",IF(Tasks[[#This Row],[_AlapShift]]=0,Tasks[[#This Row],[_LeafCalcStart]],WORKDAY.INTL(Tasks[[#This Row],[_LeafCalcStart]],Tasks[[#This Row],[_AlapShift]],WorkWeek,Holidays)))</f>
        <v/>
      </c>
      <c r="FH169" s="88">
        <f>IF(NOT(Tasks[[#This Row],[_IsLeaf]]=1),"",IF(Tasks[[#This Row],[_AlapShift]]=0,Tasks[[#This Row],[_LeafCalcFinish]],WORKDAY.INTL(Tasks[[#This Row],[_LeafCalcFinish]],Tasks[[#This Row],[_AlapShift]],WorkWeek,Holidays)))</f>
        <v/>
      </c>
      <c r="FI169" s="88">
        <f>IF(NOT(Tasks[[#This Row],[_IsLeaf]]=1),"",IF(Tasks[[#This Row],[_AlapShift]]=0,Tasks[[#This Row],[_LeafFcstStart]],WORKDAY.INTL(Tasks[[#This Row],[_LeafFcstStart]],Tasks[[#This Row],[_AlapShift]],WorkWeek,Holidays)))</f>
        <v/>
      </c>
      <c r="FJ169" s="88">
        <f>IF(NOT(Tasks[[#This Row],[_IsLeaf]]=1),"",IF(Tasks[[#This Row],[_AlapShift]]=0,Tasks[[#This Row],[_LeafFcstFinish]],WORKDAY.INTL(Tasks[[#This Row],[_LeafFcstFinish]],Tasks[[#This Row],[_AlapShift]],WorkWeek,Holidays)))</f>
        <v/>
      </c>
      <c r="FK169" s="88">
        <f>IF(Tasks[[#This Row],[Task Name]]="","",IF(Tasks[[#This Row],[_IsSummary]],MIN(INDEX(Tasks[_ShownCalcStart],Tasks[[#This Row],[_Row]]+1):INDEX(Tasks[_ShownCalcStart],Tasks[[#This Row],[_Row]]+Tasks[[#This Row],[_Descendants]])),Tasks[[#This Row],[_ShownCalcStart]]))</f>
        <v/>
      </c>
      <c r="FL169" s="88">
        <f>IF(Tasks[[#This Row],[Task Name]]="","",IF(Tasks[[#This Row],[_IsSummary]],MAX(INDEX(Tasks[_ShownCalcFinish],Tasks[[#This Row],[_Row]]+1):INDEX(Tasks[_ShownCalcFinish],Tasks[[#This Row],[_Row]]+Tasks[[#This Row],[_Descendants]])),Tasks[[#This Row],[_ShownCalcFinish]]))</f>
        <v/>
      </c>
      <c r="FM16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9" s="42">
        <f>IF(AND(Tasks[[#This Row],[_IsLeaf]]=1,Tasks[[#This Row],[_LeafTotalWork]]&gt;0),NETWORKDAYS.INTL(ProjectStart,Tasks[[#This Row],[_ShownFcstStart]],WorkWeek,Holidays),0)</f>
        <v/>
      </c>
      <c r="FZ169" s="42">
        <f>IF(AND(Tasks[[#This Row],[_IsLeaf]]=1,Tasks[[#This Row],[_LeafTotalWork]]&gt;0),MAX(Tasks[[#This Row],[_StartWorkday]],NETWORKDAYS.INTL(ProjectStart,Tasks[[#This Row],[_ShownFcstFinish]],WorkWeek,Holidays)),0)</f>
        <v/>
      </c>
      <c r="GA169" s="42">
        <f>IF(AND(Tasks[[#This Row],[_IsLeaf]]=1,Tasks[[#This Row],[_LeafTotalWork]]&gt;0),Tasks[[#This Row],[_LeafWork]]/(Tasks[[#This Row],[_FinishWorkday]]-Tasks[[#This Row],[_StartWorkday]]+1),0)</f>
        <v/>
      </c>
      <c r="GB169" s="42">
        <f>Tasks[[#This Row],[_WorkPerWorkday]]*(Tasks[[#This Row],[_StartWorkday]]-1)</f>
        <v/>
      </c>
      <c r="GC169" s="42">
        <f>IF(Tasks[[#This Row],[_IsLeaf]]=1,MAX(N(Tasks[[#This Row],[_Days]]),0.1),0)</f>
        <v/>
      </c>
      <c r="GD169" s="42">
        <f>Tasks[[#This Row],[_WeightDur]]*Tasks[[#This Row],[_LeafProgress]]</f>
        <v/>
      </c>
      <c r="GE169" s="42">
        <f>Tasks[[#This Row],[_WeightDur]]*Tasks[[#This Row],[_PlannedPct]]</f>
        <v/>
      </c>
      <c r="GF16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9" s="42">
        <f>IF(AND(Tasks[[#This Row],[_IsLeaf]]=1,N(Tasks[[#This Row],[_Days]])=0,Tasks[[#This Row],[_LeafProgress]]&lt;1),Tasks[[#This Row],[_ShownFcstFinish]]+Tasks[[#This Row],[_Row]]/100000,"")</f>
        <v/>
      </c>
      <c r="GH16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9" s="42">
        <f>IF(Tasks[[#This Row],[Task Name]]="","",LEFT(Tasks[[#This Row],[WBS]],FIND(".",Tasks[[#This Row],[WBS]]&amp;".")-1))</f>
        <v/>
      </c>
      <c r="GJ169" s="42">
        <f>IF(AND(Tasks[[#This Row],[Task Name]]&lt;&gt;"",Tasks[[#This Row],[_Level]]=1),Tasks[[#This Row],[_Row]],"")</f>
        <v/>
      </c>
      <c r="GK169" s="42">
        <f>IF(AND(Tasks[[#This Row],[_IsLeaf]]=1,N(Tasks[[#This Row],[_Days]])=0),Tasks[[#This Row],[Planned Finish]]+Tasks[[#This Row],[_Row]]/100000,"")</f>
        <v/>
      </c>
      <c r="GL169" s="42">
        <f>IF(AND(Tasks[[#This Row],[_IsLeaf]]=1,Tasks[[#This Row],[_LeafProgress]]&lt;1,OR(N(Tasks[[#This Row],[Finish Var]])&gt;0,Tasks[[#This Row],[Status]]="Late Start")),MAX(0,Tasks[[#This Row],[Finish Var]])+1-Tasks[[#This Row],[_Row]]/1000000,"")</f>
        <v/>
      </c>
      <c r="GM169" s="42">
        <f>IF(AND(Tasks[[#This Row],[_IsLeaf]]=1,N(Tasks[[#This Row],[Actual Start]])=0,Tasks[[#This Row],[_ShownFcstStart]]&gt;=StatusDate,Tasks[[#This Row],[_ShownFcstStart]]&lt;=LookaheadEnd),Tasks[[#This Row],[_ShownFcstStart]]+Tasks[[#This Row],[_Row]]/100000,"")</f>
        <v/>
      </c>
      <c r="GN169" s="42">
        <f>IF(AND(Tasks[[#This Row],[_IsLeaf]]=1,Tasks[[#This Row],[_LeafProgress]]&lt;1,Tasks[[#This Row],[_ShownFcstFinish]]&gt;=StatusDate,Tasks[[#This Row],[_ShownFcstFinish]]&lt;=LookaheadEnd),Tasks[[#This Row],[_ShownFcstFinish]]+Tasks[[#This Row],[_Row]]/100000,"")</f>
        <v/>
      </c>
      <c r="GO169" s="42">
        <f>IF(Tasks[[#This Row],[_LeafCritical]],Tasks[[#This Row],[_ShownFcstStart]]+Tasks[[#This Row],[_Row]]/100000,"")</f>
        <v/>
      </c>
      <c r="GP169" s="42">
        <f>Tasks[[#This Row],[_LeafWork]]*Tasks[[#This Row],[_LeafProgress]]</f>
        <v/>
      </c>
      <c r="GQ169" s="88">
        <f>IF(AND(Tasks[[#This Row],[_IsLeaf]]=1,Tasks[[#This Row],[_LeafProgress]]&gt;=1),IF(N(Tasks[[#This Row],[Actual Finish]])&gt;0,Tasks[[#This Row],[Actual Finish]],Tasks[[#This Row],[_ShownFcstFinish]]),"")</f>
        <v/>
      </c>
      <c r="GR169" s="42">
        <f>IF(Tasks[[#This Row],[_IsLeaf]]=1,N(Tasks[[#This Row],[Story Points]]),0)</f>
        <v/>
      </c>
      <c r="GS169" s="42">
        <f>""</f>
        <v/>
      </c>
      <c r="GT169" s="42">
        <f>IF(Tasks[[#This Row],[Task Name]]="",FALSE(),AND(Tasks[[#This Row],[_IsLeaf]]=1,N(Tasks[[#This Row],[_Days]])=0))</f>
        <v/>
      </c>
      <c r="GU169" s="88">
        <f>IF(Tasks[[#This Row],[Task Name]]="",0,IF(AND(Tasks[[#This Row],[_IsLeaf]]=1,NOT(Tasks[[#This Row],[_IsMilestone]]),N(Tasks[[#This Row],[Progress]])&gt;0),Tasks[[#This Row],[Start]],0))</f>
        <v/>
      </c>
      <c r="GV169" s="88">
        <f>IF(Tasks[[#This Row],[_DoneFrom]]=0,0,IF(Tasks[[#This Row],[Progress]]&gt;=1,Tasks[[#This Row],[Finish]],MAX(Tasks[[#This Row],[_DoneFrom]],Tasks[[#This Row],[Start]]+ROUND((Tasks[[#This Row],[Finish]]-Tasks[[#This Row],[Start]]+1)*Tasks[[#This Row],[Progress]],0)-1)))</f>
        <v/>
      </c>
      <c r="GW169" s="88">
        <f>IF(Tasks[[#This Row],[Task Name]]="",0,IF(OR(NOT(Tasks[[#This Row],[_IsLeaf]]=1),Tasks[[#This Row],[_IsMilestone]],N(Tasks[[#This Row],[Progress]])&gt;=1),0,IF(Tasks[[#This Row],[_DoneTo]]&gt;0,Tasks[[#This Row],[_DoneTo]]+1,Tasks[[#This Row],[Start]])))</f>
        <v/>
      </c>
      <c r="GX169" s="88">
        <f>IF(Tasks[[#This Row],[_RemFrom]]=0,0,Tasks[[#This Row],[Finish]])</f>
        <v/>
      </c>
      <c r="GY169" s="42">
        <f>IF(Tasks[[#This Row],[Task Name]]="",FALSE(),OR(NOT(BaselineSet),N(Tasks[[#This Row],[Baseline Start]])&gt;0))</f>
        <v/>
      </c>
      <c r="GZ169" s="42">
        <f>IF(AND(Sandbox="Yes",L_PARSE_DURATION(Tasks[[#This Row],[Sandbox Duration]])&lt;&gt;""),L_PARSE_DURATION(Tasks[[#This Row],[Sandbox Duration]]),L_PARSE_DURATION(Tasks[[#This Row],[Duration]]))</f>
        <v/>
      </c>
      <c r="HA16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6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9" s="42">
        <f>IF(Tasks[[#This Row],[_IsLeaf]]=1,Tasks[[#This Row],[_Row]],"")</f>
        <v/>
      </c>
      <c r="HD169" s="42">
        <f>IFERROR(INDEX(Tasks[UID],SMALL(Tasks[_PickKey],Tasks[[#This Row],[_Row]]))&amp;" "&amp;INDEX(Tasks[Task Name],SMALL(Tasks[_PickKey],Tasks[[#This Row],[_Row]])),"")</f>
        <v/>
      </c>
      <c r="HE169" s="42">
        <f>IF(Tasks[[#This Row],[Task Name]]="","",IF(Tasks[[#This Row],[_IsSummary]],NETWORKDAYS.INTL(Tasks[[#This Row],[Start]],Tasks[[#This Row],[Finish]],WorkWeek,Holidays),N(Tasks[[#This Row],[_Days]])))</f>
        <v/>
      </c>
      <c r="HF169" s="42">
        <f>IF(Tasks[[#This Row],[Expected]]="",0,((Tasks[[#This Row],[Pessimistic]]-Tasks[[#This Row],[Optimistic]])/6)^2)</f>
        <v/>
      </c>
      <c r="HG169" s="42">
        <f>IF(Tasks[[#This Row],[Expected]]="",0,Tasks[[#This Row],[Expected]]-N(Tasks[[#This Row],[_Days]]))</f>
        <v/>
      </c>
    </row>
    <row r="170">
      <c r="A170" s="21">
        <f>IF(Tasks[[#This Row],[Task Name]]="","",COUNTA(Tasks[[#Headers],[Task Name]]:Tasks[[#This Row],[Task Name]])-1)</f>
        <v/>
      </c>
      <c r="B170" s="22" t="n">
        <v>178</v>
      </c>
      <c r="C170" s="22" t="n"/>
      <c r="D170" s="23" t="n"/>
      <c r="E170" s="22" t="n"/>
      <c r="F170" s="23" t="n"/>
      <c r="G170" s="22" t="n"/>
      <c r="H170" s="22" t="n"/>
      <c r="I170" s="23" t="n"/>
      <c r="J170" s="22" t="n"/>
      <c r="K170" s="22" t="n"/>
      <c r="L170" s="23" t="n"/>
      <c r="M170" s="22" t="n"/>
      <c r="N170" s="22" t="n"/>
      <c r="O170" s="23" t="n"/>
      <c r="P170" s="22" t="n"/>
      <c r="Q170" s="22" t="n"/>
      <c r="R170" s="23" t="n"/>
      <c r="S170" s="23" t="n"/>
      <c r="T170" s="82" t="n"/>
      <c r="U170" s="23" t="n"/>
      <c r="V170" s="82" t="n"/>
      <c r="W170" s="23" t="n"/>
      <c r="X170" s="82" t="n"/>
      <c r="Y170" s="23" t="n"/>
      <c r="Z170" s="82" t="n"/>
      <c r="AA170" s="23" t="n"/>
      <c r="AB170" s="23" t="n"/>
      <c r="AC170" s="7" t="n"/>
      <c r="AD170" s="7" t="n"/>
      <c r="AE170" s="61">
        <f>IF(Tasks[[#This Row],[Task Name]]="","",IF(Tasks[[#This Row],[_IsSummary]],MIN(INDEX(Tasks[_ShownFcstStart],Tasks[[#This Row],[_Row]]+1):INDEX(Tasks[_ShownFcstStart],Tasks[[#This Row],[_Row]]+Tasks[[#This Row],[_Descendants]])),Tasks[[#This Row],[_ShownFcstStart]]))</f>
        <v/>
      </c>
      <c r="AF170" s="61">
        <f>IF(Tasks[[#This Row],[Task Name]]="","",IF(Tasks[[#This Row],[_IsSummary]],MAX(INDEX(Tasks[_ShownFcstFinish],Tasks[[#This Row],[_Row]]+1):INDEX(Tasks[_ShownFcstFinish],Tasks[[#This Row],[_Row]]+Tasks[[#This Row],[_Descendants]])),Tasks[[#This Row],[_ShownFcstFinish]]))</f>
        <v/>
      </c>
      <c r="AG170" s="21">
        <f>""</f>
        <v/>
      </c>
      <c r="AH170" s="23" t="n"/>
      <c r="AI17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0" s="7" t="n"/>
      <c r="AK170" s="22" t="n"/>
      <c r="AL170" s="23" t="n"/>
      <c r="AM170" s="7" t="n"/>
      <c r="AN170" s="21">
        <f>IF(Tasks[[#This Row],[Task Name]]="","",IF(Tasks[[#This Row],[Finish]]&gt;=Tasks[[#This Row],[Planned Finish]],NETWORKDAYS.INTL(Tasks[[#This Row],[Planned Finish]],Tasks[[#This Row],[Finish]],WorkWeek,Holidays)-1,1-NETWORKDAYS.INTL(Tasks[[#This Row],[Finish]],Tasks[[#This Row],[Planned Finish]],WorkWeek,Holidays)))</f>
        <v/>
      </c>
      <c r="AO170" s="21">
        <f>IF(Tasks[[#This Row],[Task Name]]="","",IF(Tasks[[#This Row],[Progress]]&gt;=1,"Complete",IF(OR(N(Tasks[[#This Row],[Actual Start]])&gt;0,Tasks[[#This Row],[Progress]]&gt;0),IF(Tasks[[#This Row],[Finish Var]]&gt;0,"Behind","In Progress"),IF(Tasks[[#This Row],[Planned Start]]&lt;StatusDate,"Late Start","Not Started"))))</f>
        <v/>
      </c>
      <c r="AP170" s="21">
        <f>IF(Tasks[[#This Row],[Task Name]]="","",IF(IF(Tasks[[#This Row],[_IsSummary]],COUNTIF(INDEX(Tasks[_LeafCritical],Tasks[[#This Row],[_Row]]+1):INDEX(Tasks[_LeafCritical],Tasks[[#This Row],[_Row]]+Tasks[[#This Row],[_Descendants]]),TRUE())&gt;0,Tasks[[#This Row],[_LeafCritical]]),"Yes",""))</f>
        <v/>
      </c>
      <c r="AQ170" s="61">
        <f>IF(Tasks[[#This Row],[Task Name]]="","",IF(N(Tasks[[#This Row],[Baseline Start]])&gt;0,Tasks[[#This Row],[Baseline Start]],Tasks[[#This Row],[_CalcStart]]))</f>
        <v/>
      </c>
      <c r="AR170" s="61">
        <f>IF(Tasks[[#This Row],[Task Name]]="","",IF(N(Tasks[[#This Row],[Baseline Finish]])&gt;0,Tasks[[#This Row],[Baseline Finish]],Tasks[[#This Row],[_CalcFinish]]))</f>
        <v/>
      </c>
      <c r="AS170" s="21">
        <f>IF(Tasks[[#This Row],[Task Name]]="","",IF(Tasks[[#This Row],[Start]]&gt;=Tasks[[#This Row],[Planned Start]],NETWORKDAYS.INTL(Tasks[[#This Row],[Planned Start]],Tasks[[#This Row],[Start]],WorkWeek,Holidays)-1,1-NETWORKDAYS.INTL(Tasks[[#This Row],[Start]],Tasks[[#This Row],[Planned Start]],WorkWeek,Holidays)))</f>
        <v/>
      </c>
      <c r="AT170" s="61">
        <f>IF(Tasks[[#This Row],[Task Name]]="","",IF(Tasks[[#This Row],[_IsSummary]],MIN(INDEX(Tasks[_LeafLateStart],Tasks[[#This Row],[_Row]]+1):INDEX(Tasks[_LeafLateStart],Tasks[[#This Row],[_Row]]+Tasks[[#This Row],[_Descendants]])),Tasks[[#This Row],[_LeafLateStart]]))</f>
        <v/>
      </c>
      <c r="AU170" s="61">
        <f>IF(Tasks[[#This Row],[Task Name]]="","",IF(Tasks[[#This Row],[_IsSummary]],MAX(INDEX(Tasks[_LeafLateFinish],Tasks[[#This Row],[_Row]]+1):INDEX(Tasks[_LeafLateFinish],Tasks[[#This Row],[_Row]]+Tasks[[#This Row],[_Descendants]])),Tasks[[#This Row],[_LeafLateFinish]]))</f>
        <v/>
      </c>
      <c r="AV170" s="21">
        <f>IF(Tasks[[#This Row],[Task Name]]="","",IF(Tasks[[#This Row],[_IsSummary]],MIN(INDEX(Tasks[_LeafTotalSlack],Tasks[[#This Row],[_Row]]+1):INDEX(Tasks[_LeafTotalSlack],Tasks[[#This Row],[_Row]]+Tasks[[#This Row],[_Descendants]])),Tasks[[#This Row],[_LeafTotalSlack]]))</f>
        <v/>
      </c>
      <c r="AW17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3" t="n"/>
      <c r="BA17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f>IF(Tasks[[#This Row],[Task Name]]="","",IF(Tasks[[#This Row],[_Level]]&lt;=OutlineShowLevel,"Yes","No"))</f>
        <v/>
      </c>
      <c r="BE170" s="84">
        <f>IF(Tasks[[#This Row],[Task Name]]="","",IF(Tasks[[#This Row],[_IsSummary]],SUM(INDEX(Tasks[_LeafTotalWork],Tasks[[#This Row],[_Row]]+1):INDEX(Tasks[_LeafTotalWork],Tasks[[#This Row],[_Row]]+Tasks[[#This Row],[_Descendants]])),Tasks[[#This Row],[_LeafTotalWork]]))</f>
        <v/>
      </c>
      <c r="BF170" s="23" t="n"/>
      <c r="BG17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f>""</f>
        <v/>
      </c>
      <c r="BI170" s="85" t="n"/>
      <c r="BJ170" s="22" t="n"/>
      <c r="BK170" s="21">
        <f>IF(OR(Tasks[[#This Row],[Task Name]]="",Tasks[[#This Row],[Baseline Duration]]=""),"",Tasks[[#This Row],[_SpanDays]]-N(Tasks[[#This Row],[Baseline Duration]]))</f>
        <v/>
      </c>
      <c r="BL170" s="84">
        <f>IF(OR(Tasks[[#This Row],[Task Name]]="",Tasks[[#This Row],[Baseline Work]]=""),"",Tasks[[#This Row],[Work]]-N(Tasks[[#This Row],[Baseline Work]]))</f>
        <v/>
      </c>
      <c r="BM170" s="61">
        <f>IF(Tasks[[#This Row],[Task Name]]="","",IF(OR(TakeBaseline="Yes",N(Tasks[[#This Row],[Baseline Start]])=0),Tasks[[#This Row],[Start]],Tasks[[#This Row],[Baseline Start]]))</f>
        <v/>
      </c>
      <c r="BN170" s="61">
        <f>IF(Tasks[[#This Row],[Task Name]]="","",IF(OR(TakeBaseline="Yes",N(Tasks[[#This Row],[Baseline Finish]])=0),Tasks[[#This Row],[Finish]],Tasks[[#This Row],[Baseline Finish]]))</f>
        <v/>
      </c>
      <c r="BO170" s="21">
        <f>IF(Tasks[[#This Row],[Task Name]]="","",IF(OR(TakeBaseline="Yes",N(Tasks[[#This Row],[Baseline Duration]])=0),Tasks[[#This Row],[_SpanDays]],Tasks[[#This Row],[Baseline Duration]]))</f>
        <v/>
      </c>
      <c r="BP170" s="84">
        <f>IF(Tasks[[#This Row],[Task Name]]="","",IF(OR(TakeBaseline="Yes",N(Tasks[[#This Row],[Baseline Work]])=0),Tasks[[#This Row],[Work]],Tasks[[#This Row],[Baseline Work]]))</f>
        <v/>
      </c>
      <c r="BQ170" s="7" t="n"/>
      <c r="BR170" s="7" t="n"/>
      <c r="BS170" s="22" t="n"/>
      <c r="BT170" s="86" t="n"/>
      <c r="BU170" s="23" t="n"/>
      <c r="BV170" s="23" t="n"/>
      <c r="BW170" s="23" t="n"/>
      <c r="BX170" s="87">
        <f>IF(AND(Tasks[[#This Row],[_IsLeaf]]=1,ISNUMBER(Tasks[[#This Row],[Optimistic]]),ISNUMBER(Tasks[[#This Row],[Pessimistic]])),ROUND((Tasks[[#This Row],[Optimistic]]+4*N(Tasks[[#This Row],[_Days]])+Tasks[[#This Row],[Pessimistic]])/6,1),"")</f>
        <v/>
      </c>
      <c r="BY170" s="85" t="n"/>
      <c r="BZ170" s="85" t="n"/>
      <c r="CA170" s="22" t="n"/>
      <c r="CB170" s="42">
        <f>IF(Tasks[[#This Row],[Task Name]]="","",MAX(1,N(Tasks[[#This Row],[Level]])))</f>
        <v/>
      </c>
      <c r="CC170" s="42">
        <f>ROW()-ROW(Tasks[[#Headers],[ID]])</f>
        <v/>
      </c>
      <c r="CD170" s="42">
        <f>IF(OR(Tasks[[#This Row],[Task Name]]="",Tasks[[#This Row],[_Level]]&lt;=1),0,IFERROR(LOOKUP(2,1/(Tasks[[#Headers],[_Level]]:Tasks[[#This Row],[_Level]]=Tasks[[#This Row],[_Level]]-1),ROW(Tasks[[#Headers],[_Level]]:Tasks[[#This Row],[_Level]])),0))</f>
        <v/>
      </c>
      <c r="CE170" s="42">
        <f>IFERROR(N(INDEX(Tasks[_Level],Tasks[[#This Row],[_Row]]+1)),0)</f>
        <v/>
      </c>
      <c r="CF170" s="42">
        <f>AND(Tasks[[#This Row],[Task Name]]&lt;&gt;"",Tasks[[#This Row],[_NextLevel]]&gt;Tasks[[#This Row],[_Level]])</f>
        <v/>
      </c>
      <c r="CG170" s="42">
        <f>IF(Tasks[[#This Row],[_IsSummary]],COUNTIF(Tasks[WBS],Tasks[[#This Row],[WBS]]&amp;".*"),0)</f>
        <v/>
      </c>
      <c r="CH170" s="42">
        <f>IF(AND(Tasks[[#This Row],[Task Name]]&lt;&gt;"",NOT(Tasks[[#This Row],[_IsSummary]])),1,0)</f>
        <v/>
      </c>
      <c r="CI170" s="42">
        <f>IF(N(Tasks[[#This Row],[_Pred1UID]])=0,0,IFERROR(MATCH(Tasks[[#This Row],[_Pred1UID]],Tasks[UID],0),-1))</f>
        <v/>
      </c>
      <c r="CJ170" s="42">
        <f>IF(N(Tasks[[#This Row],[_Pred2UID]])=0,0,IFERROR(MATCH(Tasks[[#This Row],[_Pred2UID]],Tasks[UID],0),-1))</f>
        <v/>
      </c>
      <c r="CK170" s="42">
        <f>IF(N(Tasks[[#This Row],[_Pred3UID]])=0,0,IFERROR(MATCH(Tasks[[#This Row],[_Pred3UID]],Tasks[UID],0),-1))</f>
        <v/>
      </c>
      <c r="CL170" s="42">
        <f>IF(N(Tasks[[#This Row],[_Pred4UID]])=0,0,IFERROR(MATCH(Tasks[[#This Row],[_Pred4UID]],Tasks[UID],0),-1))</f>
        <v/>
      </c>
      <c r="CM17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0" s="88">
        <f>IF(N(Tasks[[#This Row],[Constraint Date]])=0,0,IF(AND(OR(Tasks[[#This Row],[_ConstraintCode]]=3,Tasks[[#This Row],[_ConstraintCode]]=6,Tasks[[#This Row],[_ConstraintCode]]=7),N(Tasks[[#This Row],[_Days]])&gt;1),WORKDAY.INTL(N(Tasks[[#This Row],[Constraint Date]]),-(N(Tasks[[#This Row],[_Days]])-1),WorkWeek,Holidays),N(Tasks[[#This Row],[Constraint Date]])))</f>
        <v/>
      </c>
      <c r="CO170" s="88">
        <f>IF(OR(Tasks[[#This Row],[_ConstraintCode]]=2,Tasks[[#This Row],[_ConstraintCode]]=3,Tasks[[#This Row],[_ConstraintCode]]=4,Tasks[[#This Row],[_ConstraintCode]]=6),Tasks[[#This Row],[_ConstraintStart]],0)</f>
        <v/>
      </c>
      <c r="CP170" s="88">
        <f>IF(OR(Tasks[[#This Row],[_ConstraintCode]]=2,Tasks[[#This Row],[_ConstraintCode]]=3,Tasks[[#This Row],[_ConstraintCode]]=5,Tasks[[#This Row],[_ConstraintCode]]=7),Tasks[[#This Row],[_ConstraintStart]],2958465)</f>
        <v/>
      </c>
      <c r="CQ17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0" s="88">
        <f>IF(NOT(Tasks[[#This Row],[_IsLeaf]]=1),"",IF(N(Tasks[[#This Row],[_Days]])&lt;=0,Tasks[[#This Row],[_LeafCalcStart]],WORKDAY.INTL(Tasks[[#This Row],[_LeafCalcStart]],Tasks[[#This Row],[_Days]]-1,WorkWeek,Holidays)))</f>
        <v/>
      </c>
      <c r="CS17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0" s="42">
        <f>IF(Tasks[[#This Row],[_Predecessors]]="","",TRIM(MID(SUBSTITUTE(SUBSTITUTE(SUBSTITUTE(UPPER(Tasks[[#This Row],[_Predecessors]]),";",",")," ",""),",",REPT(" ",99)),1,99)))</f>
        <v/>
      </c>
      <c r="CV170" s="42">
        <f>IF(Tasks[[#This Row],[_Pred1Text]]="","",IFERROR(VALUE(LEFT(Tasks[[#This Row],[_Pred1Text]],MIN(FIND("F",Tasks[[#This Row],[_Pred1Text]]&amp;"F"),FIND("S",Tasks[[#This Row],[_Pred1Text]]&amp;"S"),FIND("+",Tasks[[#This Row],[_Pred1Text]]&amp;"+"),FIND("-",Tasks[[#This Row],[_Pred1Text]]&amp;"-"))-1)),""))</f>
        <v/>
      </c>
      <c r="CW17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0" s="42">
        <f>IF(Tasks[[#This Row],[_Pred1Text]]="","",TRIM(MID(SUBSTITUTE(SUBSTITUTE(SUBSTITUTE(UPPER(Tasks[[#This Row],[_Predecessors]]),";",",")," ",""),",",REPT(" ",99)),100,99)))</f>
        <v/>
      </c>
      <c r="CZ170" s="42">
        <f>IF(Tasks[[#This Row],[_Pred2Text]]="","",IFERROR(VALUE(LEFT(Tasks[[#This Row],[_Pred2Text]],MIN(FIND("F",Tasks[[#This Row],[_Pred2Text]]&amp;"F"),FIND("S",Tasks[[#This Row],[_Pred2Text]]&amp;"S"),FIND("+",Tasks[[#This Row],[_Pred2Text]]&amp;"+"),FIND("-",Tasks[[#This Row],[_Pred2Text]]&amp;"-"))-1)),""))</f>
        <v/>
      </c>
      <c r="DA17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0" s="42">
        <f>IF(Tasks[[#This Row],[_Pred2Text]]="","",TRIM(MID(SUBSTITUTE(SUBSTITUTE(SUBSTITUTE(UPPER(Tasks[[#This Row],[_Predecessors]]),";",",")," ",""),",",REPT(" ",99)),199,99)))</f>
        <v/>
      </c>
      <c r="DD170" s="42">
        <f>IF(Tasks[[#This Row],[_Pred3Text]]="","",IFERROR(VALUE(LEFT(Tasks[[#This Row],[_Pred3Text]],MIN(FIND("F",Tasks[[#This Row],[_Pred3Text]]&amp;"F"),FIND("S",Tasks[[#This Row],[_Pred3Text]]&amp;"S"),FIND("+",Tasks[[#This Row],[_Pred3Text]]&amp;"+"),FIND("-",Tasks[[#This Row],[_Pred3Text]]&amp;"-"))-1)),""))</f>
        <v/>
      </c>
      <c r="DE17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0" s="42">
        <f>IF(Tasks[[#This Row],[_Pred3Text]]="","",TRIM(MID(SUBSTITUTE(SUBSTITUTE(SUBSTITUTE(UPPER(Tasks[[#This Row],[_Predecessors]]),";",",")," ",""),",",REPT(" ",99)),298,99)))</f>
        <v/>
      </c>
      <c r="DH170" s="42">
        <f>IF(Tasks[[#This Row],[_Pred4Text]]="","",IFERROR(VALUE(LEFT(Tasks[[#This Row],[_Pred4Text]],MIN(FIND("F",Tasks[[#This Row],[_Pred4Text]]&amp;"F"),FIND("S",Tasks[[#This Row],[_Pred4Text]]&amp;"S"),FIND("+",Tasks[[#This Row],[_Pred4Text]]&amp;"+"),FIND("-",Tasks[[#This Row],[_Pred4Text]]&amp;"-"))-1)),""))</f>
        <v/>
      </c>
      <c r="DI17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0" s="42">
        <f>IF(OR(Tasks[[#This Row],[Task Name]]="",Tasks[[#This Row],[_Resources]]=""),"",TRIM(MID(SUBSTITUTE(Tasks[[#This Row],[_Resources]],",",REPT(" ",99)),1,99)))</f>
        <v/>
      </c>
      <c r="DL170" s="42">
        <f>IF(Tasks[[#This Row],[_Res1Text]]="","",TRIM(MID(SUBSTITUTE(Tasks[[#This Row],[_Resources]],",",REPT(" ",99)),100,99)))</f>
        <v/>
      </c>
      <c r="DM170" s="42">
        <f>IF(Tasks[[#This Row],[_Res2Text]]="","",TRIM(MID(SUBSTITUTE(Tasks[[#This Row],[_Resources]],",",REPT(" ",99)),199,99)))</f>
        <v/>
      </c>
      <c r="DN170" s="42">
        <f>IF(Tasks[[#This Row],[_Res3Text]]="","",TRIM(MID(SUBSTITUTE(Tasks[[#This Row],[_Resources]],",",REPT(" ",99)),298,99)))</f>
        <v/>
      </c>
      <c r="DO170" s="42">
        <f>IF(Tasks[[#This Row],[_Res1Text]]="",0,IFERROR(MATCH(TRIM(LEFT(Tasks[[#This Row],[_Res1Text]],FIND("[",Tasks[[#This Row],[_Res1Text]]&amp;"[")-1)),res_Name,0),IFERROR(MATCH(TRIM(LEFT(Tasks[[#This Row],[_Res1Text]],FIND("[",Tasks[[#This Row],[_Res1Text]]&amp;"[")-1)),res_Initials,0),0)))</f>
        <v/>
      </c>
      <c r="DP170" s="42">
        <f>IF(Tasks[[#This Row],[_Res2Text]]="",0,IFERROR(MATCH(TRIM(LEFT(Tasks[[#This Row],[_Res2Text]],FIND("[",Tasks[[#This Row],[_Res2Text]]&amp;"[")-1)),res_Name,0),IFERROR(MATCH(TRIM(LEFT(Tasks[[#This Row],[_Res2Text]],FIND("[",Tasks[[#This Row],[_Res2Text]]&amp;"[")-1)),res_Initials,0),0)))</f>
        <v/>
      </c>
      <c r="DQ170" s="42">
        <f>IF(Tasks[[#This Row],[_Res3Text]]="",0,IFERROR(MATCH(TRIM(LEFT(Tasks[[#This Row],[_Res3Text]],FIND("[",Tasks[[#This Row],[_Res3Text]]&amp;"[")-1)),res_Name,0),IFERROR(MATCH(TRIM(LEFT(Tasks[[#This Row],[_Res3Text]],FIND("[",Tasks[[#This Row],[_Res3Text]]&amp;"[")-1)),res_Initials,0),0)))</f>
        <v/>
      </c>
      <c r="DR170" s="42">
        <f>IF(Tasks[[#This Row],[_Res4Text]]="",0,IFERROR(MATCH(TRIM(LEFT(Tasks[[#This Row],[_Res4Text]],FIND("[",Tasks[[#This Row],[_Res4Text]]&amp;"[")-1)),res_Name,0),IFERROR(MATCH(TRIM(LEFT(Tasks[[#This Row],[_Res4Text]],FIND("[",Tasks[[#This Row],[_Res4Text]]&amp;"[")-1)),res_Initials,0),0)))</f>
        <v/>
      </c>
      <c r="DS170" s="42">
        <f>IF(Tasks[[#This Row],[_Res1Text]]="","",IF(Tasks[[#This Row],[_Res1Row]]&gt;0,INDEX(res_Name,Tasks[[#This Row],[_Res1Row]]),TRIM(LEFT(Tasks[[#This Row],[_Res1Text]],FIND("[",Tasks[[#This Row],[_Res1Text]]&amp;"[")-1))))</f>
        <v/>
      </c>
      <c r="DT17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0" s="42">
        <f>IF(NOT(Tasks[[#This Row],[_IsLeaf]]=1),0,(Tasks[[#This Row],[_Resource1]]&lt;&gt;"")+(Tasks[[#This Row],[_Res2]]&lt;&gt;"")+(Tasks[[#This Row],[_Res3]]&lt;&gt;"")+(Tasks[[#This Row],[_Res4]]&lt;&gt;""))</f>
        <v/>
      </c>
      <c r="DV170" s="42">
        <f>IF(Tasks[[#This Row],[_Res2Text]]="","",IF(Tasks[[#This Row],[_Res2Row]]&gt;0,INDEX(res_Name,Tasks[[#This Row],[_Res2Row]]),TRIM(LEFT(Tasks[[#This Row],[_Res2Text]],FIND("[",Tasks[[#This Row],[_Res2Text]]&amp;"[")-1))))</f>
        <v/>
      </c>
      <c r="DW17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0" s="42">
        <f>IF(OR(NOT(Tasks[[#This Row],[_IsLeaf]]=1),Tasks[[#This Row],[_Res2Row]]=0),0,N(Tasks[[#This Row],[_Days]])*HoursPerDay*IF(Tasks[[#This Row],[_Res2Units]]="",DefaultUnits,Tasks[[#This Row],[_Res2Units]]))</f>
        <v/>
      </c>
      <c r="DY170" s="42">
        <f>IF(AND(AND(Tasks[[#This Row],[_IsLeaf]]=1,Tasks[[#This Row],[_LeafTotalWork]]&gt;0),Tasks[[#This Row],[_Res2Work]]&gt;0),Tasks[[#This Row],[_Res2Work]]/(Tasks[[#This Row],[_FinishWorkday]]-Tasks[[#This Row],[_StartWorkday]]+1),0)</f>
        <v/>
      </c>
      <c r="DZ170" s="42">
        <f>Tasks[[#This Row],[_Res2WorkPerWD]]*MAX(0,Tasks[[#This Row],[_StartWorkday]]-1)</f>
        <v/>
      </c>
      <c r="EA170" s="42">
        <f>Tasks[[#This Row],[_Res2Work]]*Tasks[[#This Row],[_LeafProgress]]</f>
        <v/>
      </c>
      <c r="EB170" s="42">
        <f>IF(Tasks[[#This Row],[_Res3Text]]="","",IF(Tasks[[#This Row],[_Res3Row]]&gt;0,INDEX(res_Name,Tasks[[#This Row],[_Res3Row]]),TRIM(LEFT(Tasks[[#This Row],[_Res3Text]],FIND("[",Tasks[[#This Row],[_Res3Text]]&amp;"[")-1))))</f>
        <v/>
      </c>
      <c r="EC17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0" s="42">
        <f>IF(OR(NOT(Tasks[[#This Row],[_IsLeaf]]=1),Tasks[[#This Row],[_Res3Row]]=0),0,N(Tasks[[#This Row],[_Days]])*HoursPerDay*IF(Tasks[[#This Row],[_Res3Units]]="",DefaultUnits,Tasks[[#This Row],[_Res3Units]]))</f>
        <v/>
      </c>
      <c r="EE170" s="42">
        <f>IF(AND(AND(Tasks[[#This Row],[_IsLeaf]]=1,Tasks[[#This Row],[_LeafTotalWork]]&gt;0),Tasks[[#This Row],[_Res3Work]]&gt;0),Tasks[[#This Row],[_Res3Work]]/(Tasks[[#This Row],[_FinishWorkday]]-Tasks[[#This Row],[_StartWorkday]]+1),0)</f>
        <v/>
      </c>
      <c r="EF170" s="42">
        <f>Tasks[[#This Row],[_Res3WorkPerWD]]*MAX(0,Tasks[[#This Row],[_StartWorkday]]-1)</f>
        <v/>
      </c>
      <c r="EG170" s="42">
        <f>Tasks[[#This Row],[_Res3Work]]*Tasks[[#This Row],[_LeafProgress]]</f>
        <v/>
      </c>
      <c r="EH170" s="42">
        <f>IF(Tasks[[#This Row],[_Res4Text]]="","",IF(Tasks[[#This Row],[_Res4Row]]&gt;0,INDEX(res_Name,Tasks[[#This Row],[_Res4Row]]),TRIM(LEFT(Tasks[[#This Row],[_Res4Text]],FIND("[",Tasks[[#This Row],[_Res4Text]]&amp;"[")-1))))</f>
        <v/>
      </c>
      <c r="EI17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0" s="42">
        <f>IF(OR(NOT(Tasks[[#This Row],[_IsLeaf]]=1),Tasks[[#This Row],[_Res4Row]]=0),0,N(Tasks[[#This Row],[_Days]])*HoursPerDay*IF(Tasks[[#This Row],[_Res4Units]]="",DefaultUnits,Tasks[[#This Row],[_Res4Units]]))</f>
        <v/>
      </c>
      <c r="EK170" s="42">
        <f>IF(AND(AND(Tasks[[#This Row],[_IsLeaf]]=1,Tasks[[#This Row],[_LeafTotalWork]]&gt;0),Tasks[[#This Row],[_Res4Work]]&gt;0),Tasks[[#This Row],[_Res4Work]]/(Tasks[[#This Row],[_FinishWorkday]]-Tasks[[#This Row],[_StartWorkday]]+1),0)</f>
        <v/>
      </c>
      <c r="EL170" s="42">
        <f>Tasks[[#This Row],[_Res4WorkPerWD]]*MAX(0,Tasks[[#This Row],[_StartWorkday]]-1)</f>
        <v/>
      </c>
      <c r="EM170" s="42">
        <f>Tasks[[#This Row],[_Res4Work]]*Tasks[[#This Row],[_LeafProgress]]</f>
        <v/>
      </c>
      <c r="EN170" s="42">
        <f>IF(ISNUMBER(Tasks[[#This Row],[% Complete]]),Tasks[[#This Row],[% Complete]],IF(Tasks[[#This Row],[Stage]]="",0,IFERROR(INDEX(stg_Pct,MATCH(Tasks[[#This Row],[Stage]],stg_Name,0)),0)))</f>
        <v/>
      </c>
      <c r="EO170" s="42">
        <f>IF(NOT(Tasks[[#This Row],[_IsLeaf]]=1),0,IF(N(Tasks[[#This Row],[Actual Finish]])&gt;0,1,MIN(1,Tasks[[#This Row],[_Pct]])))</f>
        <v/>
      </c>
      <c r="EP170" s="42">
        <f>IF(OR(NOT(Tasks[[#This Row],[_IsLeaf]]=1),Tasks[[#This Row],[_Res1Row]]=0),0,N(Tasks[[#This Row],[_Days]])*HoursPerDay*IF(Tasks[[#This Row],[_Units1]]="",DefaultUnits,Tasks[[#This Row],[_Units1]]))</f>
        <v/>
      </c>
      <c r="EQ170" s="42">
        <f>Tasks[[#This Row],[_LeafWork]]+Tasks[[#This Row],[_Res2Work]]+Tasks[[#This Row],[_Res3Work]]+Tasks[[#This Row],[_Res4Work]]</f>
        <v/>
      </c>
      <c r="ER17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0" s="42">
        <f>IF(NOT(Tasks[[#This Row],[_IsLeaf]]=1),0,MAX(_xlfn.MAXIFS(Tasks[_Row],Tasks[_Pred1UID],Tasks[[#This Row],[UID]]),_xlfn.MAXIFS(Tasks[_Row],Tasks[_Pred2UID],Tasks[[#This Row],[UID]]),_xlfn.MAXIFS(Tasks[_Row],Tasks[_Pred3UID],Tasks[[#This Row],[UID]]),_xlfn.MAXIFS(Tasks[_Row],Tasks[_Pred4UID],Tasks[[#This Row],[UID]])))</f>
        <v/>
      </c>
      <c r="FA17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0" s="88">
        <f>IF(NOT(Tasks[[#This Row],[_IsLeaf]]=1),"",IF(N(Tasks[[#This Row],[_Days]])&lt;=0,Tasks[[#This Row],[_LeafLateFinish]],WORKDAY.INTL(Tasks[[#This Row],[_LeafLateFinish]],-(Tasks[[#This Row],[_Days]]-1),WorkWeek,Holidays)))</f>
        <v/>
      </c>
      <c r="FD17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0" s="42">
        <f>AND(Tasks[[#This Row],[_IsLeaf]]=1,Tasks[[#This Row],[_LeafProgress]]&lt;1,N(Tasks[[#This Row],[_LeafTotalSlack]])&lt;=CriticalSlackDays)</f>
        <v/>
      </c>
      <c r="FF170" s="42">
        <f>IF(AND(Tasks[[#This Row],[_IsLeaf]]=1,Tasks[[#This Row],[_ConstraintCode]]=1,Tasks[[#This Row],[Mode]]&lt;&gt;"Manual",N(Tasks[[#This Row],[Actual Start]])=0),MAX(0,N(Tasks[[#This Row],[Free Slack]])),0)</f>
        <v/>
      </c>
      <c r="FG170" s="88">
        <f>IF(NOT(Tasks[[#This Row],[_IsLeaf]]=1),"",IF(Tasks[[#This Row],[_AlapShift]]=0,Tasks[[#This Row],[_LeafCalcStart]],WORKDAY.INTL(Tasks[[#This Row],[_LeafCalcStart]],Tasks[[#This Row],[_AlapShift]],WorkWeek,Holidays)))</f>
        <v/>
      </c>
      <c r="FH170" s="88">
        <f>IF(NOT(Tasks[[#This Row],[_IsLeaf]]=1),"",IF(Tasks[[#This Row],[_AlapShift]]=0,Tasks[[#This Row],[_LeafCalcFinish]],WORKDAY.INTL(Tasks[[#This Row],[_LeafCalcFinish]],Tasks[[#This Row],[_AlapShift]],WorkWeek,Holidays)))</f>
        <v/>
      </c>
      <c r="FI170" s="88">
        <f>IF(NOT(Tasks[[#This Row],[_IsLeaf]]=1),"",IF(Tasks[[#This Row],[_AlapShift]]=0,Tasks[[#This Row],[_LeafFcstStart]],WORKDAY.INTL(Tasks[[#This Row],[_LeafFcstStart]],Tasks[[#This Row],[_AlapShift]],WorkWeek,Holidays)))</f>
        <v/>
      </c>
      <c r="FJ170" s="88">
        <f>IF(NOT(Tasks[[#This Row],[_IsLeaf]]=1),"",IF(Tasks[[#This Row],[_AlapShift]]=0,Tasks[[#This Row],[_LeafFcstFinish]],WORKDAY.INTL(Tasks[[#This Row],[_LeafFcstFinish]],Tasks[[#This Row],[_AlapShift]],WorkWeek,Holidays)))</f>
        <v/>
      </c>
      <c r="FK170" s="88">
        <f>IF(Tasks[[#This Row],[Task Name]]="","",IF(Tasks[[#This Row],[_IsSummary]],MIN(INDEX(Tasks[_ShownCalcStart],Tasks[[#This Row],[_Row]]+1):INDEX(Tasks[_ShownCalcStart],Tasks[[#This Row],[_Row]]+Tasks[[#This Row],[_Descendants]])),Tasks[[#This Row],[_ShownCalcStart]]))</f>
        <v/>
      </c>
      <c r="FL170" s="88">
        <f>IF(Tasks[[#This Row],[Task Name]]="","",IF(Tasks[[#This Row],[_IsSummary]],MAX(INDEX(Tasks[_ShownCalcFinish],Tasks[[#This Row],[_Row]]+1):INDEX(Tasks[_ShownCalcFinish],Tasks[[#This Row],[_Row]]+Tasks[[#This Row],[_Descendants]])),Tasks[[#This Row],[_ShownCalcFinish]]))</f>
        <v/>
      </c>
      <c r="FM17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0" s="42">
        <f>IF(AND(Tasks[[#This Row],[_IsLeaf]]=1,Tasks[[#This Row],[_LeafTotalWork]]&gt;0),NETWORKDAYS.INTL(ProjectStart,Tasks[[#This Row],[_ShownFcstStart]],WorkWeek,Holidays),0)</f>
        <v/>
      </c>
      <c r="FZ170" s="42">
        <f>IF(AND(Tasks[[#This Row],[_IsLeaf]]=1,Tasks[[#This Row],[_LeafTotalWork]]&gt;0),MAX(Tasks[[#This Row],[_StartWorkday]],NETWORKDAYS.INTL(ProjectStart,Tasks[[#This Row],[_ShownFcstFinish]],WorkWeek,Holidays)),0)</f>
        <v/>
      </c>
      <c r="GA170" s="42">
        <f>IF(AND(Tasks[[#This Row],[_IsLeaf]]=1,Tasks[[#This Row],[_LeafTotalWork]]&gt;0),Tasks[[#This Row],[_LeafWork]]/(Tasks[[#This Row],[_FinishWorkday]]-Tasks[[#This Row],[_StartWorkday]]+1),0)</f>
        <v/>
      </c>
      <c r="GB170" s="42">
        <f>Tasks[[#This Row],[_WorkPerWorkday]]*(Tasks[[#This Row],[_StartWorkday]]-1)</f>
        <v/>
      </c>
      <c r="GC170" s="42">
        <f>IF(Tasks[[#This Row],[_IsLeaf]]=1,MAX(N(Tasks[[#This Row],[_Days]]),0.1),0)</f>
        <v/>
      </c>
      <c r="GD170" s="42">
        <f>Tasks[[#This Row],[_WeightDur]]*Tasks[[#This Row],[_LeafProgress]]</f>
        <v/>
      </c>
      <c r="GE170" s="42">
        <f>Tasks[[#This Row],[_WeightDur]]*Tasks[[#This Row],[_PlannedPct]]</f>
        <v/>
      </c>
      <c r="GF17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0" s="42">
        <f>IF(AND(Tasks[[#This Row],[_IsLeaf]]=1,N(Tasks[[#This Row],[_Days]])=0,Tasks[[#This Row],[_LeafProgress]]&lt;1),Tasks[[#This Row],[_ShownFcstFinish]]+Tasks[[#This Row],[_Row]]/100000,"")</f>
        <v/>
      </c>
      <c r="GH17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0" s="42">
        <f>IF(Tasks[[#This Row],[Task Name]]="","",LEFT(Tasks[[#This Row],[WBS]],FIND(".",Tasks[[#This Row],[WBS]]&amp;".")-1))</f>
        <v/>
      </c>
      <c r="GJ170" s="42">
        <f>IF(AND(Tasks[[#This Row],[Task Name]]&lt;&gt;"",Tasks[[#This Row],[_Level]]=1),Tasks[[#This Row],[_Row]],"")</f>
        <v/>
      </c>
      <c r="GK170" s="42">
        <f>IF(AND(Tasks[[#This Row],[_IsLeaf]]=1,N(Tasks[[#This Row],[_Days]])=0),Tasks[[#This Row],[Planned Finish]]+Tasks[[#This Row],[_Row]]/100000,"")</f>
        <v/>
      </c>
      <c r="GL170" s="42">
        <f>IF(AND(Tasks[[#This Row],[_IsLeaf]]=1,Tasks[[#This Row],[_LeafProgress]]&lt;1,OR(N(Tasks[[#This Row],[Finish Var]])&gt;0,Tasks[[#This Row],[Status]]="Late Start")),MAX(0,Tasks[[#This Row],[Finish Var]])+1-Tasks[[#This Row],[_Row]]/1000000,"")</f>
        <v/>
      </c>
      <c r="GM170" s="42">
        <f>IF(AND(Tasks[[#This Row],[_IsLeaf]]=1,N(Tasks[[#This Row],[Actual Start]])=0,Tasks[[#This Row],[_ShownFcstStart]]&gt;=StatusDate,Tasks[[#This Row],[_ShownFcstStart]]&lt;=LookaheadEnd),Tasks[[#This Row],[_ShownFcstStart]]+Tasks[[#This Row],[_Row]]/100000,"")</f>
        <v/>
      </c>
      <c r="GN170" s="42">
        <f>IF(AND(Tasks[[#This Row],[_IsLeaf]]=1,Tasks[[#This Row],[_LeafProgress]]&lt;1,Tasks[[#This Row],[_ShownFcstFinish]]&gt;=StatusDate,Tasks[[#This Row],[_ShownFcstFinish]]&lt;=LookaheadEnd),Tasks[[#This Row],[_ShownFcstFinish]]+Tasks[[#This Row],[_Row]]/100000,"")</f>
        <v/>
      </c>
      <c r="GO170" s="42">
        <f>IF(Tasks[[#This Row],[_LeafCritical]],Tasks[[#This Row],[_ShownFcstStart]]+Tasks[[#This Row],[_Row]]/100000,"")</f>
        <v/>
      </c>
      <c r="GP170" s="42">
        <f>Tasks[[#This Row],[_LeafWork]]*Tasks[[#This Row],[_LeafProgress]]</f>
        <v/>
      </c>
      <c r="GQ170" s="88">
        <f>IF(AND(Tasks[[#This Row],[_IsLeaf]]=1,Tasks[[#This Row],[_LeafProgress]]&gt;=1),IF(N(Tasks[[#This Row],[Actual Finish]])&gt;0,Tasks[[#This Row],[Actual Finish]],Tasks[[#This Row],[_ShownFcstFinish]]),"")</f>
        <v/>
      </c>
      <c r="GR170" s="42">
        <f>IF(Tasks[[#This Row],[_IsLeaf]]=1,N(Tasks[[#This Row],[Story Points]]),0)</f>
        <v/>
      </c>
      <c r="GS170" s="42">
        <f>""</f>
        <v/>
      </c>
      <c r="GT170" s="42">
        <f>IF(Tasks[[#This Row],[Task Name]]="",FALSE(),AND(Tasks[[#This Row],[_IsLeaf]]=1,N(Tasks[[#This Row],[_Days]])=0))</f>
        <v/>
      </c>
      <c r="GU170" s="88">
        <f>IF(Tasks[[#This Row],[Task Name]]="",0,IF(AND(Tasks[[#This Row],[_IsLeaf]]=1,NOT(Tasks[[#This Row],[_IsMilestone]]),N(Tasks[[#This Row],[Progress]])&gt;0),Tasks[[#This Row],[Start]],0))</f>
        <v/>
      </c>
      <c r="GV170" s="88">
        <f>IF(Tasks[[#This Row],[_DoneFrom]]=0,0,IF(Tasks[[#This Row],[Progress]]&gt;=1,Tasks[[#This Row],[Finish]],MAX(Tasks[[#This Row],[_DoneFrom]],Tasks[[#This Row],[Start]]+ROUND((Tasks[[#This Row],[Finish]]-Tasks[[#This Row],[Start]]+1)*Tasks[[#This Row],[Progress]],0)-1)))</f>
        <v/>
      </c>
      <c r="GW170" s="88">
        <f>IF(Tasks[[#This Row],[Task Name]]="",0,IF(OR(NOT(Tasks[[#This Row],[_IsLeaf]]=1),Tasks[[#This Row],[_IsMilestone]],N(Tasks[[#This Row],[Progress]])&gt;=1),0,IF(Tasks[[#This Row],[_DoneTo]]&gt;0,Tasks[[#This Row],[_DoneTo]]+1,Tasks[[#This Row],[Start]])))</f>
        <v/>
      </c>
      <c r="GX170" s="88">
        <f>IF(Tasks[[#This Row],[_RemFrom]]=0,0,Tasks[[#This Row],[Finish]])</f>
        <v/>
      </c>
      <c r="GY170" s="42">
        <f>IF(Tasks[[#This Row],[Task Name]]="",FALSE(),OR(NOT(BaselineSet),N(Tasks[[#This Row],[Baseline Start]])&gt;0))</f>
        <v/>
      </c>
      <c r="GZ170" s="42">
        <f>IF(AND(Sandbox="Yes",L_PARSE_DURATION(Tasks[[#This Row],[Sandbox Duration]])&lt;&gt;""),L_PARSE_DURATION(Tasks[[#This Row],[Sandbox Duration]]),L_PARSE_DURATION(Tasks[[#This Row],[Duration]]))</f>
        <v/>
      </c>
      <c r="HA17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0" s="42">
        <f>IF(Tasks[[#This Row],[_IsLeaf]]=1,Tasks[[#This Row],[_Row]],"")</f>
        <v/>
      </c>
      <c r="HD170" s="42">
        <f>IFERROR(INDEX(Tasks[UID],SMALL(Tasks[_PickKey],Tasks[[#This Row],[_Row]]))&amp;" "&amp;INDEX(Tasks[Task Name],SMALL(Tasks[_PickKey],Tasks[[#This Row],[_Row]])),"")</f>
        <v/>
      </c>
      <c r="HE170" s="42">
        <f>IF(Tasks[[#This Row],[Task Name]]="","",IF(Tasks[[#This Row],[_IsSummary]],NETWORKDAYS.INTL(Tasks[[#This Row],[Start]],Tasks[[#This Row],[Finish]],WorkWeek,Holidays),N(Tasks[[#This Row],[_Days]])))</f>
        <v/>
      </c>
      <c r="HF170" s="42">
        <f>IF(Tasks[[#This Row],[Expected]]="",0,((Tasks[[#This Row],[Pessimistic]]-Tasks[[#This Row],[Optimistic]])/6)^2)</f>
        <v/>
      </c>
      <c r="HG170" s="42">
        <f>IF(Tasks[[#This Row],[Expected]]="",0,Tasks[[#This Row],[Expected]]-N(Tasks[[#This Row],[_Days]]))</f>
        <v/>
      </c>
    </row>
    <row r="171">
      <c r="A171" s="21">
        <f>IF(Tasks[[#This Row],[Task Name]]="","",COUNTA(Tasks[[#Headers],[Task Name]]:Tasks[[#This Row],[Task Name]])-1)</f>
        <v/>
      </c>
      <c r="B171" s="22" t="n">
        <v>179</v>
      </c>
      <c r="C171" s="22" t="n"/>
      <c r="D171" s="23" t="n"/>
      <c r="E171" s="22" t="n"/>
      <c r="F171" s="23" t="n"/>
      <c r="G171" s="22" t="n"/>
      <c r="H171" s="22" t="n"/>
      <c r="I171" s="23" t="n"/>
      <c r="J171" s="22" t="n"/>
      <c r="K171" s="22" t="n"/>
      <c r="L171" s="23" t="n"/>
      <c r="M171" s="22" t="n"/>
      <c r="N171" s="22" t="n"/>
      <c r="O171" s="23" t="n"/>
      <c r="P171" s="22" t="n"/>
      <c r="Q171" s="22" t="n"/>
      <c r="R171" s="23" t="n"/>
      <c r="S171" s="23" t="n"/>
      <c r="T171" s="82" t="n"/>
      <c r="U171" s="23" t="n"/>
      <c r="V171" s="82" t="n"/>
      <c r="W171" s="23" t="n"/>
      <c r="X171" s="82" t="n"/>
      <c r="Y171" s="23" t="n"/>
      <c r="Z171" s="82" t="n"/>
      <c r="AA171" s="23" t="n"/>
      <c r="AB171" s="23" t="n"/>
      <c r="AC171" s="7" t="n"/>
      <c r="AD171" s="7" t="n"/>
      <c r="AE171" s="61">
        <f>IF(Tasks[[#This Row],[Task Name]]="","",IF(Tasks[[#This Row],[_IsSummary]],MIN(INDEX(Tasks[_ShownFcstStart],Tasks[[#This Row],[_Row]]+1):INDEX(Tasks[_ShownFcstStart],Tasks[[#This Row],[_Row]]+Tasks[[#This Row],[_Descendants]])),Tasks[[#This Row],[_ShownFcstStart]]))</f>
        <v/>
      </c>
      <c r="AF171" s="61">
        <f>IF(Tasks[[#This Row],[Task Name]]="","",IF(Tasks[[#This Row],[_IsSummary]],MAX(INDEX(Tasks[_ShownFcstFinish],Tasks[[#This Row],[_Row]]+1):INDEX(Tasks[_ShownFcstFinish],Tasks[[#This Row],[_Row]]+Tasks[[#This Row],[_Descendants]])),Tasks[[#This Row],[_ShownFcstFinish]]))</f>
        <v/>
      </c>
      <c r="AG171" s="21">
        <f>""</f>
        <v/>
      </c>
      <c r="AH171" s="23" t="n"/>
      <c r="AI17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1" s="7" t="n"/>
      <c r="AK171" s="22" t="n"/>
      <c r="AL171" s="23" t="n"/>
      <c r="AM171" s="7" t="n"/>
      <c r="AN171" s="21">
        <f>IF(Tasks[[#This Row],[Task Name]]="","",IF(Tasks[[#This Row],[Finish]]&gt;=Tasks[[#This Row],[Planned Finish]],NETWORKDAYS.INTL(Tasks[[#This Row],[Planned Finish]],Tasks[[#This Row],[Finish]],WorkWeek,Holidays)-1,1-NETWORKDAYS.INTL(Tasks[[#This Row],[Finish]],Tasks[[#This Row],[Planned Finish]],WorkWeek,Holidays)))</f>
        <v/>
      </c>
      <c r="AO171" s="21">
        <f>IF(Tasks[[#This Row],[Task Name]]="","",IF(Tasks[[#This Row],[Progress]]&gt;=1,"Complete",IF(OR(N(Tasks[[#This Row],[Actual Start]])&gt;0,Tasks[[#This Row],[Progress]]&gt;0),IF(Tasks[[#This Row],[Finish Var]]&gt;0,"Behind","In Progress"),IF(Tasks[[#This Row],[Planned Start]]&lt;StatusDate,"Late Start","Not Started"))))</f>
        <v/>
      </c>
      <c r="AP171" s="21">
        <f>IF(Tasks[[#This Row],[Task Name]]="","",IF(IF(Tasks[[#This Row],[_IsSummary]],COUNTIF(INDEX(Tasks[_LeafCritical],Tasks[[#This Row],[_Row]]+1):INDEX(Tasks[_LeafCritical],Tasks[[#This Row],[_Row]]+Tasks[[#This Row],[_Descendants]]),TRUE())&gt;0,Tasks[[#This Row],[_LeafCritical]]),"Yes",""))</f>
        <v/>
      </c>
      <c r="AQ171" s="61">
        <f>IF(Tasks[[#This Row],[Task Name]]="","",IF(N(Tasks[[#This Row],[Baseline Start]])&gt;0,Tasks[[#This Row],[Baseline Start]],Tasks[[#This Row],[_CalcStart]]))</f>
        <v/>
      </c>
      <c r="AR171" s="61">
        <f>IF(Tasks[[#This Row],[Task Name]]="","",IF(N(Tasks[[#This Row],[Baseline Finish]])&gt;0,Tasks[[#This Row],[Baseline Finish]],Tasks[[#This Row],[_CalcFinish]]))</f>
        <v/>
      </c>
      <c r="AS171" s="21">
        <f>IF(Tasks[[#This Row],[Task Name]]="","",IF(Tasks[[#This Row],[Start]]&gt;=Tasks[[#This Row],[Planned Start]],NETWORKDAYS.INTL(Tasks[[#This Row],[Planned Start]],Tasks[[#This Row],[Start]],WorkWeek,Holidays)-1,1-NETWORKDAYS.INTL(Tasks[[#This Row],[Start]],Tasks[[#This Row],[Planned Start]],WorkWeek,Holidays)))</f>
        <v/>
      </c>
      <c r="AT171" s="61">
        <f>IF(Tasks[[#This Row],[Task Name]]="","",IF(Tasks[[#This Row],[_IsSummary]],MIN(INDEX(Tasks[_LeafLateStart],Tasks[[#This Row],[_Row]]+1):INDEX(Tasks[_LeafLateStart],Tasks[[#This Row],[_Row]]+Tasks[[#This Row],[_Descendants]])),Tasks[[#This Row],[_LeafLateStart]]))</f>
        <v/>
      </c>
      <c r="AU171" s="61">
        <f>IF(Tasks[[#This Row],[Task Name]]="","",IF(Tasks[[#This Row],[_IsSummary]],MAX(INDEX(Tasks[_LeafLateFinish],Tasks[[#This Row],[_Row]]+1):INDEX(Tasks[_LeafLateFinish],Tasks[[#This Row],[_Row]]+Tasks[[#This Row],[_Descendants]])),Tasks[[#This Row],[_LeafLateFinish]]))</f>
        <v/>
      </c>
      <c r="AV171" s="21">
        <f>IF(Tasks[[#This Row],[Task Name]]="","",IF(Tasks[[#This Row],[_IsSummary]],MIN(INDEX(Tasks[_LeafTotalSlack],Tasks[[#This Row],[_Row]]+1):INDEX(Tasks[_LeafTotalSlack],Tasks[[#This Row],[_Row]]+Tasks[[#This Row],[_Descendants]])),Tasks[[#This Row],[_LeafTotalSlack]]))</f>
        <v/>
      </c>
      <c r="AW17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3" t="n"/>
      <c r="BA17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f>IF(Tasks[[#This Row],[Task Name]]="","",IF(Tasks[[#This Row],[_Level]]&lt;=OutlineShowLevel,"Yes","No"))</f>
        <v/>
      </c>
      <c r="BE171" s="84">
        <f>IF(Tasks[[#This Row],[Task Name]]="","",IF(Tasks[[#This Row],[_IsSummary]],SUM(INDEX(Tasks[_LeafTotalWork],Tasks[[#This Row],[_Row]]+1):INDEX(Tasks[_LeafTotalWork],Tasks[[#This Row],[_Row]]+Tasks[[#This Row],[_Descendants]])),Tasks[[#This Row],[_LeafTotalWork]]))</f>
        <v/>
      </c>
      <c r="BF171" s="23" t="n"/>
      <c r="BG17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f>""</f>
        <v/>
      </c>
      <c r="BI171" s="85" t="n"/>
      <c r="BJ171" s="22" t="n"/>
      <c r="BK171" s="21">
        <f>IF(OR(Tasks[[#This Row],[Task Name]]="",Tasks[[#This Row],[Baseline Duration]]=""),"",Tasks[[#This Row],[_SpanDays]]-N(Tasks[[#This Row],[Baseline Duration]]))</f>
        <v/>
      </c>
      <c r="BL171" s="84">
        <f>IF(OR(Tasks[[#This Row],[Task Name]]="",Tasks[[#This Row],[Baseline Work]]=""),"",Tasks[[#This Row],[Work]]-N(Tasks[[#This Row],[Baseline Work]]))</f>
        <v/>
      </c>
      <c r="BM171" s="61">
        <f>IF(Tasks[[#This Row],[Task Name]]="","",IF(OR(TakeBaseline="Yes",N(Tasks[[#This Row],[Baseline Start]])=0),Tasks[[#This Row],[Start]],Tasks[[#This Row],[Baseline Start]]))</f>
        <v/>
      </c>
      <c r="BN171" s="61">
        <f>IF(Tasks[[#This Row],[Task Name]]="","",IF(OR(TakeBaseline="Yes",N(Tasks[[#This Row],[Baseline Finish]])=0),Tasks[[#This Row],[Finish]],Tasks[[#This Row],[Baseline Finish]]))</f>
        <v/>
      </c>
      <c r="BO171" s="21">
        <f>IF(Tasks[[#This Row],[Task Name]]="","",IF(OR(TakeBaseline="Yes",N(Tasks[[#This Row],[Baseline Duration]])=0),Tasks[[#This Row],[_SpanDays]],Tasks[[#This Row],[Baseline Duration]]))</f>
        <v/>
      </c>
      <c r="BP171" s="84">
        <f>IF(Tasks[[#This Row],[Task Name]]="","",IF(OR(TakeBaseline="Yes",N(Tasks[[#This Row],[Baseline Work]])=0),Tasks[[#This Row],[Work]],Tasks[[#This Row],[Baseline Work]]))</f>
        <v/>
      </c>
      <c r="BQ171" s="7" t="n"/>
      <c r="BR171" s="7" t="n"/>
      <c r="BS171" s="22" t="n"/>
      <c r="BT171" s="86" t="n"/>
      <c r="BU171" s="23" t="n"/>
      <c r="BV171" s="23" t="n"/>
      <c r="BW171" s="23" t="n"/>
      <c r="BX171" s="87">
        <f>IF(AND(Tasks[[#This Row],[_IsLeaf]]=1,ISNUMBER(Tasks[[#This Row],[Optimistic]]),ISNUMBER(Tasks[[#This Row],[Pessimistic]])),ROUND((Tasks[[#This Row],[Optimistic]]+4*N(Tasks[[#This Row],[_Days]])+Tasks[[#This Row],[Pessimistic]])/6,1),"")</f>
        <v/>
      </c>
      <c r="BY171" s="85" t="n"/>
      <c r="BZ171" s="85" t="n"/>
      <c r="CA171" s="22" t="n"/>
      <c r="CB171" s="42">
        <f>IF(Tasks[[#This Row],[Task Name]]="","",MAX(1,N(Tasks[[#This Row],[Level]])))</f>
        <v/>
      </c>
      <c r="CC171" s="42">
        <f>ROW()-ROW(Tasks[[#Headers],[ID]])</f>
        <v/>
      </c>
      <c r="CD171" s="42">
        <f>IF(OR(Tasks[[#This Row],[Task Name]]="",Tasks[[#This Row],[_Level]]&lt;=1),0,IFERROR(LOOKUP(2,1/(Tasks[[#Headers],[_Level]]:Tasks[[#This Row],[_Level]]=Tasks[[#This Row],[_Level]]-1),ROW(Tasks[[#Headers],[_Level]]:Tasks[[#This Row],[_Level]])),0))</f>
        <v/>
      </c>
      <c r="CE171" s="42">
        <f>IFERROR(N(INDEX(Tasks[_Level],Tasks[[#This Row],[_Row]]+1)),0)</f>
        <v/>
      </c>
      <c r="CF171" s="42">
        <f>AND(Tasks[[#This Row],[Task Name]]&lt;&gt;"",Tasks[[#This Row],[_NextLevel]]&gt;Tasks[[#This Row],[_Level]])</f>
        <v/>
      </c>
      <c r="CG171" s="42">
        <f>IF(Tasks[[#This Row],[_IsSummary]],COUNTIF(Tasks[WBS],Tasks[[#This Row],[WBS]]&amp;".*"),0)</f>
        <v/>
      </c>
      <c r="CH171" s="42">
        <f>IF(AND(Tasks[[#This Row],[Task Name]]&lt;&gt;"",NOT(Tasks[[#This Row],[_IsSummary]])),1,0)</f>
        <v/>
      </c>
      <c r="CI171" s="42">
        <f>IF(N(Tasks[[#This Row],[_Pred1UID]])=0,0,IFERROR(MATCH(Tasks[[#This Row],[_Pred1UID]],Tasks[UID],0),-1))</f>
        <v/>
      </c>
      <c r="CJ171" s="42">
        <f>IF(N(Tasks[[#This Row],[_Pred2UID]])=0,0,IFERROR(MATCH(Tasks[[#This Row],[_Pred2UID]],Tasks[UID],0),-1))</f>
        <v/>
      </c>
      <c r="CK171" s="42">
        <f>IF(N(Tasks[[#This Row],[_Pred3UID]])=0,0,IFERROR(MATCH(Tasks[[#This Row],[_Pred3UID]],Tasks[UID],0),-1))</f>
        <v/>
      </c>
      <c r="CL171" s="42">
        <f>IF(N(Tasks[[#This Row],[_Pred4UID]])=0,0,IFERROR(MATCH(Tasks[[#This Row],[_Pred4UID]],Tasks[UID],0),-1))</f>
        <v/>
      </c>
      <c r="CM17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1" s="88">
        <f>IF(N(Tasks[[#This Row],[Constraint Date]])=0,0,IF(AND(OR(Tasks[[#This Row],[_ConstraintCode]]=3,Tasks[[#This Row],[_ConstraintCode]]=6,Tasks[[#This Row],[_ConstraintCode]]=7),N(Tasks[[#This Row],[_Days]])&gt;1),WORKDAY.INTL(N(Tasks[[#This Row],[Constraint Date]]),-(N(Tasks[[#This Row],[_Days]])-1),WorkWeek,Holidays),N(Tasks[[#This Row],[Constraint Date]])))</f>
        <v/>
      </c>
      <c r="CO171" s="88">
        <f>IF(OR(Tasks[[#This Row],[_ConstraintCode]]=2,Tasks[[#This Row],[_ConstraintCode]]=3,Tasks[[#This Row],[_ConstraintCode]]=4,Tasks[[#This Row],[_ConstraintCode]]=6),Tasks[[#This Row],[_ConstraintStart]],0)</f>
        <v/>
      </c>
      <c r="CP171" s="88">
        <f>IF(OR(Tasks[[#This Row],[_ConstraintCode]]=2,Tasks[[#This Row],[_ConstraintCode]]=3,Tasks[[#This Row],[_ConstraintCode]]=5,Tasks[[#This Row],[_ConstraintCode]]=7),Tasks[[#This Row],[_ConstraintStart]],2958465)</f>
        <v/>
      </c>
      <c r="CQ17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1" s="88">
        <f>IF(NOT(Tasks[[#This Row],[_IsLeaf]]=1),"",IF(N(Tasks[[#This Row],[_Days]])&lt;=0,Tasks[[#This Row],[_LeafCalcStart]],WORKDAY.INTL(Tasks[[#This Row],[_LeafCalcStart]],Tasks[[#This Row],[_Days]]-1,WorkWeek,Holidays)))</f>
        <v/>
      </c>
      <c r="CS17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1" s="42">
        <f>IF(Tasks[[#This Row],[_Predecessors]]="","",TRIM(MID(SUBSTITUTE(SUBSTITUTE(SUBSTITUTE(UPPER(Tasks[[#This Row],[_Predecessors]]),";",",")," ",""),",",REPT(" ",99)),1,99)))</f>
        <v/>
      </c>
      <c r="CV171" s="42">
        <f>IF(Tasks[[#This Row],[_Pred1Text]]="","",IFERROR(VALUE(LEFT(Tasks[[#This Row],[_Pred1Text]],MIN(FIND("F",Tasks[[#This Row],[_Pred1Text]]&amp;"F"),FIND("S",Tasks[[#This Row],[_Pred1Text]]&amp;"S"),FIND("+",Tasks[[#This Row],[_Pred1Text]]&amp;"+"),FIND("-",Tasks[[#This Row],[_Pred1Text]]&amp;"-"))-1)),""))</f>
        <v/>
      </c>
      <c r="CW17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1" s="42">
        <f>IF(Tasks[[#This Row],[_Pred1Text]]="","",TRIM(MID(SUBSTITUTE(SUBSTITUTE(SUBSTITUTE(UPPER(Tasks[[#This Row],[_Predecessors]]),";",",")," ",""),",",REPT(" ",99)),100,99)))</f>
        <v/>
      </c>
      <c r="CZ171" s="42">
        <f>IF(Tasks[[#This Row],[_Pred2Text]]="","",IFERROR(VALUE(LEFT(Tasks[[#This Row],[_Pred2Text]],MIN(FIND("F",Tasks[[#This Row],[_Pred2Text]]&amp;"F"),FIND("S",Tasks[[#This Row],[_Pred2Text]]&amp;"S"),FIND("+",Tasks[[#This Row],[_Pred2Text]]&amp;"+"),FIND("-",Tasks[[#This Row],[_Pred2Text]]&amp;"-"))-1)),""))</f>
        <v/>
      </c>
      <c r="DA17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1" s="42">
        <f>IF(Tasks[[#This Row],[_Pred2Text]]="","",TRIM(MID(SUBSTITUTE(SUBSTITUTE(SUBSTITUTE(UPPER(Tasks[[#This Row],[_Predecessors]]),";",",")," ",""),",",REPT(" ",99)),199,99)))</f>
        <v/>
      </c>
      <c r="DD171" s="42">
        <f>IF(Tasks[[#This Row],[_Pred3Text]]="","",IFERROR(VALUE(LEFT(Tasks[[#This Row],[_Pred3Text]],MIN(FIND("F",Tasks[[#This Row],[_Pred3Text]]&amp;"F"),FIND("S",Tasks[[#This Row],[_Pred3Text]]&amp;"S"),FIND("+",Tasks[[#This Row],[_Pred3Text]]&amp;"+"),FIND("-",Tasks[[#This Row],[_Pred3Text]]&amp;"-"))-1)),""))</f>
        <v/>
      </c>
      <c r="DE17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1" s="42">
        <f>IF(Tasks[[#This Row],[_Pred3Text]]="","",TRIM(MID(SUBSTITUTE(SUBSTITUTE(SUBSTITUTE(UPPER(Tasks[[#This Row],[_Predecessors]]),";",",")," ",""),",",REPT(" ",99)),298,99)))</f>
        <v/>
      </c>
      <c r="DH171" s="42">
        <f>IF(Tasks[[#This Row],[_Pred4Text]]="","",IFERROR(VALUE(LEFT(Tasks[[#This Row],[_Pred4Text]],MIN(FIND("F",Tasks[[#This Row],[_Pred4Text]]&amp;"F"),FIND("S",Tasks[[#This Row],[_Pred4Text]]&amp;"S"),FIND("+",Tasks[[#This Row],[_Pred4Text]]&amp;"+"),FIND("-",Tasks[[#This Row],[_Pred4Text]]&amp;"-"))-1)),""))</f>
        <v/>
      </c>
      <c r="DI17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1" s="42">
        <f>IF(OR(Tasks[[#This Row],[Task Name]]="",Tasks[[#This Row],[_Resources]]=""),"",TRIM(MID(SUBSTITUTE(Tasks[[#This Row],[_Resources]],",",REPT(" ",99)),1,99)))</f>
        <v/>
      </c>
      <c r="DL171" s="42">
        <f>IF(Tasks[[#This Row],[_Res1Text]]="","",TRIM(MID(SUBSTITUTE(Tasks[[#This Row],[_Resources]],",",REPT(" ",99)),100,99)))</f>
        <v/>
      </c>
      <c r="DM171" s="42">
        <f>IF(Tasks[[#This Row],[_Res2Text]]="","",TRIM(MID(SUBSTITUTE(Tasks[[#This Row],[_Resources]],",",REPT(" ",99)),199,99)))</f>
        <v/>
      </c>
      <c r="DN171" s="42">
        <f>IF(Tasks[[#This Row],[_Res3Text]]="","",TRIM(MID(SUBSTITUTE(Tasks[[#This Row],[_Resources]],",",REPT(" ",99)),298,99)))</f>
        <v/>
      </c>
      <c r="DO171" s="42">
        <f>IF(Tasks[[#This Row],[_Res1Text]]="",0,IFERROR(MATCH(TRIM(LEFT(Tasks[[#This Row],[_Res1Text]],FIND("[",Tasks[[#This Row],[_Res1Text]]&amp;"[")-1)),res_Name,0),IFERROR(MATCH(TRIM(LEFT(Tasks[[#This Row],[_Res1Text]],FIND("[",Tasks[[#This Row],[_Res1Text]]&amp;"[")-1)),res_Initials,0),0)))</f>
        <v/>
      </c>
      <c r="DP171" s="42">
        <f>IF(Tasks[[#This Row],[_Res2Text]]="",0,IFERROR(MATCH(TRIM(LEFT(Tasks[[#This Row],[_Res2Text]],FIND("[",Tasks[[#This Row],[_Res2Text]]&amp;"[")-1)),res_Name,0),IFERROR(MATCH(TRIM(LEFT(Tasks[[#This Row],[_Res2Text]],FIND("[",Tasks[[#This Row],[_Res2Text]]&amp;"[")-1)),res_Initials,0),0)))</f>
        <v/>
      </c>
      <c r="DQ171" s="42">
        <f>IF(Tasks[[#This Row],[_Res3Text]]="",0,IFERROR(MATCH(TRIM(LEFT(Tasks[[#This Row],[_Res3Text]],FIND("[",Tasks[[#This Row],[_Res3Text]]&amp;"[")-1)),res_Name,0),IFERROR(MATCH(TRIM(LEFT(Tasks[[#This Row],[_Res3Text]],FIND("[",Tasks[[#This Row],[_Res3Text]]&amp;"[")-1)),res_Initials,0),0)))</f>
        <v/>
      </c>
      <c r="DR171" s="42">
        <f>IF(Tasks[[#This Row],[_Res4Text]]="",0,IFERROR(MATCH(TRIM(LEFT(Tasks[[#This Row],[_Res4Text]],FIND("[",Tasks[[#This Row],[_Res4Text]]&amp;"[")-1)),res_Name,0),IFERROR(MATCH(TRIM(LEFT(Tasks[[#This Row],[_Res4Text]],FIND("[",Tasks[[#This Row],[_Res4Text]]&amp;"[")-1)),res_Initials,0),0)))</f>
        <v/>
      </c>
      <c r="DS171" s="42">
        <f>IF(Tasks[[#This Row],[_Res1Text]]="","",IF(Tasks[[#This Row],[_Res1Row]]&gt;0,INDEX(res_Name,Tasks[[#This Row],[_Res1Row]]),TRIM(LEFT(Tasks[[#This Row],[_Res1Text]],FIND("[",Tasks[[#This Row],[_Res1Text]]&amp;"[")-1))))</f>
        <v/>
      </c>
      <c r="DT17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1" s="42">
        <f>IF(NOT(Tasks[[#This Row],[_IsLeaf]]=1),0,(Tasks[[#This Row],[_Resource1]]&lt;&gt;"")+(Tasks[[#This Row],[_Res2]]&lt;&gt;"")+(Tasks[[#This Row],[_Res3]]&lt;&gt;"")+(Tasks[[#This Row],[_Res4]]&lt;&gt;""))</f>
        <v/>
      </c>
      <c r="DV171" s="42">
        <f>IF(Tasks[[#This Row],[_Res2Text]]="","",IF(Tasks[[#This Row],[_Res2Row]]&gt;0,INDEX(res_Name,Tasks[[#This Row],[_Res2Row]]),TRIM(LEFT(Tasks[[#This Row],[_Res2Text]],FIND("[",Tasks[[#This Row],[_Res2Text]]&amp;"[")-1))))</f>
        <v/>
      </c>
      <c r="DW17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1" s="42">
        <f>IF(OR(NOT(Tasks[[#This Row],[_IsLeaf]]=1),Tasks[[#This Row],[_Res2Row]]=0),0,N(Tasks[[#This Row],[_Days]])*HoursPerDay*IF(Tasks[[#This Row],[_Res2Units]]="",DefaultUnits,Tasks[[#This Row],[_Res2Units]]))</f>
        <v/>
      </c>
      <c r="DY171" s="42">
        <f>IF(AND(AND(Tasks[[#This Row],[_IsLeaf]]=1,Tasks[[#This Row],[_LeafTotalWork]]&gt;0),Tasks[[#This Row],[_Res2Work]]&gt;0),Tasks[[#This Row],[_Res2Work]]/(Tasks[[#This Row],[_FinishWorkday]]-Tasks[[#This Row],[_StartWorkday]]+1),0)</f>
        <v/>
      </c>
      <c r="DZ171" s="42">
        <f>Tasks[[#This Row],[_Res2WorkPerWD]]*MAX(0,Tasks[[#This Row],[_StartWorkday]]-1)</f>
        <v/>
      </c>
      <c r="EA171" s="42">
        <f>Tasks[[#This Row],[_Res2Work]]*Tasks[[#This Row],[_LeafProgress]]</f>
        <v/>
      </c>
      <c r="EB171" s="42">
        <f>IF(Tasks[[#This Row],[_Res3Text]]="","",IF(Tasks[[#This Row],[_Res3Row]]&gt;0,INDEX(res_Name,Tasks[[#This Row],[_Res3Row]]),TRIM(LEFT(Tasks[[#This Row],[_Res3Text]],FIND("[",Tasks[[#This Row],[_Res3Text]]&amp;"[")-1))))</f>
        <v/>
      </c>
      <c r="EC17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1" s="42">
        <f>IF(OR(NOT(Tasks[[#This Row],[_IsLeaf]]=1),Tasks[[#This Row],[_Res3Row]]=0),0,N(Tasks[[#This Row],[_Days]])*HoursPerDay*IF(Tasks[[#This Row],[_Res3Units]]="",DefaultUnits,Tasks[[#This Row],[_Res3Units]]))</f>
        <v/>
      </c>
      <c r="EE171" s="42">
        <f>IF(AND(AND(Tasks[[#This Row],[_IsLeaf]]=1,Tasks[[#This Row],[_LeafTotalWork]]&gt;0),Tasks[[#This Row],[_Res3Work]]&gt;0),Tasks[[#This Row],[_Res3Work]]/(Tasks[[#This Row],[_FinishWorkday]]-Tasks[[#This Row],[_StartWorkday]]+1),0)</f>
        <v/>
      </c>
      <c r="EF171" s="42">
        <f>Tasks[[#This Row],[_Res3WorkPerWD]]*MAX(0,Tasks[[#This Row],[_StartWorkday]]-1)</f>
        <v/>
      </c>
      <c r="EG171" s="42">
        <f>Tasks[[#This Row],[_Res3Work]]*Tasks[[#This Row],[_LeafProgress]]</f>
        <v/>
      </c>
      <c r="EH171" s="42">
        <f>IF(Tasks[[#This Row],[_Res4Text]]="","",IF(Tasks[[#This Row],[_Res4Row]]&gt;0,INDEX(res_Name,Tasks[[#This Row],[_Res4Row]]),TRIM(LEFT(Tasks[[#This Row],[_Res4Text]],FIND("[",Tasks[[#This Row],[_Res4Text]]&amp;"[")-1))))</f>
        <v/>
      </c>
      <c r="EI17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1" s="42">
        <f>IF(OR(NOT(Tasks[[#This Row],[_IsLeaf]]=1),Tasks[[#This Row],[_Res4Row]]=0),0,N(Tasks[[#This Row],[_Days]])*HoursPerDay*IF(Tasks[[#This Row],[_Res4Units]]="",DefaultUnits,Tasks[[#This Row],[_Res4Units]]))</f>
        <v/>
      </c>
      <c r="EK171" s="42">
        <f>IF(AND(AND(Tasks[[#This Row],[_IsLeaf]]=1,Tasks[[#This Row],[_LeafTotalWork]]&gt;0),Tasks[[#This Row],[_Res4Work]]&gt;0),Tasks[[#This Row],[_Res4Work]]/(Tasks[[#This Row],[_FinishWorkday]]-Tasks[[#This Row],[_StartWorkday]]+1),0)</f>
        <v/>
      </c>
      <c r="EL171" s="42">
        <f>Tasks[[#This Row],[_Res4WorkPerWD]]*MAX(0,Tasks[[#This Row],[_StartWorkday]]-1)</f>
        <v/>
      </c>
      <c r="EM171" s="42">
        <f>Tasks[[#This Row],[_Res4Work]]*Tasks[[#This Row],[_LeafProgress]]</f>
        <v/>
      </c>
      <c r="EN171" s="42">
        <f>IF(ISNUMBER(Tasks[[#This Row],[% Complete]]),Tasks[[#This Row],[% Complete]],IF(Tasks[[#This Row],[Stage]]="",0,IFERROR(INDEX(stg_Pct,MATCH(Tasks[[#This Row],[Stage]],stg_Name,0)),0)))</f>
        <v/>
      </c>
      <c r="EO171" s="42">
        <f>IF(NOT(Tasks[[#This Row],[_IsLeaf]]=1),0,IF(N(Tasks[[#This Row],[Actual Finish]])&gt;0,1,MIN(1,Tasks[[#This Row],[_Pct]])))</f>
        <v/>
      </c>
      <c r="EP171" s="42">
        <f>IF(OR(NOT(Tasks[[#This Row],[_IsLeaf]]=1),Tasks[[#This Row],[_Res1Row]]=0),0,N(Tasks[[#This Row],[_Days]])*HoursPerDay*IF(Tasks[[#This Row],[_Units1]]="",DefaultUnits,Tasks[[#This Row],[_Units1]]))</f>
        <v/>
      </c>
      <c r="EQ171" s="42">
        <f>Tasks[[#This Row],[_LeafWork]]+Tasks[[#This Row],[_Res2Work]]+Tasks[[#This Row],[_Res3Work]]+Tasks[[#This Row],[_Res4Work]]</f>
        <v/>
      </c>
      <c r="ER17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1" s="42">
        <f>IF(NOT(Tasks[[#This Row],[_IsLeaf]]=1),0,MAX(_xlfn.MAXIFS(Tasks[_Row],Tasks[_Pred1UID],Tasks[[#This Row],[UID]]),_xlfn.MAXIFS(Tasks[_Row],Tasks[_Pred2UID],Tasks[[#This Row],[UID]]),_xlfn.MAXIFS(Tasks[_Row],Tasks[_Pred3UID],Tasks[[#This Row],[UID]]),_xlfn.MAXIFS(Tasks[_Row],Tasks[_Pred4UID],Tasks[[#This Row],[UID]])))</f>
        <v/>
      </c>
      <c r="FA17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1" s="88">
        <f>IF(NOT(Tasks[[#This Row],[_IsLeaf]]=1),"",IF(N(Tasks[[#This Row],[_Days]])&lt;=0,Tasks[[#This Row],[_LeafLateFinish]],WORKDAY.INTL(Tasks[[#This Row],[_LeafLateFinish]],-(Tasks[[#This Row],[_Days]]-1),WorkWeek,Holidays)))</f>
        <v/>
      </c>
      <c r="FD17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1" s="42">
        <f>AND(Tasks[[#This Row],[_IsLeaf]]=1,Tasks[[#This Row],[_LeafProgress]]&lt;1,N(Tasks[[#This Row],[_LeafTotalSlack]])&lt;=CriticalSlackDays)</f>
        <v/>
      </c>
      <c r="FF171" s="42">
        <f>IF(AND(Tasks[[#This Row],[_IsLeaf]]=1,Tasks[[#This Row],[_ConstraintCode]]=1,Tasks[[#This Row],[Mode]]&lt;&gt;"Manual",N(Tasks[[#This Row],[Actual Start]])=0),MAX(0,N(Tasks[[#This Row],[Free Slack]])),0)</f>
        <v/>
      </c>
      <c r="FG171" s="88">
        <f>IF(NOT(Tasks[[#This Row],[_IsLeaf]]=1),"",IF(Tasks[[#This Row],[_AlapShift]]=0,Tasks[[#This Row],[_LeafCalcStart]],WORKDAY.INTL(Tasks[[#This Row],[_LeafCalcStart]],Tasks[[#This Row],[_AlapShift]],WorkWeek,Holidays)))</f>
        <v/>
      </c>
      <c r="FH171" s="88">
        <f>IF(NOT(Tasks[[#This Row],[_IsLeaf]]=1),"",IF(Tasks[[#This Row],[_AlapShift]]=0,Tasks[[#This Row],[_LeafCalcFinish]],WORKDAY.INTL(Tasks[[#This Row],[_LeafCalcFinish]],Tasks[[#This Row],[_AlapShift]],WorkWeek,Holidays)))</f>
        <v/>
      </c>
      <c r="FI171" s="88">
        <f>IF(NOT(Tasks[[#This Row],[_IsLeaf]]=1),"",IF(Tasks[[#This Row],[_AlapShift]]=0,Tasks[[#This Row],[_LeafFcstStart]],WORKDAY.INTL(Tasks[[#This Row],[_LeafFcstStart]],Tasks[[#This Row],[_AlapShift]],WorkWeek,Holidays)))</f>
        <v/>
      </c>
      <c r="FJ171" s="88">
        <f>IF(NOT(Tasks[[#This Row],[_IsLeaf]]=1),"",IF(Tasks[[#This Row],[_AlapShift]]=0,Tasks[[#This Row],[_LeafFcstFinish]],WORKDAY.INTL(Tasks[[#This Row],[_LeafFcstFinish]],Tasks[[#This Row],[_AlapShift]],WorkWeek,Holidays)))</f>
        <v/>
      </c>
      <c r="FK171" s="88">
        <f>IF(Tasks[[#This Row],[Task Name]]="","",IF(Tasks[[#This Row],[_IsSummary]],MIN(INDEX(Tasks[_ShownCalcStart],Tasks[[#This Row],[_Row]]+1):INDEX(Tasks[_ShownCalcStart],Tasks[[#This Row],[_Row]]+Tasks[[#This Row],[_Descendants]])),Tasks[[#This Row],[_ShownCalcStart]]))</f>
        <v/>
      </c>
      <c r="FL171" s="88">
        <f>IF(Tasks[[#This Row],[Task Name]]="","",IF(Tasks[[#This Row],[_IsSummary]],MAX(INDEX(Tasks[_ShownCalcFinish],Tasks[[#This Row],[_Row]]+1):INDEX(Tasks[_ShownCalcFinish],Tasks[[#This Row],[_Row]]+Tasks[[#This Row],[_Descendants]])),Tasks[[#This Row],[_ShownCalcFinish]]))</f>
        <v/>
      </c>
      <c r="FM17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1" s="42">
        <f>IF(AND(Tasks[[#This Row],[_IsLeaf]]=1,Tasks[[#This Row],[_LeafTotalWork]]&gt;0),NETWORKDAYS.INTL(ProjectStart,Tasks[[#This Row],[_ShownFcstStart]],WorkWeek,Holidays),0)</f>
        <v/>
      </c>
      <c r="FZ171" s="42">
        <f>IF(AND(Tasks[[#This Row],[_IsLeaf]]=1,Tasks[[#This Row],[_LeafTotalWork]]&gt;0),MAX(Tasks[[#This Row],[_StartWorkday]],NETWORKDAYS.INTL(ProjectStart,Tasks[[#This Row],[_ShownFcstFinish]],WorkWeek,Holidays)),0)</f>
        <v/>
      </c>
      <c r="GA171" s="42">
        <f>IF(AND(Tasks[[#This Row],[_IsLeaf]]=1,Tasks[[#This Row],[_LeafTotalWork]]&gt;0),Tasks[[#This Row],[_LeafWork]]/(Tasks[[#This Row],[_FinishWorkday]]-Tasks[[#This Row],[_StartWorkday]]+1),0)</f>
        <v/>
      </c>
      <c r="GB171" s="42">
        <f>Tasks[[#This Row],[_WorkPerWorkday]]*(Tasks[[#This Row],[_StartWorkday]]-1)</f>
        <v/>
      </c>
      <c r="GC171" s="42">
        <f>IF(Tasks[[#This Row],[_IsLeaf]]=1,MAX(N(Tasks[[#This Row],[_Days]]),0.1),0)</f>
        <v/>
      </c>
      <c r="GD171" s="42">
        <f>Tasks[[#This Row],[_WeightDur]]*Tasks[[#This Row],[_LeafProgress]]</f>
        <v/>
      </c>
      <c r="GE171" s="42">
        <f>Tasks[[#This Row],[_WeightDur]]*Tasks[[#This Row],[_PlannedPct]]</f>
        <v/>
      </c>
      <c r="GF17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1" s="42">
        <f>IF(AND(Tasks[[#This Row],[_IsLeaf]]=1,N(Tasks[[#This Row],[_Days]])=0,Tasks[[#This Row],[_LeafProgress]]&lt;1),Tasks[[#This Row],[_ShownFcstFinish]]+Tasks[[#This Row],[_Row]]/100000,"")</f>
        <v/>
      </c>
      <c r="GH17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1" s="42">
        <f>IF(Tasks[[#This Row],[Task Name]]="","",LEFT(Tasks[[#This Row],[WBS]],FIND(".",Tasks[[#This Row],[WBS]]&amp;".")-1))</f>
        <v/>
      </c>
      <c r="GJ171" s="42">
        <f>IF(AND(Tasks[[#This Row],[Task Name]]&lt;&gt;"",Tasks[[#This Row],[_Level]]=1),Tasks[[#This Row],[_Row]],"")</f>
        <v/>
      </c>
      <c r="GK171" s="42">
        <f>IF(AND(Tasks[[#This Row],[_IsLeaf]]=1,N(Tasks[[#This Row],[_Days]])=0),Tasks[[#This Row],[Planned Finish]]+Tasks[[#This Row],[_Row]]/100000,"")</f>
        <v/>
      </c>
      <c r="GL171" s="42">
        <f>IF(AND(Tasks[[#This Row],[_IsLeaf]]=1,Tasks[[#This Row],[_LeafProgress]]&lt;1,OR(N(Tasks[[#This Row],[Finish Var]])&gt;0,Tasks[[#This Row],[Status]]="Late Start")),MAX(0,Tasks[[#This Row],[Finish Var]])+1-Tasks[[#This Row],[_Row]]/1000000,"")</f>
        <v/>
      </c>
      <c r="GM171" s="42">
        <f>IF(AND(Tasks[[#This Row],[_IsLeaf]]=1,N(Tasks[[#This Row],[Actual Start]])=0,Tasks[[#This Row],[_ShownFcstStart]]&gt;=StatusDate,Tasks[[#This Row],[_ShownFcstStart]]&lt;=LookaheadEnd),Tasks[[#This Row],[_ShownFcstStart]]+Tasks[[#This Row],[_Row]]/100000,"")</f>
        <v/>
      </c>
      <c r="GN171" s="42">
        <f>IF(AND(Tasks[[#This Row],[_IsLeaf]]=1,Tasks[[#This Row],[_LeafProgress]]&lt;1,Tasks[[#This Row],[_ShownFcstFinish]]&gt;=StatusDate,Tasks[[#This Row],[_ShownFcstFinish]]&lt;=LookaheadEnd),Tasks[[#This Row],[_ShownFcstFinish]]+Tasks[[#This Row],[_Row]]/100000,"")</f>
        <v/>
      </c>
      <c r="GO171" s="42">
        <f>IF(Tasks[[#This Row],[_LeafCritical]],Tasks[[#This Row],[_ShownFcstStart]]+Tasks[[#This Row],[_Row]]/100000,"")</f>
        <v/>
      </c>
      <c r="GP171" s="42">
        <f>Tasks[[#This Row],[_LeafWork]]*Tasks[[#This Row],[_LeafProgress]]</f>
        <v/>
      </c>
      <c r="GQ171" s="88">
        <f>IF(AND(Tasks[[#This Row],[_IsLeaf]]=1,Tasks[[#This Row],[_LeafProgress]]&gt;=1),IF(N(Tasks[[#This Row],[Actual Finish]])&gt;0,Tasks[[#This Row],[Actual Finish]],Tasks[[#This Row],[_ShownFcstFinish]]),"")</f>
        <v/>
      </c>
      <c r="GR171" s="42">
        <f>IF(Tasks[[#This Row],[_IsLeaf]]=1,N(Tasks[[#This Row],[Story Points]]),0)</f>
        <v/>
      </c>
      <c r="GS171" s="42">
        <f>""</f>
        <v/>
      </c>
      <c r="GT171" s="42">
        <f>IF(Tasks[[#This Row],[Task Name]]="",FALSE(),AND(Tasks[[#This Row],[_IsLeaf]]=1,N(Tasks[[#This Row],[_Days]])=0))</f>
        <v/>
      </c>
      <c r="GU171" s="88">
        <f>IF(Tasks[[#This Row],[Task Name]]="",0,IF(AND(Tasks[[#This Row],[_IsLeaf]]=1,NOT(Tasks[[#This Row],[_IsMilestone]]),N(Tasks[[#This Row],[Progress]])&gt;0),Tasks[[#This Row],[Start]],0))</f>
        <v/>
      </c>
      <c r="GV171" s="88">
        <f>IF(Tasks[[#This Row],[_DoneFrom]]=0,0,IF(Tasks[[#This Row],[Progress]]&gt;=1,Tasks[[#This Row],[Finish]],MAX(Tasks[[#This Row],[_DoneFrom]],Tasks[[#This Row],[Start]]+ROUND((Tasks[[#This Row],[Finish]]-Tasks[[#This Row],[Start]]+1)*Tasks[[#This Row],[Progress]],0)-1)))</f>
        <v/>
      </c>
      <c r="GW171" s="88">
        <f>IF(Tasks[[#This Row],[Task Name]]="",0,IF(OR(NOT(Tasks[[#This Row],[_IsLeaf]]=1),Tasks[[#This Row],[_IsMilestone]],N(Tasks[[#This Row],[Progress]])&gt;=1),0,IF(Tasks[[#This Row],[_DoneTo]]&gt;0,Tasks[[#This Row],[_DoneTo]]+1,Tasks[[#This Row],[Start]])))</f>
        <v/>
      </c>
      <c r="GX171" s="88">
        <f>IF(Tasks[[#This Row],[_RemFrom]]=0,0,Tasks[[#This Row],[Finish]])</f>
        <v/>
      </c>
      <c r="GY171" s="42">
        <f>IF(Tasks[[#This Row],[Task Name]]="",FALSE(),OR(NOT(BaselineSet),N(Tasks[[#This Row],[Baseline Start]])&gt;0))</f>
        <v/>
      </c>
      <c r="GZ171" s="42">
        <f>IF(AND(Sandbox="Yes",L_PARSE_DURATION(Tasks[[#This Row],[Sandbox Duration]])&lt;&gt;""),L_PARSE_DURATION(Tasks[[#This Row],[Sandbox Duration]]),L_PARSE_DURATION(Tasks[[#This Row],[Duration]]))</f>
        <v/>
      </c>
      <c r="HA17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1" s="42">
        <f>IF(Tasks[[#This Row],[_IsLeaf]]=1,Tasks[[#This Row],[_Row]],"")</f>
        <v/>
      </c>
      <c r="HD171" s="42">
        <f>IFERROR(INDEX(Tasks[UID],SMALL(Tasks[_PickKey],Tasks[[#This Row],[_Row]]))&amp;" "&amp;INDEX(Tasks[Task Name],SMALL(Tasks[_PickKey],Tasks[[#This Row],[_Row]])),"")</f>
        <v/>
      </c>
      <c r="HE171" s="42">
        <f>IF(Tasks[[#This Row],[Task Name]]="","",IF(Tasks[[#This Row],[_IsSummary]],NETWORKDAYS.INTL(Tasks[[#This Row],[Start]],Tasks[[#This Row],[Finish]],WorkWeek,Holidays),N(Tasks[[#This Row],[_Days]])))</f>
        <v/>
      </c>
      <c r="HF171" s="42">
        <f>IF(Tasks[[#This Row],[Expected]]="",0,((Tasks[[#This Row],[Pessimistic]]-Tasks[[#This Row],[Optimistic]])/6)^2)</f>
        <v/>
      </c>
      <c r="HG171" s="42">
        <f>IF(Tasks[[#This Row],[Expected]]="",0,Tasks[[#This Row],[Expected]]-N(Tasks[[#This Row],[_Days]]))</f>
        <v/>
      </c>
    </row>
    <row r="172">
      <c r="A172" s="21">
        <f>IF(Tasks[[#This Row],[Task Name]]="","",COUNTA(Tasks[[#Headers],[Task Name]]:Tasks[[#This Row],[Task Name]])-1)</f>
        <v/>
      </c>
      <c r="B172" s="22" t="n">
        <v>180</v>
      </c>
      <c r="C172" s="22" t="n"/>
      <c r="D172" s="23" t="n"/>
      <c r="E172" s="22" t="n"/>
      <c r="F172" s="23" t="n"/>
      <c r="G172" s="22" t="n"/>
      <c r="H172" s="22" t="n"/>
      <c r="I172" s="23" t="n"/>
      <c r="J172" s="22" t="n"/>
      <c r="K172" s="22" t="n"/>
      <c r="L172" s="23" t="n"/>
      <c r="M172" s="22" t="n"/>
      <c r="N172" s="22" t="n"/>
      <c r="O172" s="23" t="n"/>
      <c r="P172" s="22" t="n"/>
      <c r="Q172" s="22" t="n"/>
      <c r="R172" s="23" t="n"/>
      <c r="S172" s="23" t="n"/>
      <c r="T172" s="82" t="n"/>
      <c r="U172" s="23" t="n"/>
      <c r="V172" s="82" t="n"/>
      <c r="W172" s="23" t="n"/>
      <c r="X172" s="82" t="n"/>
      <c r="Y172" s="23" t="n"/>
      <c r="Z172" s="82" t="n"/>
      <c r="AA172" s="23" t="n"/>
      <c r="AB172" s="23" t="n"/>
      <c r="AC172" s="7" t="n"/>
      <c r="AD172" s="7" t="n"/>
      <c r="AE172" s="61">
        <f>IF(Tasks[[#This Row],[Task Name]]="","",IF(Tasks[[#This Row],[_IsSummary]],MIN(INDEX(Tasks[_ShownFcstStart],Tasks[[#This Row],[_Row]]+1):INDEX(Tasks[_ShownFcstStart],Tasks[[#This Row],[_Row]]+Tasks[[#This Row],[_Descendants]])),Tasks[[#This Row],[_ShownFcstStart]]))</f>
        <v/>
      </c>
      <c r="AF172" s="61">
        <f>IF(Tasks[[#This Row],[Task Name]]="","",IF(Tasks[[#This Row],[_IsSummary]],MAX(INDEX(Tasks[_ShownFcstFinish],Tasks[[#This Row],[_Row]]+1):INDEX(Tasks[_ShownFcstFinish],Tasks[[#This Row],[_Row]]+Tasks[[#This Row],[_Descendants]])),Tasks[[#This Row],[_ShownFcstFinish]]))</f>
        <v/>
      </c>
      <c r="AG172" s="21">
        <f>""</f>
        <v/>
      </c>
      <c r="AH172" s="23" t="n"/>
      <c r="AI17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2" s="7" t="n"/>
      <c r="AK172" s="22" t="n"/>
      <c r="AL172" s="23" t="n"/>
      <c r="AM172" s="7" t="n"/>
      <c r="AN172" s="21">
        <f>IF(Tasks[[#This Row],[Task Name]]="","",IF(Tasks[[#This Row],[Finish]]&gt;=Tasks[[#This Row],[Planned Finish]],NETWORKDAYS.INTL(Tasks[[#This Row],[Planned Finish]],Tasks[[#This Row],[Finish]],WorkWeek,Holidays)-1,1-NETWORKDAYS.INTL(Tasks[[#This Row],[Finish]],Tasks[[#This Row],[Planned Finish]],WorkWeek,Holidays)))</f>
        <v/>
      </c>
      <c r="AO172" s="21">
        <f>IF(Tasks[[#This Row],[Task Name]]="","",IF(Tasks[[#This Row],[Progress]]&gt;=1,"Complete",IF(OR(N(Tasks[[#This Row],[Actual Start]])&gt;0,Tasks[[#This Row],[Progress]]&gt;0),IF(Tasks[[#This Row],[Finish Var]]&gt;0,"Behind","In Progress"),IF(Tasks[[#This Row],[Planned Start]]&lt;StatusDate,"Late Start","Not Started"))))</f>
        <v/>
      </c>
      <c r="AP172" s="21">
        <f>IF(Tasks[[#This Row],[Task Name]]="","",IF(IF(Tasks[[#This Row],[_IsSummary]],COUNTIF(INDEX(Tasks[_LeafCritical],Tasks[[#This Row],[_Row]]+1):INDEX(Tasks[_LeafCritical],Tasks[[#This Row],[_Row]]+Tasks[[#This Row],[_Descendants]]),TRUE())&gt;0,Tasks[[#This Row],[_LeafCritical]]),"Yes",""))</f>
        <v/>
      </c>
      <c r="AQ172" s="61">
        <f>IF(Tasks[[#This Row],[Task Name]]="","",IF(N(Tasks[[#This Row],[Baseline Start]])&gt;0,Tasks[[#This Row],[Baseline Start]],Tasks[[#This Row],[_CalcStart]]))</f>
        <v/>
      </c>
      <c r="AR172" s="61">
        <f>IF(Tasks[[#This Row],[Task Name]]="","",IF(N(Tasks[[#This Row],[Baseline Finish]])&gt;0,Tasks[[#This Row],[Baseline Finish]],Tasks[[#This Row],[_CalcFinish]]))</f>
        <v/>
      </c>
      <c r="AS172" s="21">
        <f>IF(Tasks[[#This Row],[Task Name]]="","",IF(Tasks[[#This Row],[Start]]&gt;=Tasks[[#This Row],[Planned Start]],NETWORKDAYS.INTL(Tasks[[#This Row],[Planned Start]],Tasks[[#This Row],[Start]],WorkWeek,Holidays)-1,1-NETWORKDAYS.INTL(Tasks[[#This Row],[Start]],Tasks[[#This Row],[Planned Start]],WorkWeek,Holidays)))</f>
        <v/>
      </c>
      <c r="AT172" s="61">
        <f>IF(Tasks[[#This Row],[Task Name]]="","",IF(Tasks[[#This Row],[_IsSummary]],MIN(INDEX(Tasks[_LeafLateStart],Tasks[[#This Row],[_Row]]+1):INDEX(Tasks[_LeafLateStart],Tasks[[#This Row],[_Row]]+Tasks[[#This Row],[_Descendants]])),Tasks[[#This Row],[_LeafLateStart]]))</f>
        <v/>
      </c>
      <c r="AU172" s="61">
        <f>IF(Tasks[[#This Row],[Task Name]]="","",IF(Tasks[[#This Row],[_IsSummary]],MAX(INDEX(Tasks[_LeafLateFinish],Tasks[[#This Row],[_Row]]+1):INDEX(Tasks[_LeafLateFinish],Tasks[[#This Row],[_Row]]+Tasks[[#This Row],[_Descendants]])),Tasks[[#This Row],[_LeafLateFinish]]))</f>
        <v/>
      </c>
      <c r="AV172" s="21">
        <f>IF(Tasks[[#This Row],[Task Name]]="","",IF(Tasks[[#This Row],[_IsSummary]],MIN(INDEX(Tasks[_LeafTotalSlack],Tasks[[#This Row],[_Row]]+1):INDEX(Tasks[_LeafTotalSlack],Tasks[[#This Row],[_Row]]+Tasks[[#This Row],[_Descendants]])),Tasks[[#This Row],[_LeafTotalSlack]]))</f>
        <v/>
      </c>
      <c r="AW17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3" t="n"/>
      <c r="BA17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f>IF(Tasks[[#This Row],[Task Name]]="","",IF(Tasks[[#This Row],[_Level]]&lt;=OutlineShowLevel,"Yes","No"))</f>
        <v/>
      </c>
      <c r="BE172" s="84">
        <f>IF(Tasks[[#This Row],[Task Name]]="","",IF(Tasks[[#This Row],[_IsSummary]],SUM(INDEX(Tasks[_LeafTotalWork],Tasks[[#This Row],[_Row]]+1):INDEX(Tasks[_LeafTotalWork],Tasks[[#This Row],[_Row]]+Tasks[[#This Row],[_Descendants]])),Tasks[[#This Row],[_LeafTotalWork]]))</f>
        <v/>
      </c>
      <c r="BF172" s="23" t="n"/>
      <c r="BG17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f>""</f>
        <v/>
      </c>
      <c r="BI172" s="85" t="n"/>
      <c r="BJ172" s="22" t="n"/>
      <c r="BK172" s="21">
        <f>IF(OR(Tasks[[#This Row],[Task Name]]="",Tasks[[#This Row],[Baseline Duration]]=""),"",Tasks[[#This Row],[_SpanDays]]-N(Tasks[[#This Row],[Baseline Duration]]))</f>
        <v/>
      </c>
      <c r="BL172" s="84">
        <f>IF(OR(Tasks[[#This Row],[Task Name]]="",Tasks[[#This Row],[Baseline Work]]=""),"",Tasks[[#This Row],[Work]]-N(Tasks[[#This Row],[Baseline Work]]))</f>
        <v/>
      </c>
      <c r="BM172" s="61">
        <f>IF(Tasks[[#This Row],[Task Name]]="","",IF(OR(TakeBaseline="Yes",N(Tasks[[#This Row],[Baseline Start]])=0),Tasks[[#This Row],[Start]],Tasks[[#This Row],[Baseline Start]]))</f>
        <v/>
      </c>
      <c r="BN172" s="61">
        <f>IF(Tasks[[#This Row],[Task Name]]="","",IF(OR(TakeBaseline="Yes",N(Tasks[[#This Row],[Baseline Finish]])=0),Tasks[[#This Row],[Finish]],Tasks[[#This Row],[Baseline Finish]]))</f>
        <v/>
      </c>
      <c r="BO172" s="21">
        <f>IF(Tasks[[#This Row],[Task Name]]="","",IF(OR(TakeBaseline="Yes",N(Tasks[[#This Row],[Baseline Duration]])=0),Tasks[[#This Row],[_SpanDays]],Tasks[[#This Row],[Baseline Duration]]))</f>
        <v/>
      </c>
      <c r="BP172" s="84">
        <f>IF(Tasks[[#This Row],[Task Name]]="","",IF(OR(TakeBaseline="Yes",N(Tasks[[#This Row],[Baseline Work]])=0),Tasks[[#This Row],[Work]],Tasks[[#This Row],[Baseline Work]]))</f>
        <v/>
      </c>
      <c r="BQ172" s="7" t="n"/>
      <c r="BR172" s="7" t="n"/>
      <c r="BS172" s="22" t="n"/>
      <c r="BT172" s="86" t="n"/>
      <c r="BU172" s="23" t="n"/>
      <c r="BV172" s="23" t="n"/>
      <c r="BW172" s="23" t="n"/>
      <c r="BX172" s="87">
        <f>IF(AND(Tasks[[#This Row],[_IsLeaf]]=1,ISNUMBER(Tasks[[#This Row],[Optimistic]]),ISNUMBER(Tasks[[#This Row],[Pessimistic]])),ROUND((Tasks[[#This Row],[Optimistic]]+4*N(Tasks[[#This Row],[_Days]])+Tasks[[#This Row],[Pessimistic]])/6,1),"")</f>
        <v/>
      </c>
      <c r="BY172" s="85" t="n"/>
      <c r="BZ172" s="85" t="n"/>
      <c r="CA172" s="22" t="n"/>
      <c r="CB172" s="42">
        <f>IF(Tasks[[#This Row],[Task Name]]="","",MAX(1,N(Tasks[[#This Row],[Level]])))</f>
        <v/>
      </c>
      <c r="CC172" s="42">
        <f>ROW()-ROW(Tasks[[#Headers],[ID]])</f>
        <v/>
      </c>
      <c r="CD172" s="42">
        <f>IF(OR(Tasks[[#This Row],[Task Name]]="",Tasks[[#This Row],[_Level]]&lt;=1),0,IFERROR(LOOKUP(2,1/(Tasks[[#Headers],[_Level]]:Tasks[[#This Row],[_Level]]=Tasks[[#This Row],[_Level]]-1),ROW(Tasks[[#Headers],[_Level]]:Tasks[[#This Row],[_Level]])),0))</f>
        <v/>
      </c>
      <c r="CE172" s="42">
        <f>IFERROR(N(INDEX(Tasks[_Level],Tasks[[#This Row],[_Row]]+1)),0)</f>
        <v/>
      </c>
      <c r="CF172" s="42">
        <f>AND(Tasks[[#This Row],[Task Name]]&lt;&gt;"",Tasks[[#This Row],[_NextLevel]]&gt;Tasks[[#This Row],[_Level]])</f>
        <v/>
      </c>
      <c r="CG172" s="42">
        <f>IF(Tasks[[#This Row],[_IsSummary]],COUNTIF(Tasks[WBS],Tasks[[#This Row],[WBS]]&amp;".*"),0)</f>
        <v/>
      </c>
      <c r="CH172" s="42">
        <f>IF(AND(Tasks[[#This Row],[Task Name]]&lt;&gt;"",NOT(Tasks[[#This Row],[_IsSummary]])),1,0)</f>
        <v/>
      </c>
      <c r="CI172" s="42">
        <f>IF(N(Tasks[[#This Row],[_Pred1UID]])=0,0,IFERROR(MATCH(Tasks[[#This Row],[_Pred1UID]],Tasks[UID],0),-1))</f>
        <v/>
      </c>
      <c r="CJ172" s="42">
        <f>IF(N(Tasks[[#This Row],[_Pred2UID]])=0,0,IFERROR(MATCH(Tasks[[#This Row],[_Pred2UID]],Tasks[UID],0),-1))</f>
        <v/>
      </c>
      <c r="CK172" s="42">
        <f>IF(N(Tasks[[#This Row],[_Pred3UID]])=0,0,IFERROR(MATCH(Tasks[[#This Row],[_Pred3UID]],Tasks[UID],0),-1))</f>
        <v/>
      </c>
      <c r="CL172" s="42">
        <f>IF(N(Tasks[[#This Row],[_Pred4UID]])=0,0,IFERROR(MATCH(Tasks[[#This Row],[_Pred4UID]],Tasks[UID],0),-1))</f>
        <v/>
      </c>
      <c r="CM17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2" s="88">
        <f>IF(N(Tasks[[#This Row],[Constraint Date]])=0,0,IF(AND(OR(Tasks[[#This Row],[_ConstraintCode]]=3,Tasks[[#This Row],[_ConstraintCode]]=6,Tasks[[#This Row],[_ConstraintCode]]=7),N(Tasks[[#This Row],[_Days]])&gt;1),WORKDAY.INTL(N(Tasks[[#This Row],[Constraint Date]]),-(N(Tasks[[#This Row],[_Days]])-1),WorkWeek,Holidays),N(Tasks[[#This Row],[Constraint Date]])))</f>
        <v/>
      </c>
      <c r="CO172" s="88">
        <f>IF(OR(Tasks[[#This Row],[_ConstraintCode]]=2,Tasks[[#This Row],[_ConstraintCode]]=3,Tasks[[#This Row],[_ConstraintCode]]=4,Tasks[[#This Row],[_ConstraintCode]]=6),Tasks[[#This Row],[_ConstraintStart]],0)</f>
        <v/>
      </c>
      <c r="CP172" s="88">
        <f>IF(OR(Tasks[[#This Row],[_ConstraintCode]]=2,Tasks[[#This Row],[_ConstraintCode]]=3,Tasks[[#This Row],[_ConstraintCode]]=5,Tasks[[#This Row],[_ConstraintCode]]=7),Tasks[[#This Row],[_ConstraintStart]],2958465)</f>
        <v/>
      </c>
      <c r="CQ17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2" s="88">
        <f>IF(NOT(Tasks[[#This Row],[_IsLeaf]]=1),"",IF(N(Tasks[[#This Row],[_Days]])&lt;=0,Tasks[[#This Row],[_LeafCalcStart]],WORKDAY.INTL(Tasks[[#This Row],[_LeafCalcStart]],Tasks[[#This Row],[_Days]]-1,WorkWeek,Holidays)))</f>
        <v/>
      </c>
      <c r="CS17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2" s="42">
        <f>IF(Tasks[[#This Row],[_Predecessors]]="","",TRIM(MID(SUBSTITUTE(SUBSTITUTE(SUBSTITUTE(UPPER(Tasks[[#This Row],[_Predecessors]]),";",",")," ",""),",",REPT(" ",99)),1,99)))</f>
        <v/>
      </c>
      <c r="CV172" s="42">
        <f>IF(Tasks[[#This Row],[_Pred1Text]]="","",IFERROR(VALUE(LEFT(Tasks[[#This Row],[_Pred1Text]],MIN(FIND("F",Tasks[[#This Row],[_Pred1Text]]&amp;"F"),FIND("S",Tasks[[#This Row],[_Pred1Text]]&amp;"S"),FIND("+",Tasks[[#This Row],[_Pred1Text]]&amp;"+"),FIND("-",Tasks[[#This Row],[_Pred1Text]]&amp;"-"))-1)),""))</f>
        <v/>
      </c>
      <c r="CW17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2" s="42">
        <f>IF(Tasks[[#This Row],[_Pred1Text]]="","",TRIM(MID(SUBSTITUTE(SUBSTITUTE(SUBSTITUTE(UPPER(Tasks[[#This Row],[_Predecessors]]),";",",")," ",""),",",REPT(" ",99)),100,99)))</f>
        <v/>
      </c>
      <c r="CZ172" s="42">
        <f>IF(Tasks[[#This Row],[_Pred2Text]]="","",IFERROR(VALUE(LEFT(Tasks[[#This Row],[_Pred2Text]],MIN(FIND("F",Tasks[[#This Row],[_Pred2Text]]&amp;"F"),FIND("S",Tasks[[#This Row],[_Pred2Text]]&amp;"S"),FIND("+",Tasks[[#This Row],[_Pred2Text]]&amp;"+"),FIND("-",Tasks[[#This Row],[_Pred2Text]]&amp;"-"))-1)),""))</f>
        <v/>
      </c>
      <c r="DA17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2" s="42">
        <f>IF(Tasks[[#This Row],[_Pred2Text]]="","",TRIM(MID(SUBSTITUTE(SUBSTITUTE(SUBSTITUTE(UPPER(Tasks[[#This Row],[_Predecessors]]),";",",")," ",""),",",REPT(" ",99)),199,99)))</f>
        <v/>
      </c>
      <c r="DD172" s="42">
        <f>IF(Tasks[[#This Row],[_Pred3Text]]="","",IFERROR(VALUE(LEFT(Tasks[[#This Row],[_Pred3Text]],MIN(FIND("F",Tasks[[#This Row],[_Pred3Text]]&amp;"F"),FIND("S",Tasks[[#This Row],[_Pred3Text]]&amp;"S"),FIND("+",Tasks[[#This Row],[_Pred3Text]]&amp;"+"),FIND("-",Tasks[[#This Row],[_Pred3Text]]&amp;"-"))-1)),""))</f>
        <v/>
      </c>
      <c r="DE17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2" s="42">
        <f>IF(Tasks[[#This Row],[_Pred3Text]]="","",TRIM(MID(SUBSTITUTE(SUBSTITUTE(SUBSTITUTE(UPPER(Tasks[[#This Row],[_Predecessors]]),";",",")," ",""),",",REPT(" ",99)),298,99)))</f>
        <v/>
      </c>
      <c r="DH172" s="42">
        <f>IF(Tasks[[#This Row],[_Pred4Text]]="","",IFERROR(VALUE(LEFT(Tasks[[#This Row],[_Pred4Text]],MIN(FIND("F",Tasks[[#This Row],[_Pred4Text]]&amp;"F"),FIND("S",Tasks[[#This Row],[_Pred4Text]]&amp;"S"),FIND("+",Tasks[[#This Row],[_Pred4Text]]&amp;"+"),FIND("-",Tasks[[#This Row],[_Pred4Text]]&amp;"-"))-1)),""))</f>
        <v/>
      </c>
      <c r="DI17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2" s="42">
        <f>IF(OR(Tasks[[#This Row],[Task Name]]="",Tasks[[#This Row],[_Resources]]=""),"",TRIM(MID(SUBSTITUTE(Tasks[[#This Row],[_Resources]],",",REPT(" ",99)),1,99)))</f>
        <v/>
      </c>
      <c r="DL172" s="42">
        <f>IF(Tasks[[#This Row],[_Res1Text]]="","",TRIM(MID(SUBSTITUTE(Tasks[[#This Row],[_Resources]],",",REPT(" ",99)),100,99)))</f>
        <v/>
      </c>
      <c r="DM172" s="42">
        <f>IF(Tasks[[#This Row],[_Res2Text]]="","",TRIM(MID(SUBSTITUTE(Tasks[[#This Row],[_Resources]],",",REPT(" ",99)),199,99)))</f>
        <v/>
      </c>
      <c r="DN172" s="42">
        <f>IF(Tasks[[#This Row],[_Res3Text]]="","",TRIM(MID(SUBSTITUTE(Tasks[[#This Row],[_Resources]],",",REPT(" ",99)),298,99)))</f>
        <v/>
      </c>
      <c r="DO172" s="42">
        <f>IF(Tasks[[#This Row],[_Res1Text]]="",0,IFERROR(MATCH(TRIM(LEFT(Tasks[[#This Row],[_Res1Text]],FIND("[",Tasks[[#This Row],[_Res1Text]]&amp;"[")-1)),res_Name,0),IFERROR(MATCH(TRIM(LEFT(Tasks[[#This Row],[_Res1Text]],FIND("[",Tasks[[#This Row],[_Res1Text]]&amp;"[")-1)),res_Initials,0),0)))</f>
        <v/>
      </c>
      <c r="DP172" s="42">
        <f>IF(Tasks[[#This Row],[_Res2Text]]="",0,IFERROR(MATCH(TRIM(LEFT(Tasks[[#This Row],[_Res2Text]],FIND("[",Tasks[[#This Row],[_Res2Text]]&amp;"[")-1)),res_Name,0),IFERROR(MATCH(TRIM(LEFT(Tasks[[#This Row],[_Res2Text]],FIND("[",Tasks[[#This Row],[_Res2Text]]&amp;"[")-1)),res_Initials,0),0)))</f>
        <v/>
      </c>
      <c r="DQ172" s="42">
        <f>IF(Tasks[[#This Row],[_Res3Text]]="",0,IFERROR(MATCH(TRIM(LEFT(Tasks[[#This Row],[_Res3Text]],FIND("[",Tasks[[#This Row],[_Res3Text]]&amp;"[")-1)),res_Name,0),IFERROR(MATCH(TRIM(LEFT(Tasks[[#This Row],[_Res3Text]],FIND("[",Tasks[[#This Row],[_Res3Text]]&amp;"[")-1)),res_Initials,0),0)))</f>
        <v/>
      </c>
      <c r="DR172" s="42">
        <f>IF(Tasks[[#This Row],[_Res4Text]]="",0,IFERROR(MATCH(TRIM(LEFT(Tasks[[#This Row],[_Res4Text]],FIND("[",Tasks[[#This Row],[_Res4Text]]&amp;"[")-1)),res_Name,0),IFERROR(MATCH(TRIM(LEFT(Tasks[[#This Row],[_Res4Text]],FIND("[",Tasks[[#This Row],[_Res4Text]]&amp;"[")-1)),res_Initials,0),0)))</f>
        <v/>
      </c>
      <c r="DS172" s="42">
        <f>IF(Tasks[[#This Row],[_Res1Text]]="","",IF(Tasks[[#This Row],[_Res1Row]]&gt;0,INDEX(res_Name,Tasks[[#This Row],[_Res1Row]]),TRIM(LEFT(Tasks[[#This Row],[_Res1Text]],FIND("[",Tasks[[#This Row],[_Res1Text]]&amp;"[")-1))))</f>
        <v/>
      </c>
      <c r="DT17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2" s="42">
        <f>IF(NOT(Tasks[[#This Row],[_IsLeaf]]=1),0,(Tasks[[#This Row],[_Resource1]]&lt;&gt;"")+(Tasks[[#This Row],[_Res2]]&lt;&gt;"")+(Tasks[[#This Row],[_Res3]]&lt;&gt;"")+(Tasks[[#This Row],[_Res4]]&lt;&gt;""))</f>
        <v/>
      </c>
      <c r="DV172" s="42">
        <f>IF(Tasks[[#This Row],[_Res2Text]]="","",IF(Tasks[[#This Row],[_Res2Row]]&gt;0,INDEX(res_Name,Tasks[[#This Row],[_Res2Row]]),TRIM(LEFT(Tasks[[#This Row],[_Res2Text]],FIND("[",Tasks[[#This Row],[_Res2Text]]&amp;"[")-1))))</f>
        <v/>
      </c>
      <c r="DW17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2" s="42">
        <f>IF(OR(NOT(Tasks[[#This Row],[_IsLeaf]]=1),Tasks[[#This Row],[_Res2Row]]=0),0,N(Tasks[[#This Row],[_Days]])*HoursPerDay*IF(Tasks[[#This Row],[_Res2Units]]="",DefaultUnits,Tasks[[#This Row],[_Res2Units]]))</f>
        <v/>
      </c>
      <c r="DY172" s="42">
        <f>IF(AND(AND(Tasks[[#This Row],[_IsLeaf]]=1,Tasks[[#This Row],[_LeafTotalWork]]&gt;0),Tasks[[#This Row],[_Res2Work]]&gt;0),Tasks[[#This Row],[_Res2Work]]/(Tasks[[#This Row],[_FinishWorkday]]-Tasks[[#This Row],[_StartWorkday]]+1),0)</f>
        <v/>
      </c>
      <c r="DZ172" s="42">
        <f>Tasks[[#This Row],[_Res2WorkPerWD]]*MAX(0,Tasks[[#This Row],[_StartWorkday]]-1)</f>
        <v/>
      </c>
      <c r="EA172" s="42">
        <f>Tasks[[#This Row],[_Res2Work]]*Tasks[[#This Row],[_LeafProgress]]</f>
        <v/>
      </c>
      <c r="EB172" s="42">
        <f>IF(Tasks[[#This Row],[_Res3Text]]="","",IF(Tasks[[#This Row],[_Res3Row]]&gt;0,INDEX(res_Name,Tasks[[#This Row],[_Res3Row]]),TRIM(LEFT(Tasks[[#This Row],[_Res3Text]],FIND("[",Tasks[[#This Row],[_Res3Text]]&amp;"[")-1))))</f>
        <v/>
      </c>
      <c r="EC17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2" s="42">
        <f>IF(OR(NOT(Tasks[[#This Row],[_IsLeaf]]=1),Tasks[[#This Row],[_Res3Row]]=0),0,N(Tasks[[#This Row],[_Days]])*HoursPerDay*IF(Tasks[[#This Row],[_Res3Units]]="",DefaultUnits,Tasks[[#This Row],[_Res3Units]]))</f>
        <v/>
      </c>
      <c r="EE172" s="42">
        <f>IF(AND(AND(Tasks[[#This Row],[_IsLeaf]]=1,Tasks[[#This Row],[_LeafTotalWork]]&gt;0),Tasks[[#This Row],[_Res3Work]]&gt;0),Tasks[[#This Row],[_Res3Work]]/(Tasks[[#This Row],[_FinishWorkday]]-Tasks[[#This Row],[_StartWorkday]]+1),0)</f>
        <v/>
      </c>
      <c r="EF172" s="42">
        <f>Tasks[[#This Row],[_Res3WorkPerWD]]*MAX(0,Tasks[[#This Row],[_StartWorkday]]-1)</f>
        <v/>
      </c>
      <c r="EG172" s="42">
        <f>Tasks[[#This Row],[_Res3Work]]*Tasks[[#This Row],[_LeafProgress]]</f>
        <v/>
      </c>
      <c r="EH172" s="42">
        <f>IF(Tasks[[#This Row],[_Res4Text]]="","",IF(Tasks[[#This Row],[_Res4Row]]&gt;0,INDEX(res_Name,Tasks[[#This Row],[_Res4Row]]),TRIM(LEFT(Tasks[[#This Row],[_Res4Text]],FIND("[",Tasks[[#This Row],[_Res4Text]]&amp;"[")-1))))</f>
        <v/>
      </c>
      <c r="EI17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2" s="42">
        <f>IF(OR(NOT(Tasks[[#This Row],[_IsLeaf]]=1),Tasks[[#This Row],[_Res4Row]]=0),0,N(Tasks[[#This Row],[_Days]])*HoursPerDay*IF(Tasks[[#This Row],[_Res4Units]]="",DefaultUnits,Tasks[[#This Row],[_Res4Units]]))</f>
        <v/>
      </c>
      <c r="EK172" s="42">
        <f>IF(AND(AND(Tasks[[#This Row],[_IsLeaf]]=1,Tasks[[#This Row],[_LeafTotalWork]]&gt;0),Tasks[[#This Row],[_Res4Work]]&gt;0),Tasks[[#This Row],[_Res4Work]]/(Tasks[[#This Row],[_FinishWorkday]]-Tasks[[#This Row],[_StartWorkday]]+1),0)</f>
        <v/>
      </c>
      <c r="EL172" s="42">
        <f>Tasks[[#This Row],[_Res4WorkPerWD]]*MAX(0,Tasks[[#This Row],[_StartWorkday]]-1)</f>
        <v/>
      </c>
      <c r="EM172" s="42">
        <f>Tasks[[#This Row],[_Res4Work]]*Tasks[[#This Row],[_LeafProgress]]</f>
        <v/>
      </c>
      <c r="EN172" s="42">
        <f>IF(ISNUMBER(Tasks[[#This Row],[% Complete]]),Tasks[[#This Row],[% Complete]],IF(Tasks[[#This Row],[Stage]]="",0,IFERROR(INDEX(stg_Pct,MATCH(Tasks[[#This Row],[Stage]],stg_Name,0)),0)))</f>
        <v/>
      </c>
      <c r="EO172" s="42">
        <f>IF(NOT(Tasks[[#This Row],[_IsLeaf]]=1),0,IF(N(Tasks[[#This Row],[Actual Finish]])&gt;0,1,MIN(1,Tasks[[#This Row],[_Pct]])))</f>
        <v/>
      </c>
      <c r="EP172" s="42">
        <f>IF(OR(NOT(Tasks[[#This Row],[_IsLeaf]]=1),Tasks[[#This Row],[_Res1Row]]=0),0,N(Tasks[[#This Row],[_Days]])*HoursPerDay*IF(Tasks[[#This Row],[_Units1]]="",DefaultUnits,Tasks[[#This Row],[_Units1]]))</f>
        <v/>
      </c>
      <c r="EQ172" s="42">
        <f>Tasks[[#This Row],[_LeafWork]]+Tasks[[#This Row],[_Res2Work]]+Tasks[[#This Row],[_Res3Work]]+Tasks[[#This Row],[_Res4Work]]</f>
        <v/>
      </c>
      <c r="ER17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2" s="42">
        <f>IF(NOT(Tasks[[#This Row],[_IsLeaf]]=1),0,MAX(_xlfn.MAXIFS(Tasks[_Row],Tasks[_Pred1UID],Tasks[[#This Row],[UID]]),_xlfn.MAXIFS(Tasks[_Row],Tasks[_Pred2UID],Tasks[[#This Row],[UID]]),_xlfn.MAXIFS(Tasks[_Row],Tasks[_Pred3UID],Tasks[[#This Row],[UID]]),_xlfn.MAXIFS(Tasks[_Row],Tasks[_Pred4UID],Tasks[[#This Row],[UID]])))</f>
        <v/>
      </c>
      <c r="FA17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2" s="88">
        <f>IF(NOT(Tasks[[#This Row],[_IsLeaf]]=1),"",IF(N(Tasks[[#This Row],[_Days]])&lt;=0,Tasks[[#This Row],[_LeafLateFinish]],WORKDAY.INTL(Tasks[[#This Row],[_LeafLateFinish]],-(Tasks[[#This Row],[_Days]]-1),WorkWeek,Holidays)))</f>
        <v/>
      </c>
      <c r="FD17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2" s="42">
        <f>AND(Tasks[[#This Row],[_IsLeaf]]=1,Tasks[[#This Row],[_LeafProgress]]&lt;1,N(Tasks[[#This Row],[_LeafTotalSlack]])&lt;=CriticalSlackDays)</f>
        <v/>
      </c>
      <c r="FF172" s="42">
        <f>IF(AND(Tasks[[#This Row],[_IsLeaf]]=1,Tasks[[#This Row],[_ConstraintCode]]=1,Tasks[[#This Row],[Mode]]&lt;&gt;"Manual",N(Tasks[[#This Row],[Actual Start]])=0),MAX(0,N(Tasks[[#This Row],[Free Slack]])),0)</f>
        <v/>
      </c>
      <c r="FG172" s="88">
        <f>IF(NOT(Tasks[[#This Row],[_IsLeaf]]=1),"",IF(Tasks[[#This Row],[_AlapShift]]=0,Tasks[[#This Row],[_LeafCalcStart]],WORKDAY.INTL(Tasks[[#This Row],[_LeafCalcStart]],Tasks[[#This Row],[_AlapShift]],WorkWeek,Holidays)))</f>
        <v/>
      </c>
      <c r="FH172" s="88">
        <f>IF(NOT(Tasks[[#This Row],[_IsLeaf]]=1),"",IF(Tasks[[#This Row],[_AlapShift]]=0,Tasks[[#This Row],[_LeafCalcFinish]],WORKDAY.INTL(Tasks[[#This Row],[_LeafCalcFinish]],Tasks[[#This Row],[_AlapShift]],WorkWeek,Holidays)))</f>
        <v/>
      </c>
      <c r="FI172" s="88">
        <f>IF(NOT(Tasks[[#This Row],[_IsLeaf]]=1),"",IF(Tasks[[#This Row],[_AlapShift]]=0,Tasks[[#This Row],[_LeafFcstStart]],WORKDAY.INTL(Tasks[[#This Row],[_LeafFcstStart]],Tasks[[#This Row],[_AlapShift]],WorkWeek,Holidays)))</f>
        <v/>
      </c>
      <c r="FJ172" s="88">
        <f>IF(NOT(Tasks[[#This Row],[_IsLeaf]]=1),"",IF(Tasks[[#This Row],[_AlapShift]]=0,Tasks[[#This Row],[_LeafFcstFinish]],WORKDAY.INTL(Tasks[[#This Row],[_LeafFcstFinish]],Tasks[[#This Row],[_AlapShift]],WorkWeek,Holidays)))</f>
        <v/>
      </c>
      <c r="FK172" s="88">
        <f>IF(Tasks[[#This Row],[Task Name]]="","",IF(Tasks[[#This Row],[_IsSummary]],MIN(INDEX(Tasks[_ShownCalcStart],Tasks[[#This Row],[_Row]]+1):INDEX(Tasks[_ShownCalcStart],Tasks[[#This Row],[_Row]]+Tasks[[#This Row],[_Descendants]])),Tasks[[#This Row],[_ShownCalcStart]]))</f>
        <v/>
      </c>
      <c r="FL172" s="88">
        <f>IF(Tasks[[#This Row],[Task Name]]="","",IF(Tasks[[#This Row],[_IsSummary]],MAX(INDEX(Tasks[_ShownCalcFinish],Tasks[[#This Row],[_Row]]+1):INDEX(Tasks[_ShownCalcFinish],Tasks[[#This Row],[_Row]]+Tasks[[#This Row],[_Descendants]])),Tasks[[#This Row],[_ShownCalcFinish]]))</f>
        <v/>
      </c>
      <c r="FM17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2" s="42">
        <f>IF(AND(Tasks[[#This Row],[_IsLeaf]]=1,Tasks[[#This Row],[_LeafTotalWork]]&gt;0),NETWORKDAYS.INTL(ProjectStart,Tasks[[#This Row],[_ShownFcstStart]],WorkWeek,Holidays),0)</f>
        <v/>
      </c>
      <c r="FZ172" s="42">
        <f>IF(AND(Tasks[[#This Row],[_IsLeaf]]=1,Tasks[[#This Row],[_LeafTotalWork]]&gt;0),MAX(Tasks[[#This Row],[_StartWorkday]],NETWORKDAYS.INTL(ProjectStart,Tasks[[#This Row],[_ShownFcstFinish]],WorkWeek,Holidays)),0)</f>
        <v/>
      </c>
      <c r="GA172" s="42">
        <f>IF(AND(Tasks[[#This Row],[_IsLeaf]]=1,Tasks[[#This Row],[_LeafTotalWork]]&gt;0),Tasks[[#This Row],[_LeafWork]]/(Tasks[[#This Row],[_FinishWorkday]]-Tasks[[#This Row],[_StartWorkday]]+1),0)</f>
        <v/>
      </c>
      <c r="GB172" s="42">
        <f>Tasks[[#This Row],[_WorkPerWorkday]]*(Tasks[[#This Row],[_StartWorkday]]-1)</f>
        <v/>
      </c>
      <c r="GC172" s="42">
        <f>IF(Tasks[[#This Row],[_IsLeaf]]=1,MAX(N(Tasks[[#This Row],[_Days]]),0.1),0)</f>
        <v/>
      </c>
      <c r="GD172" s="42">
        <f>Tasks[[#This Row],[_WeightDur]]*Tasks[[#This Row],[_LeafProgress]]</f>
        <v/>
      </c>
      <c r="GE172" s="42">
        <f>Tasks[[#This Row],[_WeightDur]]*Tasks[[#This Row],[_PlannedPct]]</f>
        <v/>
      </c>
      <c r="GF17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2" s="42">
        <f>IF(AND(Tasks[[#This Row],[_IsLeaf]]=1,N(Tasks[[#This Row],[_Days]])=0,Tasks[[#This Row],[_LeafProgress]]&lt;1),Tasks[[#This Row],[_ShownFcstFinish]]+Tasks[[#This Row],[_Row]]/100000,"")</f>
        <v/>
      </c>
      <c r="GH17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2" s="42">
        <f>IF(Tasks[[#This Row],[Task Name]]="","",LEFT(Tasks[[#This Row],[WBS]],FIND(".",Tasks[[#This Row],[WBS]]&amp;".")-1))</f>
        <v/>
      </c>
      <c r="GJ172" s="42">
        <f>IF(AND(Tasks[[#This Row],[Task Name]]&lt;&gt;"",Tasks[[#This Row],[_Level]]=1),Tasks[[#This Row],[_Row]],"")</f>
        <v/>
      </c>
      <c r="GK172" s="42">
        <f>IF(AND(Tasks[[#This Row],[_IsLeaf]]=1,N(Tasks[[#This Row],[_Days]])=0),Tasks[[#This Row],[Planned Finish]]+Tasks[[#This Row],[_Row]]/100000,"")</f>
        <v/>
      </c>
      <c r="GL172" s="42">
        <f>IF(AND(Tasks[[#This Row],[_IsLeaf]]=1,Tasks[[#This Row],[_LeafProgress]]&lt;1,OR(N(Tasks[[#This Row],[Finish Var]])&gt;0,Tasks[[#This Row],[Status]]="Late Start")),MAX(0,Tasks[[#This Row],[Finish Var]])+1-Tasks[[#This Row],[_Row]]/1000000,"")</f>
        <v/>
      </c>
      <c r="GM172" s="42">
        <f>IF(AND(Tasks[[#This Row],[_IsLeaf]]=1,N(Tasks[[#This Row],[Actual Start]])=0,Tasks[[#This Row],[_ShownFcstStart]]&gt;=StatusDate,Tasks[[#This Row],[_ShownFcstStart]]&lt;=LookaheadEnd),Tasks[[#This Row],[_ShownFcstStart]]+Tasks[[#This Row],[_Row]]/100000,"")</f>
        <v/>
      </c>
      <c r="GN172" s="42">
        <f>IF(AND(Tasks[[#This Row],[_IsLeaf]]=1,Tasks[[#This Row],[_LeafProgress]]&lt;1,Tasks[[#This Row],[_ShownFcstFinish]]&gt;=StatusDate,Tasks[[#This Row],[_ShownFcstFinish]]&lt;=LookaheadEnd),Tasks[[#This Row],[_ShownFcstFinish]]+Tasks[[#This Row],[_Row]]/100000,"")</f>
        <v/>
      </c>
      <c r="GO172" s="42">
        <f>IF(Tasks[[#This Row],[_LeafCritical]],Tasks[[#This Row],[_ShownFcstStart]]+Tasks[[#This Row],[_Row]]/100000,"")</f>
        <v/>
      </c>
      <c r="GP172" s="42">
        <f>Tasks[[#This Row],[_LeafWork]]*Tasks[[#This Row],[_LeafProgress]]</f>
        <v/>
      </c>
      <c r="GQ172" s="88">
        <f>IF(AND(Tasks[[#This Row],[_IsLeaf]]=1,Tasks[[#This Row],[_LeafProgress]]&gt;=1),IF(N(Tasks[[#This Row],[Actual Finish]])&gt;0,Tasks[[#This Row],[Actual Finish]],Tasks[[#This Row],[_ShownFcstFinish]]),"")</f>
        <v/>
      </c>
      <c r="GR172" s="42">
        <f>IF(Tasks[[#This Row],[_IsLeaf]]=1,N(Tasks[[#This Row],[Story Points]]),0)</f>
        <v/>
      </c>
      <c r="GS172" s="42">
        <f>""</f>
        <v/>
      </c>
      <c r="GT172" s="42">
        <f>IF(Tasks[[#This Row],[Task Name]]="",FALSE(),AND(Tasks[[#This Row],[_IsLeaf]]=1,N(Tasks[[#This Row],[_Days]])=0))</f>
        <v/>
      </c>
      <c r="GU172" s="88">
        <f>IF(Tasks[[#This Row],[Task Name]]="",0,IF(AND(Tasks[[#This Row],[_IsLeaf]]=1,NOT(Tasks[[#This Row],[_IsMilestone]]),N(Tasks[[#This Row],[Progress]])&gt;0),Tasks[[#This Row],[Start]],0))</f>
        <v/>
      </c>
      <c r="GV172" s="88">
        <f>IF(Tasks[[#This Row],[_DoneFrom]]=0,0,IF(Tasks[[#This Row],[Progress]]&gt;=1,Tasks[[#This Row],[Finish]],MAX(Tasks[[#This Row],[_DoneFrom]],Tasks[[#This Row],[Start]]+ROUND((Tasks[[#This Row],[Finish]]-Tasks[[#This Row],[Start]]+1)*Tasks[[#This Row],[Progress]],0)-1)))</f>
        <v/>
      </c>
      <c r="GW172" s="88">
        <f>IF(Tasks[[#This Row],[Task Name]]="",0,IF(OR(NOT(Tasks[[#This Row],[_IsLeaf]]=1),Tasks[[#This Row],[_IsMilestone]],N(Tasks[[#This Row],[Progress]])&gt;=1),0,IF(Tasks[[#This Row],[_DoneTo]]&gt;0,Tasks[[#This Row],[_DoneTo]]+1,Tasks[[#This Row],[Start]])))</f>
        <v/>
      </c>
      <c r="GX172" s="88">
        <f>IF(Tasks[[#This Row],[_RemFrom]]=0,0,Tasks[[#This Row],[Finish]])</f>
        <v/>
      </c>
      <c r="GY172" s="42">
        <f>IF(Tasks[[#This Row],[Task Name]]="",FALSE(),OR(NOT(BaselineSet),N(Tasks[[#This Row],[Baseline Start]])&gt;0))</f>
        <v/>
      </c>
      <c r="GZ172" s="42">
        <f>IF(AND(Sandbox="Yes",L_PARSE_DURATION(Tasks[[#This Row],[Sandbox Duration]])&lt;&gt;""),L_PARSE_DURATION(Tasks[[#This Row],[Sandbox Duration]]),L_PARSE_DURATION(Tasks[[#This Row],[Duration]]))</f>
        <v/>
      </c>
      <c r="HA17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2" s="42">
        <f>IF(Tasks[[#This Row],[_IsLeaf]]=1,Tasks[[#This Row],[_Row]],"")</f>
        <v/>
      </c>
      <c r="HD172" s="42">
        <f>IFERROR(INDEX(Tasks[UID],SMALL(Tasks[_PickKey],Tasks[[#This Row],[_Row]]))&amp;" "&amp;INDEX(Tasks[Task Name],SMALL(Tasks[_PickKey],Tasks[[#This Row],[_Row]])),"")</f>
        <v/>
      </c>
      <c r="HE172" s="42">
        <f>IF(Tasks[[#This Row],[Task Name]]="","",IF(Tasks[[#This Row],[_IsSummary]],NETWORKDAYS.INTL(Tasks[[#This Row],[Start]],Tasks[[#This Row],[Finish]],WorkWeek,Holidays),N(Tasks[[#This Row],[_Days]])))</f>
        <v/>
      </c>
      <c r="HF172" s="42">
        <f>IF(Tasks[[#This Row],[Expected]]="",0,((Tasks[[#This Row],[Pessimistic]]-Tasks[[#This Row],[Optimistic]])/6)^2)</f>
        <v/>
      </c>
      <c r="HG172" s="42">
        <f>IF(Tasks[[#This Row],[Expected]]="",0,Tasks[[#This Row],[Expected]]-N(Tasks[[#This Row],[_Days]]))</f>
        <v/>
      </c>
    </row>
    <row r="173">
      <c r="A173" s="21">
        <f>IF(Tasks[[#This Row],[Task Name]]="","",COUNTA(Tasks[[#Headers],[Task Name]]:Tasks[[#This Row],[Task Name]])-1)</f>
        <v/>
      </c>
      <c r="B173" s="22" t="n">
        <v>181</v>
      </c>
      <c r="C173" s="22" t="n"/>
      <c r="D173" s="23" t="n"/>
      <c r="E173" s="22" t="n"/>
      <c r="F173" s="23" t="n"/>
      <c r="G173" s="22" t="n"/>
      <c r="H173" s="22" t="n"/>
      <c r="I173" s="23" t="n"/>
      <c r="J173" s="22" t="n"/>
      <c r="K173" s="22" t="n"/>
      <c r="L173" s="23" t="n"/>
      <c r="M173" s="22" t="n"/>
      <c r="N173" s="22" t="n"/>
      <c r="O173" s="23" t="n"/>
      <c r="P173" s="22" t="n"/>
      <c r="Q173" s="22" t="n"/>
      <c r="R173" s="23" t="n"/>
      <c r="S173" s="23" t="n"/>
      <c r="T173" s="82" t="n"/>
      <c r="U173" s="23" t="n"/>
      <c r="V173" s="82" t="n"/>
      <c r="W173" s="23" t="n"/>
      <c r="X173" s="82" t="n"/>
      <c r="Y173" s="23" t="n"/>
      <c r="Z173" s="82" t="n"/>
      <c r="AA173" s="23" t="n"/>
      <c r="AB173" s="23" t="n"/>
      <c r="AC173" s="7" t="n"/>
      <c r="AD173" s="7" t="n"/>
      <c r="AE173" s="61">
        <f>IF(Tasks[[#This Row],[Task Name]]="","",IF(Tasks[[#This Row],[_IsSummary]],MIN(INDEX(Tasks[_ShownFcstStart],Tasks[[#This Row],[_Row]]+1):INDEX(Tasks[_ShownFcstStart],Tasks[[#This Row],[_Row]]+Tasks[[#This Row],[_Descendants]])),Tasks[[#This Row],[_ShownFcstStart]]))</f>
        <v/>
      </c>
      <c r="AF173" s="61">
        <f>IF(Tasks[[#This Row],[Task Name]]="","",IF(Tasks[[#This Row],[_IsSummary]],MAX(INDEX(Tasks[_ShownFcstFinish],Tasks[[#This Row],[_Row]]+1):INDEX(Tasks[_ShownFcstFinish],Tasks[[#This Row],[_Row]]+Tasks[[#This Row],[_Descendants]])),Tasks[[#This Row],[_ShownFcstFinish]]))</f>
        <v/>
      </c>
      <c r="AG173" s="21">
        <f>""</f>
        <v/>
      </c>
      <c r="AH173" s="23" t="n"/>
      <c r="AI17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3" s="7" t="n"/>
      <c r="AK173" s="22" t="n"/>
      <c r="AL173" s="23" t="n"/>
      <c r="AM173" s="7" t="n"/>
      <c r="AN173" s="21">
        <f>IF(Tasks[[#This Row],[Task Name]]="","",IF(Tasks[[#This Row],[Finish]]&gt;=Tasks[[#This Row],[Planned Finish]],NETWORKDAYS.INTL(Tasks[[#This Row],[Planned Finish]],Tasks[[#This Row],[Finish]],WorkWeek,Holidays)-1,1-NETWORKDAYS.INTL(Tasks[[#This Row],[Finish]],Tasks[[#This Row],[Planned Finish]],WorkWeek,Holidays)))</f>
        <v/>
      </c>
      <c r="AO173" s="21">
        <f>IF(Tasks[[#This Row],[Task Name]]="","",IF(Tasks[[#This Row],[Progress]]&gt;=1,"Complete",IF(OR(N(Tasks[[#This Row],[Actual Start]])&gt;0,Tasks[[#This Row],[Progress]]&gt;0),IF(Tasks[[#This Row],[Finish Var]]&gt;0,"Behind","In Progress"),IF(Tasks[[#This Row],[Planned Start]]&lt;StatusDate,"Late Start","Not Started"))))</f>
        <v/>
      </c>
      <c r="AP173" s="21">
        <f>IF(Tasks[[#This Row],[Task Name]]="","",IF(IF(Tasks[[#This Row],[_IsSummary]],COUNTIF(INDEX(Tasks[_LeafCritical],Tasks[[#This Row],[_Row]]+1):INDEX(Tasks[_LeafCritical],Tasks[[#This Row],[_Row]]+Tasks[[#This Row],[_Descendants]]),TRUE())&gt;0,Tasks[[#This Row],[_LeafCritical]]),"Yes",""))</f>
        <v/>
      </c>
      <c r="AQ173" s="61">
        <f>IF(Tasks[[#This Row],[Task Name]]="","",IF(N(Tasks[[#This Row],[Baseline Start]])&gt;0,Tasks[[#This Row],[Baseline Start]],Tasks[[#This Row],[_CalcStart]]))</f>
        <v/>
      </c>
      <c r="AR173" s="61">
        <f>IF(Tasks[[#This Row],[Task Name]]="","",IF(N(Tasks[[#This Row],[Baseline Finish]])&gt;0,Tasks[[#This Row],[Baseline Finish]],Tasks[[#This Row],[_CalcFinish]]))</f>
        <v/>
      </c>
      <c r="AS173" s="21">
        <f>IF(Tasks[[#This Row],[Task Name]]="","",IF(Tasks[[#This Row],[Start]]&gt;=Tasks[[#This Row],[Planned Start]],NETWORKDAYS.INTL(Tasks[[#This Row],[Planned Start]],Tasks[[#This Row],[Start]],WorkWeek,Holidays)-1,1-NETWORKDAYS.INTL(Tasks[[#This Row],[Start]],Tasks[[#This Row],[Planned Start]],WorkWeek,Holidays)))</f>
        <v/>
      </c>
      <c r="AT173" s="61">
        <f>IF(Tasks[[#This Row],[Task Name]]="","",IF(Tasks[[#This Row],[_IsSummary]],MIN(INDEX(Tasks[_LeafLateStart],Tasks[[#This Row],[_Row]]+1):INDEX(Tasks[_LeafLateStart],Tasks[[#This Row],[_Row]]+Tasks[[#This Row],[_Descendants]])),Tasks[[#This Row],[_LeafLateStart]]))</f>
        <v/>
      </c>
      <c r="AU173" s="61">
        <f>IF(Tasks[[#This Row],[Task Name]]="","",IF(Tasks[[#This Row],[_IsSummary]],MAX(INDEX(Tasks[_LeafLateFinish],Tasks[[#This Row],[_Row]]+1):INDEX(Tasks[_LeafLateFinish],Tasks[[#This Row],[_Row]]+Tasks[[#This Row],[_Descendants]])),Tasks[[#This Row],[_LeafLateFinish]]))</f>
        <v/>
      </c>
      <c r="AV173" s="21">
        <f>IF(Tasks[[#This Row],[Task Name]]="","",IF(Tasks[[#This Row],[_IsSummary]],MIN(INDEX(Tasks[_LeafTotalSlack],Tasks[[#This Row],[_Row]]+1):INDEX(Tasks[_LeafTotalSlack],Tasks[[#This Row],[_Row]]+Tasks[[#This Row],[_Descendants]])),Tasks[[#This Row],[_LeafTotalSlack]]))</f>
        <v/>
      </c>
      <c r="AW17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3" t="n"/>
      <c r="BA17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f>IF(Tasks[[#This Row],[Task Name]]="","",IF(Tasks[[#This Row],[_Level]]&lt;=OutlineShowLevel,"Yes","No"))</f>
        <v/>
      </c>
      <c r="BE173" s="84">
        <f>IF(Tasks[[#This Row],[Task Name]]="","",IF(Tasks[[#This Row],[_IsSummary]],SUM(INDEX(Tasks[_LeafTotalWork],Tasks[[#This Row],[_Row]]+1):INDEX(Tasks[_LeafTotalWork],Tasks[[#This Row],[_Row]]+Tasks[[#This Row],[_Descendants]])),Tasks[[#This Row],[_LeafTotalWork]]))</f>
        <v/>
      </c>
      <c r="BF173" s="23" t="n"/>
      <c r="BG17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f>""</f>
        <v/>
      </c>
      <c r="BI173" s="85" t="n"/>
      <c r="BJ173" s="22" t="n"/>
      <c r="BK173" s="21">
        <f>IF(OR(Tasks[[#This Row],[Task Name]]="",Tasks[[#This Row],[Baseline Duration]]=""),"",Tasks[[#This Row],[_SpanDays]]-N(Tasks[[#This Row],[Baseline Duration]]))</f>
        <v/>
      </c>
      <c r="BL173" s="84">
        <f>IF(OR(Tasks[[#This Row],[Task Name]]="",Tasks[[#This Row],[Baseline Work]]=""),"",Tasks[[#This Row],[Work]]-N(Tasks[[#This Row],[Baseline Work]]))</f>
        <v/>
      </c>
      <c r="BM173" s="61">
        <f>IF(Tasks[[#This Row],[Task Name]]="","",IF(OR(TakeBaseline="Yes",N(Tasks[[#This Row],[Baseline Start]])=0),Tasks[[#This Row],[Start]],Tasks[[#This Row],[Baseline Start]]))</f>
        <v/>
      </c>
      <c r="BN173" s="61">
        <f>IF(Tasks[[#This Row],[Task Name]]="","",IF(OR(TakeBaseline="Yes",N(Tasks[[#This Row],[Baseline Finish]])=0),Tasks[[#This Row],[Finish]],Tasks[[#This Row],[Baseline Finish]]))</f>
        <v/>
      </c>
      <c r="BO173" s="21">
        <f>IF(Tasks[[#This Row],[Task Name]]="","",IF(OR(TakeBaseline="Yes",N(Tasks[[#This Row],[Baseline Duration]])=0),Tasks[[#This Row],[_SpanDays]],Tasks[[#This Row],[Baseline Duration]]))</f>
        <v/>
      </c>
      <c r="BP173" s="84">
        <f>IF(Tasks[[#This Row],[Task Name]]="","",IF(OR(TakeBaseline="Yes",N(Tasks[[#This Row],[Baseline Work]])=0),Tasks[[#This Row],[Work]],Tasks[[#This Row],[Baseline Work]]))</f>
        <v/>
      </c>
      <c r="BQ173" s="7" t="n"/>
      <c r="BR173" s="7" t="n"/>
      <c r="BS173" s="22" t="n"/>
      <c r="BT173" s="86" t="n"/>
      <c r="BU173" s="23" t="n"/>
      <c r="BV173" s="23" t="n"/>
      <c r="BW173" s="23" t="n"/>
      <c r="BX173" s="87">
        <f>IF(AND(Tasks[[#This Row],[_IsLeaf]]=1,ISNUMBER(Tasks[[#This Row],[Optimistic]]),ISNUMBER(Tasks[[#This Row],[Pessimistic]])),ROUND((Tasks[[#This Row],[Optimistic]]+4*N(Tasks[[#This Row],[_Days]])+Tasks[[#This Row],[Pessimistic]])/6,1),"")</f>
        <v/>
      </c>
      <c r="BY173" s="85" t="n"/>
      <c r="BZ173" s="85" t="n"/>
      <c r="CA173" s="22" t="n"/>
      <c r="CB173" s="42">
        <f>IF(Tasks[[#This Row],[Task Name]]="","",MAX(1,N(Tasks[[#This Row],[Level]])))</f>
        <v/>
      </c>
      <c r="CC173" s="42">
        <f>ROW()-ROW(Tasks[[#Headers],[ID]])</f>
        <v/>
      </c>
      <c r="CD173" s="42">
        <f>IF(OR(Tasks[[#This Row],[Task Name]]="",Tasks[[#This Row],[_Level]]&lt;=1),0,IFERROR(LOOKUP(2,1/(Tasks[[#Headers],[_Level]]:Tasks[[#This Row],[_Level]]=Tasks[[#This Row],[_Level]]-1),ROW(Tasks[[#Headers],[_Level]]:Tasks[[#This Row],[_Level]])),0))</f>
        <v/>
      </c>
      <c r="CE173" s="42">
        <f>IFERROR(N(INDEX(Tasks[_Level],Tasks[[#This Row],[_Row]]+1)),0)</f>
        <v/>
      </c>
      <c r="CF173" s="42">
        <f>AND(Tasks[[#This Row],[Task Name]]&lt;&gt;"",Tasks[[#This Row],[_NextLevel]]&gt;Tasks[[#This Row],[_Level]])</f>
        <v/>
      </c>
      <c r="CG173" s="42">
        <f>IF(Tasks[[#This Row],[_IsSummary]],COUNTIF(Tasks[WBS],Tasks[[#This Row],[WBS]]&amp;".*"),0)</f>
        <v/>
      </c>
      <c r="CH173" s="42">
        <f>IF(AND(Tasks[[#This Row],[Task Name]]&lt;&gt;"",NOT(Tasks[[#This Row],[_IsSummary]])),1,0)</f>
        <v/>
      </c>
      <c r="CI173" s="42">
        <f>IF(N(Tasks[[#This Row],[_Pred1UID]])=0,0,IFERROR(MATCH(Tasks[[#This Row],[_Pred1UID]],Tasks[UID],0),-1))</f>
        <v/>
      </c>
      <c r="CJ173" s="42">
        <f>IF(N(Tasks[[#This Row],[_Pred2UID]])=0,0,IFERROR(MATCH(Tasks[[#This Row],[_Pred2UID]],Tasks[UID],0),-1))</f>
        <v/>
      </c>
      <c r="CK173" s="42">
        <f>IF(N(Tasks[[#This Row],[_Pred3UID]])=0,0,IFERROR(MATCH(Tasks[[#This Row],[_Pred3UID]],Tasks[UID],0),-1))</f>
        <v/>
      </c>
      <c r="CL173" s="42">
        <f>IF(N(Tasks[[#This Row],[_Pred4UID]])=0,0,IFERROR(MATCH(Tasks[[#This Row],[_Pred4UID]],Tasks[UID],0),-1))</f>
        <v/>
      </c>
      <c r="CM17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3" s="88">
        <f>IF(N(Tasks[[#This Row],[Constraint Date]])=0,0,IF(AND(OR(Tasks[[#This Row],[_ConstraintCode]]=3,Tasks[[#This Row],[_ConstraintCode]]=6,Tasks[[#This Row],[_ConstraintCode]]=7),N(Tasks[[#This Row],[_Days]])&gt;1),WORKDAY.INTL(N(Tasks[[#This Row],[Constraint Date]]),-(N(Tasks[[#This Row],[_Days]])-1),WorkWeek,Holidays),N(Tasks[[#This Row],[Constraint Date]])))</f>
        <v/>
      </c>
      <c r="CO173" s="88">
        <f>IF(OR(Tasks[[#This Row],[_ConstraintCode]]=2,Tasks[[#This Row],[_ConstraintCode]]=3,Tasks[[#This Row],[_ConstraintCode]]=4,Tasks[[#This Row],[_ConstraintCode]]=6),Tasks[[#This Row],[_ConstraintStart]],0)</f>
        <v/>
      </c>
      <c r="CP173" s="88">
        <f>IF(OR(Tasks[[#This Row],[_ConstraintCode]]=2,Tasks[[#This Row],[_ConstraintCode]]=3,Tasks[[#This Row],[_ConstraintCode]]=5,Tasks[[#This Row],[_ConstraintCode]]=7),Tasks[[#This Row],[_ConstraintStart]],2958465)</f>
        <v/>
      </c>
      <c r="CQ17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3" s="88">
        <f>IF(NOT(Tasks[[#This Row],[_IsLeaf]]=1),"",IF(N(Tasks[[#This Row],[_Days]])&lt;=0,Tasks[[#This Row],[_LeafCalcStart]],WORKDAY.INTL(Tasks[[#This Row],[_LeafCalcStart]],Tasks[[#This Row],[_Days]]-1,WorkWeek,Holidays)))</f>
        <v/>
      </c>
      <c r="CS17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3" s="42">
        <f>IF(Tasks[[#This Row],[_Predecessors]]="","",TRIM(MID(SUBSTITUTE(SUBSTITUTE(SUBSTITUTE(UPPER(Tasks[[#This Row],[_Predecessors]]),";",",")," ",""),",",REPT(" ",99)),1,99)))</f>
        <v/>
      </c>
      <c r="CV173" s="42">
        <f>IF(Tasks[[#This Row],[_Pred1Text]]="","",IFERROR(VALUE(LEFT(Tasks[[#This Row],[_Pred1Text]],MIN(FIND("F",Tasks[[#This Row],[_Pred1Text]]&amp;"F"),FIND("S",Tasks[[#This Row],[_Pred1Text]]&amp;"S"),FIND("+",Tasks[[#This Row],[_Pred1Text]]&amp;"+"),FIND("-",Tasks[[#This Row],[_Pred1Text]]&amp;"-"))-1)),""))</f>
        <v/>
      </c>
      <c r="CW17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3" s="42">
        <f>IF(Tasks[[#This Row],[_Pred1Text]]="","",TRIM(MID(SUBSTITUTE(SUBSTITUTE(SUBSTITUTE(UPPER(Tasks[[#This Row],[_Predecessors]]),";",",")," ",""),",",REPT(" ",99)),100,99)))</f>
        <v/>
      </c>
      <c r="CZ173" s="42">
        <f>IF(Tasks[[#This Row],[_Pred2Text]]="","",IFERROR(VALUE(LEFT(Tasks[[#This Row],[_Pred2Text]],MIN(FIND("F",Tasks[[#This Row],[_Pred2Text]]&amp;"F"),FIND("S",Tasks[[#This Row],[_Pred2Text]]&amp;"S"),FIND("+",Tasks[[#This Row],[_Pred2Text]]&amp;"+"),FIND("-",Tasks[[#This Row],[_Pred2Text]]&amp;"-"))-1)),""))</f>
        <v/>
      </c>
      <c r="DA17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3" s="42">
        <f>IF(Tasks[[#This Row],[_Pred2Text]]="","",TRIM(MID(SUBSTITUTE(SUBSTITUTE(SUBSTITUTE(UPPER(Tasks[[#This Row],[_Predecessors]]),";",",")," ",""),",",REPT(" ",99)),199,99)))</f>
        <v/>
      </c>
      <c r="DD173" s="42">
        <f>IF(Tasks[[#This Row],[_Pred3Text]]="","",IFERROR(VALUE(LEFT(Tasks[[#This Row],[_Pred3Text]],MIN(FIND("F",Tasks[[#This Row],[_Pred3Text]]&amp;"F"),FIND("S",Tasks[[#This Row],[_Pred3Text]]&amp;"S"),FIND("+",Tasks[[#This Row],[_Pred3Text]]&amp;"+"),FIND("-",Tasks[[#This Row],[_Pred3Text]]&amp;"-"))-1)),""))</f>
        <v/>
      </c>
      <c r="DE17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3" s="42">
        <f>IF(Tasks[[#This Row],[_Pred3Text]]="","",TRIM(MID(SUBSTITUTE(SUBSTITUTE(SUBSTITUTE(UPPER(Tasks[[#This Row],[_Predecessors]]),";",",")," ",""),",",REPT(" ",99)),298,99)))</f>
        <v/>
      </c>
      <c r="DH173" s="42">
        <f>IF(Tasks[[#This Row],[_Pred4Text]]="","",IFERROR(VALUE(LEFT(Tasks[[#This Row],[_Pred4Text]],MIN(FIND("F",Tasks[[#This Row],[_Pred4Text]]&amp;"F"),FIND("S",Tasks[[#This Row],[_Pred4Text]]&amp;"S"),FIND("+",Tasks[[#This Row],[_Pred4Text]]&amp;"+"),FIND("-",Tasks[[#This Row],[_Pred4Text]]&amp;"-"))-1)),""))</f>
        <v/>
      </c>
      <c r="DI17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3" s="42">
        <f>IF(OR(Tasks[[#This Row],[Task Name]]="",Tasks[[#This Row],[_Resources]]=""),"",TRIM(MID(SUBSTITUTE(Tasks[[#This Row],[_Resources]],",",REPT(" ",99)),1,99)))</f>
        <v/>
      </c>
      <c r="DL173" s="42">
        <f>IF(Tasks[[#This Row],[_Res1Text]]="","",TRIM(MID(SUBSTITUTE(Tasks[[#This Row],[_Resources]],",",REPT(" ",99)),100,99)))</f>
        <v/>
      </c>
      <c r="DM173" s="42">
        <f>IF(Tasks[[#This Row],[_Res2Text]]="","",TRIM(MID(SUBSTITUTE(Tasks[[#This Row],[_Resources]],",",REPT(" ",99)),199,99)))</f>
        <v/>
      </c>
      <c r="DN173" s="42">
        <f>IF(Tasks[[#This Row],[_Res3Text]]="","",TRIM(MID(SUBSTITUTE(Tasks[[#This Row],[_Resources]],",",REPT(" ",99)),298,99)))</f>
        <v/>
      </c>
      <c r="DO173" s="42">
        <f>IF(Tasks[[#This Row],[_Res1Text]]="",0,IFERROR(MATCH(TRIM(LEFT(Tasks[[#This Row],[_Res1Text]],FIND("[",Tasks[[#This Row],[_Res1Text]]&amp;"[")-1)),res_Name,0),IFERROR(MATCH(TRIM(LEFT(Tasks[[#This Row],[_Res1Text]],FIND("[",Tasks[[#This Row],[_Res1Text]]&amp;"[")-1)),res_Initials,0),0)))</f>
        <v/>
      </c>
      <c r="DP173" s="42">
        <f>IF(Tasks[[#This Row],[_Res2Text]]="",0,IFERROR(MATCH(TRIM(LEFT(Tasks[[#This Row],[_Res2Text]],FIND("[",Tasks[[#This Row],[_Res2Text]]&amp;"[")-1)),res_Name,0),IFERROR(MATCH(TRIM(LEFT(Tasks[[#This Row],[_Res2Text]],FIND("[",Tasks[[#This Row],[_Res2Text]]&amp;"[")-1)),res_Initials,0),0)))</f>
        <v/>
      </c>
      <c r="DQ173" s="42">
        <f>IF(Tasks[[#This Row],[_Res3Text]]="",0,IFERROR(MATCH(TRIM(LEFT(Tasks[[#This Row],[_Res3Text]],FIND("[",Tasks[[#This Row],[_Res3Text]]&amp;"[")-1)),res_Name,0),IFERROR(MATCH(TRIM(LEFT(Tasks[[#This Row],[_Res3Text]],FIND("[",Tasks[[#This Row],[_Res3Text]]&amp;"[")-1)),res_Initials,0),0)))</f>
        <v/>
      </c>
      <c r="DR173" s="42">
        <f>IF(Tasks[[#This Row],[_Res4Text]]="",0,IFERROR(MATCH(TRIM(LEFT(Tasks[[#This Row],[_Res4Text]],FIND("[",Tasks[[#This Row],[_Res4Text]]&amp;"[")-1)),res_Name,0),IFERROR(MATCH(TRIM(LEFT(Tasks[[#This Row],[_Res4Text]],FIND("[",Tasks[[#This Row],[_Res4Text]]&amp;"[")-1)),res_Initials,0),0)))</f>
        <v/>
      </c>
      <c r="DS173" s="42">
        <f>IF(Tasks[[#This Row],[_Res1Text]]="","",IF(Tasks[[#This Row],[_Res1Row]]&gt;0,INDEX(res_Name,Tasks[[#This Row],[_Res1Row]]),TRIM(LEFT(Tasks[[#This Row],[_Res1Text]],FIND("[",Tasks[[#This Row],[_Res1Text]]&amp;"[")-1))))</f>
        <v/>
      </c>
      <c r="DT17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3" s="42">
        <f>IF(NOT(Tasks[[#This Row],[_IsLeaf]]=1),0,(Tasks[[#This Row],[_Resource1]]&lt;&gt;"")+(Tasks[[#This Row],[_Res2]]&lt;&gt;"")+(Tasks[[#This Row],[_Res3]]&lt;&gt;"")+(Tasks[[#This Row],[_Res4]]&lt;&gt;""))</f>
        <v/>
      </c>
      <c r="DV173" s="42">
        <f>IF(Tasks[[#This Row],[_Res2Text]]="","",IF(Tasks[[#This Row],[_Res2Row]]&gt;0,INDEX(res_Name,Tasks[[#This Row],[_Res2Row]]),TRIM(LEFT(Tasks[[#This Row],[_Res2Text]],FIND("[",Tasks[[#This Row],[_Res2Text]]&amp;"[")-1))))</f>
        <v/>
      </c>
      <c r="DW17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3" s="42">
        <f>IF(OR(NOT(Tasks[[#This Row],[_IsLeaf]]=1),Tasks[[#This Row],[_Res2Row]]=0),0,N(Tasks[[#This Row],[_Days]])*HoursPerDay*IF(Tasks[[#This Row],[_Res2Units]]="",DefaultUnits,Tasks[[#This Row],[_Res2Units]]))</f>
        <v/>
      </c>
      <c r="DY173" s="42">
        <f>IF(AND(AND(Tasks[[#This Row],[_IsLeaf]]=1,Tasks[[#This Row],[_LeafTotalWork]]&gt;0),Tasks[[#This Row],[_Res2Work]]&gt;0),Tasks[[#This Row],[_Res2Work]]/(Tasks[[#This Row],[_FinishWorkday]]-Tasks[[#This Row],[_StartWorkday]]+1),0)</f>
        <v/>
      </c>
      <c r="DZ173" s="42">
        <f>Tasks[[#This Row],[_Res2WorkPerWD]]*MAX(0,Tasks[[#This Row],[_StartWorkday]]-1)</f>
        <v/>
      </c>
      <c r="EA173" s="42">
        <f>Tasks[[#This Row],[_Res2Work]]*Tasks[[#This Row],[_LeafProgress]]</f>
        <v/>
      </c>
      <c r="EB173" s="42">
        <f>IF(Tasks[[#This Row],[_Res3Text]]="","",IF(Tasks[[#This Row],[_Res3Row]]&gt;0,INDEX(res_Name,Tasks[[#This Row],[_Res3Row]]),TRIM(LEFT(Tasks[[#This Row],[_Res3Text]],FIND("[",Tasks[[#This Row],[_Res3Text]]&amp;"[")-1))))</f>
        <v/>
      </c>
      <c r="EC17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3" s="42">
        <f>IF(OR(NOT(Tasks[[#This Row],[_IsLeaf]]=1),Tasks[[#This Row],[_Res3Row]]=0),0,N(Tasks[[#This Row],[_Days]])*HoursPerDay*IF(Tasks[[#This Row],[_Res3Units]]="",DefaultUnits,Tasks[[#This Row],[_Res3Units]]))</f>
        <v/>
      </c>
      <c r="EE173" s="42">
        <f>IF(AND(AND(Tasks[[#This Row],[_IsLeaf]]=1,Tasks[[#This Row],[_LeafTotalWork]]&gt;0),Tasks[[#This Row],[_Res3Work]]&gt;0),Tasks[[#This Row],[_Res3Work]]/(Tasks[[#This Row],[_FinishWorkday]]-Tasks[[#This Row],[_StartWorkday]]+1),0)</f>
        <v/>
      </c>
      <c r="EF173" s="42">
        <f>Tasks[[#This Row],[_Res3WorkPerWD]]*MAX(0,Tasks[[#This Row],[_StartWorkday]]-1)</f>
        <v/>
      </c>
      <c r="EG173" s="42">
        <f>Tasks[[#This Row],[_Res3Work]]*Tasks[[#This Row],[_LeafProgress]]</f>
        <v/>
      </c>
      <c r="EH173" s="42">
        <f>IF(Tasks[[#This Row],[_Res4Text]]="","",IF(Tasks[[#This Row],[_Res4Row]]&gt;0,INDEX(res_Name,Tasks[[#This Row],[_Res4Row]]),TRIM(LEFT(Tasks[[#This Row],[_Res4Text]],FIND("[",Tasks[[#This Row],[_Res4Text]]&amp;"[")-1))))</f>
        <v/>
      </c>
      <c r="EI17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3" s="42">
        <f>IF(OR(NOT(Tasks[[#This Row],[_IsLeaf]]=1),Tasks[[#This Row],[_Res4Row]]=0),0,N(Tasks[[#This Row],[_Days]])*HoursPerDay*IF(Tasks[[#This Row],[_Res4Units]]="",DefaultUnits,Tasks[[#This Row],[_Res4Units]]))</f>
        <v/>
      </c>
      <c r="EK173" s="42">
        <f>IF(AND(AND(Tasks[[#This Row],[_IsLeaf]]=1,Tasks[[#This Row],[_LeafTotalWork]]&gt;0),Tasks[[#This Row],[_Res4Work]]&gt;0),Tasks[[#This Row],[_Res4Work]]/(Tasks[[#This Row],[_FinishWorkday]]-Tasks[[#This Row],[_StartWorkday]]+1),0)</f>
        <v/>
      </c>
      <c r="EL173" s="42">
        <f>Tasks[[#This Row],[_Res4WorkPerWD]]*MAX(0,Tasks[[#This Row],[_StartWorkday]]-1)</f>
        <v/>
      </c>
      <c r="EM173" s="42">
        <f>Tasks[[#This Row],[_Res4Work]]*Tasks[[#This Row],[_LeafProgress]]</f>
        <v/>
      </c>
      <c r="EN173" s="42">
        <f>IF(ISNUMBER(Tasks[[#This Row],[% Complete]]),Tasks[[#This Row],[% Complete]],IF(Tasks[[#This Row],[Stage]]="",0,IFERROR(INDEX(stg_Pct,MATCH(Tasks[[#This Row],[Stage]],stg_Name,0)),0)))</f>
        <v/>
      </c>
      <c r="EO173" s="42">
        <f>IF(NOT(Tasks[[#This Row],[_IsLeaf]]=1),0,IF(N(Tasks[[#This Row],[Actual Finish]])&gt;0,1,MIN(1,Tasks[[#This Row],[_Pct]])))</f>
        <v/>
      </c>
      <c r="EP173" s="42">
        <f>IF(OR(NOT(Tasks[[#This Row],[_IsLeaf]]=1),Tasks[[#This Row],[_Res1Row]]=0),0,N(Tasks[[#This Row],[_Days]])*HoursPerDay*IF(Tasks[[#This Row],[_Units1]]="",DefaultUnits,Tasks[[#This Row],[_Units1]]))</f>
        <v/>
      </c>
      <c r="EQ173" s="42">
        <f>Tasks[[#This Row],[_LeafWork]]+Tasks[[#This Row],[_Res2Work]]+Tasks[[#This Row],[_Res3Work]]+Tasks[[#This Row],[_Res4Work]]</f>
        <v/>
      </c>
      <c r="ER17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3" s="42">
        <f>IF(NOT(Tasks[[#This Row],[_IsLeaf]]=1),0,MAX(_xlfn.MAXIFS(Tasks[_Row],Tasks[_Pred1UID],Tasks[[#This Row],[UID]]),_xlfn.MAXIFS(Tasks[_Row],Tasks[_Pred2UID],Tasks[[#This Row],[UID]]),_xlfn.MAXIFS(Tasks[_Row],Tasks[_Pred3UID],Tasks[[#This Row],[UID]]),_xlfn.MAXIFS(Tasks[_Row],Tasks[_Pred4UID],Tasks[[#This Row],[UID]])))</f>
        <v/>
      </c>
      <c r="FA17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3" s="88">
        <f>IF(NOT(Tasks[[#This Row],[_IsLeaf]]=1),"",IF(N(Tasks[[#This Row],[_Days]])&lt;=0,Tasks[[#This Row],[_LeafLateFinish]],WORKDAY.INTL(Tasks[[#This Row],[_LeafLateFinish]],-(Tasks[[#This Row],[_Days]]-1),WorkWeek,Holidays)))</f>
        <v/>
      </c>
      <c r="FD17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3" s="42">
        <f>AND(Tasks[[#This Row],[_IsLeaf]]=1,Tasks[[#This Row],[_LeafProgress]]&lt;1,N(Tasks[[#This Row],[_LeafTotalSlack]])&lt;=CriticalSlackDays)</f>
        <v/>
      </c>
      <c r="FF173" s="42">
        <f>IF(AND(Tasks[[#This Row],[_IsLeaf]]=1,Tasks[[#This Row],[_ConstraintCode]]=1,Tasks[[#This Row],[Mode]]&lt;&gt;"Manual",N(Tasks[[#This Row],[Actual Start]])=0),MAX(0,N(Tasks[[#This Row],[Free Slack]])),0)</f>
        <v/>
      </c>
      <c r="FG173" s="88">
        <f>IF(NOT(Tasks[[#This Row],[_IsLeaf]]=1),"",IF(Tasks[[#This Row],[_AlapShift]]=0,Tasks[[#This Row],[_LeafCalcStart]],WORKDAY.INTL(Tasks[[#This Row],[_LeafCalcStart]],Tasks[[#This Row],[_AlapShift]],WorkWeek,Holidays)))</f>
        <v/>
      </c>
      <c r="FH173" s="88">
        <f>IF(NOT(Tasks[[#This Row],[_IsLeaf]]=1),"",IF(Tasks[[#This Row],[_AlapShift]]=0,Tasks[[#This Row],[_LeafCalcFinish]],WORKDAY.INTL(Tasks[[#This Row],[_LeafCalcFinish]],Tasks[[#This Row],[_AlapShift]],WorkWeek,Holidays)))</f>
        <v/>
      </c>
      <c r="FI173" s="88">
        <f>IF(NOT(Tasks[[#This Row],[_IsLeaf]]=1),"",IF(Tasks[[#This Row],[_AlapShift]]=0,Tasks[[#This Row],[_LeafFcstStart]],WORKDAY.INTL(Tasks[[#This Row],[_LeafFcstStart]],Tasks[[#This Row],[_AlapShift]],WorkWeek,Holidays)))</f>
        <v/>
      </c>
      <c r="FJ173" s="88">
        <f>IF(NOT(Tasks[[#This Row],[_IsLeaf]]=1),"",IF(Tasks[[#This Row],[_AlapShift]]=0,Tasks[[#This Row],[_LeafFcstFinish]],WORKDAY.INTL(Tasks[[#This Row],[_LeafFcstFinish]],Tasks[[#This Row],[_AlapShift]],WorkWeek,Holidays)))</f>
        <v/>
      </c>
      <c r="FK173" s="88">
        <f>IF(Tasks[[#This Row],[Task Name]]="","",IF(Tasks[[#This Row],[_IsSummary]],MIN(INDEX(Tasks[_ShownCalcStart],Tasks[[#This Row],[_Row]]+1):INDEX(Tasks[_ShownCalcStart],Tasks[[#This Row],[_Row]]+Tasks[[#This Row],[_Descendants]])),Tasks[[#This Row],[_ShownCalcStart]]))</f>
        <v/>
      </c>
      <c r="FL173" s="88">
        <f>IF(Tasks[[#This Row],[Task Name]]="","",IF(Tasks[[#This Row],[_IsSummary]],MAX(INDEX(Tasks[_ShownCalcFinish],Tasks[[#This Row],[_Row]]+1):INDEX(Tasks[_ShownCalcFinish],Tasks[[#This Row],[_Row]]+Tasks[[#This Row],[_Descendants]])),Tasks[[#This Row],[_ShownCalcFinish]]))</f>
        <v/>
      </c>
      <c r="FM17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3" s="42">
        <f>IF(AND(Tasks[[#This Row],[_IsLeaf]]=1,Tasks[[#This Row],[_LeafTotalWork]]&gt;0),NETWORKDAYS.INTL(ProjectStart,Tasks[[#This Row],[_ShownFcstStart]],WorkWeek,Holidays),0)</f>
        <v/>
      </c>
      <c r="FZ173" s="42">
        <f>IF(AND(Tasks[[#This Row],[_IsLeaf]]=1,Tasks[[#This Row],[_LeafTotalWork]]&gt;0),MAX(Tasks[[#This Row],[_StartWorkday]],NETWORKDAYS.INTL(ProjectStart,Tasks[[#This Row],[_ShownFcstFinish]],WorkWeek,Holidays)),0)</f>
        <v/>
      </c>
      <c r="GA173" s="42">
        <f>IF(AND(Tasks[[#This Row],[_IsLeaf]]=1,Tasks[[#This Row],[_LeafTotalWork]]&gt;0),Tasks[[#This Row],[_LeafWork]]/(Tasks[[#This Row],[_FinishWorkday]]-Tasks[[#This Row],[_StartWorkday]]+1),0)</f>
        <v/>
      </c>
      <c r="GB173" s="42">
        <f>Tasks[[#This Row],[_WorkPerWorkday]]*(Tasks[[#This Row],[_StartWorkday]]-1)</f>
        <v/>
      </c>
      <c r="GC173" s="42">
        <f>IF(Tasks[[#This Row],[_IsLeaf]]=1,MAX(N(Tasks[[#This Row],[_Days]]),0.1),0)</f>
        <v/>
      </c>
      <c r="GD173" s="42">
        <f>Tasks[[#This Row],[_WeightDur]]*Tasks[[#This Row],[_LeafProgress]]</f>
        <v/>
      </c>
      <c r="GE173" s="42">
        <f>Tasks[[#This Row],[_WeightDur]]*Tasks[[#This Row],[_PlannedPct]]</f>
        <v/>
      </c>
      <c r="GF17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3" s="42">
        <f>IF(AND(Tasks[[#This Row],[_IsLeaf]]=1,N(Tasks[[#This Row],[_Days]])=0,Tasks[[#This Row],[_LeafProgress]]&lt;1),Tasks[[#This Row],[_ShownFcstFinish]]+Tasks[[#This Row],[_Row]]/100000,"")</f>
        <v/>
      </c>
      <c r="GH17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3" s="42">
        <f>IF(Tasks[[#This Row],[Task Name]]="","",LEFT(Tasks[[#This Row],[WBS]],FIND(".",Tasks[[#This Row],[WBS]]&amp;".")-1))</f>
        <v/>
      </c>
      <c r="GJ173" s="42">
        <f>IF(AND(Tasks[[#This Row],[Task Name]]&lt;&gt;"",Tasks[[#This Row],[_Level]]=1),Tasks[[#This Row],[_Row]],"")</f>
        <v/>
      </c>
      <c r="GK173" s="42">
        <f>IF(AND(Tasks[[#This Row],[_IsLeaf]]=1,N(Tasks[[#This Row],[_Days]])=0),Tasks[[#This Row],[Planned Finish]]+Tasks[[#This Row],[_Row]]/100000,"")</f>
        <v/>
      </c>
      <c r="GL173" s="42">
        <f>IF(AND(Tasks[[#This Row],[_IsLeaf]]=1,Tasks[[#This Row],[_LeafProgress]]&lt;1,OR(N(Tasks[[#This Row],[Finish Var]])&gt;0,Tasks[[#This Row],[Status]]="Late Start")),MAX(0,Tasks[[#This Row],[Finish Var]])+1-Tasks[[#This Row],[_Row]]/1000000,"")</f>
        <v/>
      </c>
      <c r="GM173" s="42">
        <f>IF(AND(Tasks[[#This Row],[_IsLeaf]]=1,N(Tasks[[#This Row],[Actual Start]])=0,Tasks[[#This Row],[_ShownFcstStart]]&gt;=StatusDate,Tasks[[#This Row],[_ShownFcstStart]]&lt;=LookaheadEnd),Tasks[[#This Row],[_ShownFcstStart]]+Tasks[[#This Row],[_Row]]/100000,"")</f>
        <v/>
      </c>
      <c r="GN173" s="42">
        <f>IF(AND(Tasks[[#This Row],[_IsLeaf]]=1,Tasks[[#This Row],[_LeafProgress]]&lt;1,Tasks[[#This Row],[_ShownFcstFinish]]&gt;=StatusDate,Tasks[[#This Row],[_ShownFcstFinish]]&lt;=LookaheadEnd),Tasks[[#This Row],[_ShownFcstFinish]]+Tasks[[#This Row],[_Row]]/100000,"")</f>
        <v/>
      </c>
      <c r="GO173" s="42">
        <f>IF(Tasks[[#This Row],[_LeafCritical]],Tasks[[#This Row],[_ShownFcstStart]]+Tasks[[#This Row],[_Row]]/100000,"")</f>
        <v/>
      </c>
      <c r="GP173" s="42">
        <f>Tasks[[#This Row],[_LeafWork]]*Tasks[[#This Row],[_LeafProgress]]</f>
        <v/>
      </c>
      <c r="GQ173" s="88">
        <f>IF(AND(Tasks[[#This Row],[_IsLeaf]]=1,Tasks[[#This Row],[_LeafProgress]]&gt;=1),IF(N(Tasks[[#This Row],[Actual Finish]])&gt;0,Tasks[[#This Row],[Actual Finish]],Tasks[[#This Row],[_ShownFcstFinish]]),"")</f>
        <v/>
      </c>
      <c r="GR173" s="42">
        <f>IF(Tasks[[#This Row],[_IsLeaf]]=1,N(Tasks[[#This Row],[Story Points]]),0)</f>
        <v/>
      </c>
      <c r="GS173" s="42">
        <f>""</f>
        <v/>
      </c>
      <c r="GT173" s="42">
        <f>IF(Tasks[[#This Row],[Task Name]]="",FALSE(),AND(Tasks[[#This Row],[_IsLeaf]]=1,N(Tasks[[#This Row],[_Days]])=0))</f>
        <v/>
      </c>
      <c r="GU173" s="88">
        <f>IF(Tasks[[#This Row],[Task Name]]="",0,IF(AND(Tasks[[#This Row],[_IsLeaf]]=1,NOT(Tasks[[#This Row],[_IsMilestone]]),N(Tasks[[#This Row],[Progress]])&gt;0),Tasks[[#This Row],[Start]],0))</f>
        <v/>
      </c>
      <c r="GV173" s="88">
        <f>IF(Tasks[[#This Row],[_DoneFrom]]=0,0,IF(Tasks[[#This Row],[Progress]]&gt;=1,Tasks[[#This Row],[Finish]],MAX(Tasks[[#This Row],[_DoneFrom]],Tasks[[#This Row],[Start]]+ROUND((Tasks[[#This Row],[Finish]]-Tasks[[#This Row],[Start]]+1)*Tasks[[#This Row],[Progress]],0)-1)))</f>
        <v/>
      </c>
      <c r="GW173" s="88">
        <f>IF(Tasks[[#This Row],[Task Name]]="",0,IF(OR(NOT(Tasks[[#This Row],[_IsLeaf]]=1),Tasks[[#This Row],[_IsMilestone]],N(Tasks[[#This Row],[Progress]])&gt;=1),0,IF(Tasks[[#This Row],[_DoneTo]]&gt;0,Tasks[[#This Row],[_DoneTo]]+1,Tasks[[#This Row],[Start]])))</f>
        <v/>
      </c>
      <c r="GX173" s="88">
        <f>IF(Tasks[[#This Row],[_RemFrom]]=0,0,Tasks[[#This Row],[Finish]])</f>
        <v/>
      </c>
      <c r="GY173" s="42">
        <f>IF(Tasks[[#This Row],[Task Name]]="",FALSE(),OR(NOT(BaselineSet),N(Tasks[[#This Row],[Baseline Start]])&gt;0))</f>
        <v/>
      </c>
      <c r="GZ173" s="42">
        <f>IF(AND(Sandbox="Yes",L_PARSE_DURATION(Tasks[[#This Row],[Sandbox Duration]])&lt;&gt;""),L_PARSE_DURATION(Tasks[[#This Row],[Sandbox Duration]]),L_PARSE_DURATION(Tasks[[#This Row],[Duration]]))</f>
        <v/>
      </c>
      <c r="HA17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3" s="42">
        <f>IF(Tasks[[#This Row],[_IsLeaf]]=1,Tasks[[#This Row],[_Row]],"")</f>
        <v/>
      </c>
      <c r="HD173" s="42">
        <f>IFERROR(INDEX(Tasks[UID],SMALL(Tasks[_PickKey],Tasks[[#This Row],[_Row]]))&amp;" "&amp;INDEX(Tasks[Task Name],SMALL(Tasks[_PickKey],Tasks[[#This Row],[_Row]])),"")</f>
        <v/>
      </c>
      <c r="HE173" s="42">
        <f>IF(Tasks[[#This Row],[Task Name]]="","",IF(Tasks[[#This Row],[_IsSummary]],NETWORKDAYS.INTL(Tasks[[#This Row],[Start]],Tasks[[#This Row],[Finish]],WorkWeek,Holidays),N(Tasks[[#This Row],[_Days]])))</f>
        <v/>
      </c>
      <c r="HF173" s="42">
        <f>IF(Tasks[[#This Row],[Expected]]="",0,((Tasks[[#This Row],[Pessimistic]]-Tasks[[#This Row],[Optimistic]])/6)^2)</f>
        <v/>
      </c>
      <c r="HG173" s="42">
        <f>IF(Tasks[[#This Row],[Expected]]="",0,Tasks[[#This Row],[Expected]]-N(Tasks[[#This Row],[_Days]]))</f>
        <v/>
      </c>
    </row>
    <row r="174">
      <c r="A174" s="21">
        <f>IF(Tasks[[#This Row],[Task Name]]="","",COUNTA(Tasks[[#Headers],[Task Name]]:Tasks[[#This Row],[Task Name]])-1)</f>
        <v/>
      </c>
      <c r="B174" s="22" t="n">
        <v>182</v>
      </c>
      <c r="C174" s="22" t="n"/>
      <c r="D174" s="23" t="n"/>
      <c r="E174" s="22" t="n"/>
      <c r="F174" s="23" t="n"/>
      <c r="G174" s="22" t="n"/>
      <c r="H174" s="22" t="n"/>
      <c r="I174" s="23" t="n"/>
      <c r="J174" s="22" t="n"/>
      <c r="K174" s="22" t="n"/>
      <c r="L174" s="23" t="n"/>
      <c r="M174" s="22" t="n"/>
      <c r="N174" s="22" t="n"/>
      <c r="O174" s="23" t="n"/>
      <c r="P174" s="22" t="n"/>
      <c r="Q174" s="22" t="n"/>
      <c r="R174" s="23" t="n"/>
      <c r="S174" s="23" t="n"/>
      <c r="T174" s="82" t="n"/>
      <c r="U174" s="23" t="n"/>
      <c r="V174" s="82" t="n"/>
      <c r="W174" s="23" t="n"/>
      <c r="X174" s="82" t="n"/>
      <c r="Y174" s="23" t="n"/>
      <c r="Z174" s="82" t="n"/>
      <c r="AA174" s="23" t="n"/>
      <c r="AB174" s="23" t="n"/>
      <c r="AC174" s="7" t="n"/>
      <c r="AD174" s="7" t="n"/>
      <c r="AE174" s="61">
        <f>IF(Tasks[[#This Row],[Task Name]]="","",IF(Tasks[[#This Row],[_IsSummary]],MIN(INDEX(Tasks[_ShownFcstStart],Tasks[[#This Row],[_Row]]+1):INDEX(Tasks[_ShownFcstStart],Tasks[[#This Row],[_Row]]+Tasks[[#This Row],[_Descendants]])),Tasks[[#This Row],[_ShownFcstStart]]))</f>
        <v/>
      </c>
      <c r="AF174" s="61">
        <f>IF(Tasks[[#This Row],[Task Name]]="","",IF(Tasks[[#This Row],[_IsSummary]],MAX(INDEX(Tasks[_ShownFcstFinish],Tasks[[#This Row],[_Row]]+1):INDEX(Tasks[_ShownFcstFinish],Tasks[[#This Row],[_Row]]+Tasks[[#This Row],[_Descendants]])),Tasks[[#This Row],[_ShownFcstFinish]]))</f>
        <v/>
      </c>
      <c r="AG174" s="21">
        <f>""</f>
        <v/>
      </c>
      <c r="AH174" s="23" t="n"/>
      <c r="AI17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4" s="7" t="n"/>
      <c r="AK174" s="22" t="n"/>
      <c r="AL174" s="23" t="n"/>
      <c r="AM174" s="7" t="n"/>
      <c r="AN174" s="21">
        <f>IF(Tasks[[#This Row],[Task Name]]="","",IF(Tasks[[#This Row],[Finish]]&gt;=Tasks[[#This Row],[Planned Finish]],NETWORKDAYS.INTL(Tasks[[#This Row],[Planned Finish]],Tasks[[#This Row],[Finish]],WorkWeek,Holidays)-1,1-NETWORKDAYS.INTL(Tasks[[#This Row],[Finish]],Tasks[[#This Row],[Planned Finish]],WorkWeek,Holidays)))</f>
        <v/>
      </c>
      <c r="AO174" s="21">
        <f>IF(Tasks[[#This Row],[Task Name]]="","",IF(Tasks[[#This Row],[Progress]]&gt;=1,"Complete",IF(OR(N(Tasks[[#This Row],[Actual Start]])&gt;0,Tasks[[#This Row],[Progress]]&gt;0),IF(Tasks[[#This Row],[Finish Var]]&gt;0,"Behind","In Progress"),IF(Tasks[[#This Row],[Planned Start]]&lt;StatusDate,"Late Start","Not Started"))))</f>
        <v/>
      </c>
      <c r="AP174" s="21">
        <f>IF(Tasks[[#This Row],[Task Name]]="","",IF(IF(Tasks[[#This Row],[_IsSummary]],COUNTIF(INDEX(Tasks[_LeafCritical],Tasks[[#This Row],[_Row]]+1):INDEX(Tasks[_LeafCritical],Tasks[[#This Row],[_Row]]+Tasks[[#This Row],[_Descendants]]),TRUE())&gt;0,Tasks[[#This Row],[_LeafCritical]]),"Yes",""))</f>
        <v/>
      </c>
      <c r="AQ174" s="61">
        <f>IF(Tasks[[#This Row],[Task Name]]="","",IF(N(Tasks[[#This Row],[Baseline Start]])&gt;0,Tasks[[#This Row],[Baseline Start]],Tasks[[#This Row],[_CalcStart]]))</f>
        <v/>
      </c>
      <c r="AR174" s="61">
        <f>IF(Tasks[[#This Row],[Task Name]]="","",IF(N(Tasks[[#This Row],[Baseline Finish]])&gt;0,Tasks[[#This Row],[Baseline Finish]],Tasks[[#This Row],[_CalcFinish]]))</f>
        <v/>
      </c>
      <c r="AS174" s="21">
        <f>IF(Tasks[[#This Row],[Task Name]]="","",IF(Tasks[[#This Row],[Start]]&gt;=Tasks[[#This Row],[Planned Start]],NETWORKDAYS.INTL(Tasks[[#This Row],[Planned Start]],Tasks[[#This Row],[Start]],WorkWeek,Holidays)-1,1-NETWORKDAYS.INTL(Tasks[[#This Row],[Start]],Tasks[[#This Row],[Planned Start]],WorkWeek,Holidays)))</f>
        <v/>
      </c>
      <c r="AT174" s="61">
        <f>IF(Tasks[[#This Row],[Task Name]]="","",IF(Tasks[[#This Row],[_IsSummary]],MIN(INDEX(Tasks[_LeafLateStart],Tasks[[#This Row],[_Row]]+1):INDEX(Tasks[_LeafLateStart],Tasks[[#This Row],[_Row]]+Tasks[[#This Row],[_Descendants]])),Tasks[[#This Row],[_LeafLateStart]]))</f>
        <v/>
      </c>
      <c r="AU174" s="61">
        <f>IF(Tasks[[#This Row],[Task Name]]="","",IF(Tasks[[#This Row],[_IsSummary]],MAX(INDEX(Tasks[_LeafLateFinish],Tasks[[#This Row],[_Row]]+1):INDEX(Tasks[_LeafLateFinish],Tasks[[#This Row],[_Row]]+Tasks[[#This Row],[_Descendants]])),Tasks[[#This Row],[_LeafLateFinish]]))</f>
        <v/>
      </c>
      <c r="AV174" s="21">
        <f>IF(Tasks[[#This Row],[Task Name]]="","",IF(Tasks[[#This Row],[_IsSummary]],MIN(INDEX(Tasks[_LeafTotalSlack],Tasks[[#This Row],[_Row]]+1):INDEX(Tasks[_LeafTotalSlack],Tasks[[#This Row],[_Row]]+Tasks[[#This Row],[_Descendants]])),Tasks[[#This Row],[_LeafTotalSlack]]))</f>
        <v/>
      </c>
      <c r="AW17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3" t="n"/>
      <c r="BA17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f>IF(Tasks[[#This Row],[Task Name]]="","",IF(Tasks[[#This Row],[_Level]]&lt;=OutlineShowLevel,"Yes","No"))</f>
        <v/>
      </c>
      <c r="BE174" s="84">
        <f>IF(Tasks[[#This Row],[Task Name]]="","",IF(Tasks[[#This Row],[_IsSummary]],SUM(INDEX(Tasks[_LeafTotalWork],Tasks[[#This Row],[_Row]]+1):INDEX(Tasks[_LeafTotalWork],Tasks[[#This Row],[_Row]]+Tasks[[#This Row],[_Descendants]])),Tasks[[#This Row],[_LeafTotalWork]]))</f>
        <v/>
      </c>
      <c r="BF174" s="23" t="n"/>
      <c r="BG17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f>""</f>
        <v/>
      </c>
      <c r="BI174" s="85" t="n"/>
      <c r="BJ174" s="22" t="n"/>
      <c r="BK174" s="21">
        <f>IF(OR(Tasks[[#This Row],[Task Name]]="",Tasks[[#This Row],[Baseline Duration]]=""),"",Tasks[[#This Row],[_SpanDays]]-N(Tasks[[#This Row],[Baseline Duration]]))</f>
        <v/>
      </c>
      <c r="BL174" s="84">
        <f>IF(OR(Tasks[[#This Row],[Task Name]]="",Tasks[[#This Row],[Baseline Work]]=""),"",Tasks[[#This Row],[Work]]-N(Tasks[[#This Row],[Baseline Work]]))</f>
        <v/>
      </c>
      <c r="BM174" s="61">
        <f>IF(Tasks[[#This Row],[Task Name]]="","",IF(OR(TakeBaseline="Yes",N(Tasks[[#This Row],[Baseline Start]])=0),Tasks[[#This Row],[Start]],Tasks[[#This Row],[Baseline Start]]))</f>
        <v/>
      </c>
      <c r="BN174" s="61">
        <f>IF(Tasks[[#This Row],[Task Name]]="","",IF(OR(TakeBaseline="Yes",N(Tasks[[#This Row],[Baseline Finish]])=0),Tasks[[#This Row],[Finish]],Tasks[[#This Row],[Baseline Finish]]))</f>
        <v/>
      </c>
      <c r="BO174" s="21">
        <f>IF(Tasks[[#This Row],[Task Name]]="","",IF(OR(TakeBaseline="Yes",N(Tasks[[#This Row],[Baseline Duration]])=0),Tasks[[#This Row],[_SpanDays]],Tasks[[#This Row],[Baseline Duration]]))</f>
        <v/>
      </c>
      <c r="BP174" s="84">
        <f>IF(Tasks[[#This Row],[Task Name]]="","",IF(OR(TakeBaseline="Yes",N(Tasks[[#This Row],[Baseline Work]])=0),Tasks[[#This Row],[Work]],Tasks[[#This Row],[Baseline Work]]))</f>
        <v/>
      </c>
      <c r="BQ174" s="7" t="n"/>
      <c r="BR174" s="7" t="n"/>
      <c r="BS174" s="22" t="n"/>
      <c r="BT174" s="86" t="n"/>
      <c r="BU174" s="23" t="n"/>
      <c r="BV174" s="23" t="n"/>
      <c r="BW174" s="23" t="n"/>
      <c r="BX174" s="87">
        <f>IF(AND(Tasks[[#This Row],[_IsLeaf]]=1,ISNUMBER(Tasks[[#This Row],[Optimistic]]),ISNUMBER(Tasks[[#This Row],[Pessimistic]])),ROUND((Tasks[[#This Row],[Optimistic]]+4*N(Tasks[[#This Row],[_Days]])+Tasks[[#This Row],[Pessimistic]])/6,1),"")</f>
        <v/>
      </c>
      <c r="BY174" s="85" t="n"/>
      <c r="BZ174" s="85" t="n"/>
      <c r="CA174" s="22" t="n"/>
      <c r="CB174" s="42">
        <f>IF(Tasks[[#This Row],[Task Name]]="","",MAX(1,N(Tasks[[#This Row],[Level]])))</f>
        <v/>
      </c>
      <c r="CC174" s="42">
        <f>ROW()-ROW(Tasks[[#Headers],[ID]])</f>
        <v/>
      </c>
      <c r="CD174" s="42">
        <f>IF(OR(Tasks[[#This Row],[Task Name]]="",Tasks[[#This Row],[_Level]]&lt;=1),0,IFERROR(LOOKUP(2,1/(Tasks[[#Headers],[_Level]]:Tasks[[#This Row],[_Level]]=Tasks[[#This Row],[_Level]]-1),ROW(Tasks[[#Headers],[_Level]]:Tasks[[#This Row],[_Level]])),0))</f>
        <v/>
      </c>
      <c r="CE174" s="42">
        <f>IFERROR(N(INDEX(Tasks[_Level],Tasks[[#This Row],[_Row]]+1)),0)</f>
        <v/>
      </c>
      <c r="CF174" s="42">
        <f>AND(Tasks[[#This Row],[Task Name]]&lt;&gt;"",Tasks[[#This Row],[_NextLevel]]&gt;Tasks[[#This Row],[_Level]])</f>
        <v/>
      </c>
      <c r="CG174" s="42">
        <f>IF(Tasks[[#This Row],[_IsSummary]],COUNTIF(Tasks[WBS],Tasks[[#This Row],[WBS]]&amp;".*"),0)</f>
        <v/>
      </c>
      <c r="CH174" s="42">
        <f>IF(AND(Tasks[[#This Row],[Task Name]]&lt;&gt;"",NOT(Tasks[[#This Row],[_IsSummary]])),1,0)</f>
        <v/>
      </c>
      <c r="CI174" s="42">
        <f>IF(N(Tasks[[#This Row],[_Pred1UID]])=0,0,IFERROR(MATCH(Tasks[[#This Row],[_Pred1UID]],Tasks[UID],0),-1))</f>
        <v/>
      </c>
      <c r="CJ174" s="42">
        <f>IF(N(Tasks[[#This Row],[_Pred2UID]])=0,0,IFERROR(MATCH(Tasks[[#This Row],[_Pred2UID]],Tasks[UID],0),-1))</f>
        <v/>
      </c>
      <c r="CK174" s="42">
        <f>IF(N(Tasks[[#This Row],[_Pred3UID]])=0,0,IFERROR(MATCH(Tasks[[#This Row],[_Pred3UID]],Tasks[UID],0),-1))</f>
        <v/>
      </c>
      <c r="CL174" s="42">
        <f>IF(N(Tasks[[#This Row],[_Pred4UID]])=0,0,IFERROR(MATCH(Tasks[[#This Row],[_Pred4UID]],Tasks[UID],0),-1))</f>
        <v/>
      </c>
      <c r="CM17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4" s="88">
        <f>IF(N(Tasks[[#This Row],[Constraint Date]])=0,0,IF(AND(OR(Tasks[[#This Row],[_ConstraintCode]]=3,Tasks[[#This Row],[_ConstraintCode]]=6,Tasks[[#This Row],[_ConstraintCode]]=7),N(Tasks[[#This Row],[_Days]])&gt;1),WORKDAY.INTL(N(Tasks[[#This Row],[Constraint Date]]),-(N(Tasks[[#This Row],[_Days]])-1),WorkWeek,Holidays),N(Tasks[[#This Row],[Constraint Date]])))</f>
        <v/>
      </c>
      <c r="CO174" s="88">
        <f>IF(OR(Tasks[[#This Row],[_ConstraintCode]]=2,Tasks[[#This Row],[_ConstraintCode]]=3,Tasks[[#This Row],[_ConstraintCode]]=4,Tasks[[#This Row],[_ConstraintCode]]=6),Tasks[[#This Row],[_ConstraintStart]],0)</f>
        <v/>
      </c>
      <c r="CP174" s="88">
        <f>IF(OR(Tasks[[#This Row],[_ConstraintCode]]=2,Tasks[[#This Row],[_ConstraintCode]]=3,Tasks[[#This Row],[_ConstraintCode]]=5,Tasks[[#This Row],[_ConstraintCode]]=7),Tasks[[#This Row],[_ConstraintStart]],2958465)</f>
        <v/>
      </c>
      <c r="CQ17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4" s="88">
        <f>IF(NOT(Tasks[[#This Row],[_IsLeaf]]=1),"",IF(N(Tasks[[#This Row],[_Days]])&lt;=0,Tasks[[#This Row],[_LeafCalcStart]],WORKDAY.INTL(Tasks[[#This Row],[_LeafCalcStart]],Tasks[[#This Row],[_Days]]-1,WorkWeek,Holidays)))</f>
        <v/>
      </c>
      <c r="CS17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4" s="42">
        <f>IF(Tasks[[#This Row],[_Predecessors]]="","",TRIM(MID(SUBSTITUTE(SUBSTITUTE(SUBSTITUTE(UPPER(Tasks[[#This Row],[_Predecessors]]),";",",")," ",""),",",REPT(" ",99)),1,99)))</f>
        <v/>
      </c>
      <c r="CV174" s="42">
        <f>IF(Tasks[[#This Row],[_Pred1Text]]="","",IFERROR(VALUE(LEFT(Tasks[[#This Row],[_Pred1Text]],MIN(FIND("F",Tasks[[#This Row],[_Pred1Text]]&amp;"F"),FIND("S",Tasks[[#This Row],[_Pred1Text]]&amp;"S"),FIND("+",Tasks[[#This Row],[_Pred1Text]]&amp;"+"),FIND("-",Tasks[[#This Row],[_Pred1Text]]&amp;"-"))-1)),""))</f>
        <v/>
      </c>
      <c r="CW17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4" s="42">
        <f>IF(Tasks[[#This Row],[_Pred1Text]]="","",TRIM(MID(SUBSTITUTE(SUBSTITUTE(SUBSTITUTE(UPPER(Tasks[[#This Row],[_Predecessors]]),";",",")," ",""),",",REPT(" ",99)),100,99)))</f>
        <v/>
      </c>
      <c r="CZ174" s="42">
        <f>IF(Tasks[[#This Row],[_Pred2Text]]="","",IFERROR(VALUE(LEFT(Tasks[[#This Row],[_Pred2Text]],MIN(FIND("F",Tasks[[#This Row],[_Pred2Text]]&amp;"F"),FIND("S",Tasks[[#This Row],[_Pred2Text]]&amp;"S"),FIND("+",Tasks[[#This Row],[_Pred2Text]]&amp;"+"),FIND("-",Tasks[[#This Row],[_Pred2Text]]&amp;"-"))-1)),""))</f>
        <v/>
      </c>
      <c r="DA17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4" s="42">
        <f>IF(Tasks[[#This Row],[_Pred2Text]]="","",TRIM(MID(SUBSTITUTE(SUBSTITUTE(SUBSTITUTE(UPPER(Tasks[[#This Row],[_Predecessors]]),";",",")," ",""),",",REPT(" ",99)),199,99)))</f>
        <v/>
      </c>
      <c r="DD174" s="42">
        <f>IF(Tasks[[#This Row],[_Pred3Text]]="","",IFERROR(VALUE(LEFT(Tasks[[#This Row],[_Pred3Text]],MIN(FIND("F",Tasks[[#This Row],[_Pred3Text]]&amp;"F"),FIND("S",Tasks[[#This Row],[_Pred3Text]]&amp;"S"),FIND("+",Tasks[[#This Row],[_Pred3Text]]&amp;"+"),FIND("-",Tasks[[#This Row],[_Pred3Text]]&amp;"-"))-1)),""))</f>
        <v/>
      </c>
      <c r="DE17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4" s="42">
        <f>IF(Tasks[[#This Row],[_Pred3Text]]="","",TRIM(MID(SUBSTITUTE(SUBSTITUTE(SUBSTITUTE(UPPER(Tasks[[#This Row],[_Predecessors]]),";",",")," ",""),",",REPT(" ",99)),298,99)))</f>
        <v/>
      </c>
      <c r="DH174" s="42">
        <f>IF(Tasks[[#This Row],[_Pred4Text]]="","",IFERROR(VALUE(LEFT(Tasks[[#This Row],[_Pred4Text]],MIN(FIND("F",Tasks[[#This Row],[_Pred4Text]]&amp;"F"),FIND("S",Tasks[[#This Row],[_Pred4Text]]&amp;"S"),FIND("+",Tasks[[#This Row],[_Pred4Text]]&amp;"+"),FIND("-",Tasks[[#This Row],[_Pred4Text]]&amp;"-"))-1)),""))</f>
        <v/>
      </c>
      <c r="DI17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4" s="42">
        <f>IF(OR(Tasks[[#This Row],[Task Name]]="",Tasks[[#This Row],[_Resources]]=""),"",TRIM(MID(SUBSTITUTE(Tasks[[#This Row],[_Resources]],",",REPT(" ",99)),1,99)))</f>
        <v/>
      </c>
      <c r="DL174" s="42">
        <f>IF(Tasks[[#This Row],[_Res1Text]]="","",TRIM(MID(SUBSTITUTE(Tasks[[#This Row],[_Resources]],",",REPT(" ",99)),100,99)))</f>
        <v/>
      </c>
      <c r="DM174" s="42">
        <f>IF(Tasks[[#This Row],[_Res2Text]]="","",TRIM(MID(SUBSTITUTE(Tasks[[#This Row],[_Resources]],",",REPT(" ",99)),199,99)))</f>
        <v/>
      </c>
      <c r="DN174" s="42">
        <f>IF(Tasks[[#This Row],[_Res3Text]]="","",TRIM(MID(SUBSTITUTE(Tasks[[#This Row],[_Resources]],",",REPT(" ",99)),298,99)))</f>
        <v/>
      </c>
      <c r="DO174" s="42">
        <f>IF(Tasks[[#This Row],[_Res1Text]]="",0,IFERROR(MATCH(TRIM(LEFT(Tasks[[#This Row],[_Res1Text]],FIND("[",Tasks[[#This Row],[_Res1Text]]&amp;"[")-1)),res_Name,0),IFERROR(MATCH(TRIM(LEFT(Tasks[[#This Row],[_Res1Text]],FIND("[",Tasks[[#This Row],[_Res1Text]]&amp;"[")-1)),res_Initials,0),0)))</f>
        <v/>
      </c>
      <c r="DP174" s="42">
        <f>IF(Tasks[[#This Row],[_Res2Text]]="",0,IFERROR(MATCH(TRIM(LEFT(Tasks[[#This Row],[_Res2Text]],FIND("[",Tasks[[#This Row],[_Res2Text]]&amp;"[")-1)),res_Name,0),IFERROR(MATCH(TRIM(LEFT(Tasks[[#This Row],[_Res2Text]],FIND("[",Tasks[[#This Row],[_Res2Text]]&amp;"[")-1)),res_Initials,0),0)))</f>
        <v/>
      </c>
      <c r="DQ174" s="42">
        <f>IF(Tasks[[#This Row],[_Res3Text]]="",0,IFERROR(MATCH(TRIM(LEFT(Tasks[[#This Row],[_Res3Text]],FIND("[",Tasks[[#This Row],[_Res3Text]]&amp;"[")-1)),res_Name,0),IFERROR(MATCH(TRIM(LEFT(Tasks[[#This Row],[_Res3Text]],FIND("[",Tasks[[#This Row],[_Res3Text]]&amp;"[")-1)),res_Initials,0),0)))</f>
        <v/>
      </c>
      <c r="DR174" s="42">
        <f>IF(Tasks[[#This Row],[_Res4Text]]="",0,IFERROR(MATCH(TRIM(LEFT(Tasks[[#This Row],[_Res4Text]],FIND("[",Tasks[[#This Row],[_Res4Text]]&amp;"[")-1)),res_Name,0),IFERROR(MATCH(TRIM(LEFT(Tasks[[#This Row],[_Res4Text]],FIND("[",Tasks[[#This Row],[_Res4Text]]&amp;"[")-1)),res_Initials,0),0)))</f>
        <v/>
      </c>
      <c r="DS174" s="42">
        <f>IF(Tasks[[#This Row],[_Res1Text]]="","",IF(Tasks[[#This Row],[_Res1Row]]&gt;0,INDEX(res_Name,Tasks[[#This Row],[_Res1Row]]),TRIM(LEFT(Tasks[[#This Row],[_Res1Text]],FIND("[",Tasks[[#This Row],[_Res1Text]]&amp;"[")-1))))</f>
        <v/>
      </c>
      <c r="DT17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4" s="42">
        <f>IF(NOT(Tasks[[#This Row],[_IsLeaf]]=1),0,(Tasks[[#This Row],[_Resource1]]&lt;&gt;"")+(Tasks[[#This Row],[_Res2]]&lt;&gt;"")+(Tasks[[#This Row],[_Res3]]&lt;&gt;"")+(Tasks[[#This Row],[_Res4]]&lt;&gt;""))</f>
        <v/>
      </c>
      <c r="DV174" s="42">
        <f>IF(Tasks[[#This Row],[_Res2Text]]="","",IF(Tasks[[#This Row],[_Res2Row]]&gt;0,INDEX(res_Name,Tasks[[#This Row],[_Res2Row]]),TRIM(LEFT(Tasks[[#This Row],[_Res2Text]],FIND("[",Tasks[[#This Row],[_Res2Text]]&amp;"[")-1))))</f>
        <v/>
      </c>
      <c r="DW17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4" s="42">
        <f>IF(OR(NOT(Tasks[[#This Row],[_IsLeaf]]=1),Tasks[[#This Row],[_Res2Row]]=0),0,N(Tasks[[#This Row],[_Days]])*HoursPerDay*IF(Tasks[[#This Row],[_Res2Units]]="",DefaultUnits,Tasks[[#This Row],[_Res2Units]]))</f>
        <v/>
      </c>
      <c r="DY174" s="42">
        <f>IF(AND(AND(Tasks[[#This Row],[_IsLeaf]]=1,Tasks[[#This Row],[_LeafTotalWork]]&gt;0),Tasks[[#This Row],[_Res2Work]]&gt;0),Tasks[[#This Row],[_Res2Work]]/(Tasks[[#This Row],[_FinishWorkday]]-Tasks[[#This Row],[_StartWorkday]]+1),0)</f>
        <v/>
      </c>
      <c r="DZ174" s="42">
        <f>Tasks[[#This Row],[_Res2WorkPerWD]]*MAX(0,Tasks[[#This Row],[_StartWorkday]]-1)</f>
        <v/>
      </c>
      <c r="EA174" s="42">
        <f>Tasks[[#This Row],[_Res2Work]]*Tasks[[#This Row],[_LeafProgress]]</f>
        <v/>
      </c>
      <c r="EB174" s="42">
        <f>IF(Tasks[[#This Row],[_Res3Text]]="","",IF(Tasks[[#This Row],[_Res3Row]]&gt;0,INDEX(res_Name,Tasks[[#This Row],[_Res3Row]]),TRIM(LEFT(Tasks[[#This Row],[_Res3Text]],FIND("[",Tasks[[#This Row],[_Res3Text]]&amp;"[")-1))))</f>
        <v/>
      </c>
      <c r="EC17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4" s="42">
        <f>IF(OR(NOT(Tasks[[#This Row],[_IsLeaf]]=1),Tasks[[#This Row],[_Res3Row]]=0),0,N(Tasks[[#This Row],[_Days]])*HoursPerDay*IF(Tasks[[#This Row],[_Res3Units]]="",DefaultUnits,Tasks[[#This Row],[_Res3Units]]))</f>
        <v/>
      </c>
      <c r="EE174" s="42">
        <f>IF(AND(AND(Tasks[[#This Row],[_IsLeaf]]=1,Tasks[[#This Row],[_LeafTotalWork]]&gt;0),Tasks[[#This Row],[_Res3Work]]&gt;0),Tasks[[#This Row],[_Res3Work]]/(Tasks[[#This Row],[_FinishWorkday]]-Tasks[[#This Row],[_StartWorkday]]+1),0)</f>
        <v/>
      </c>
      <c r="EF174" s="42">
        <f>Tasks[[#This Row],[_Res3WorkPerWD]]*MAX(0,Tasks[[#This Row],[_StartWorkday]]-1)</f>
        <v/>
      </c>
      <c r="EG174" s="42">
        <f>Tasks[[#This Row],[_Res3Work]]*Tasks[[#This Row],[_LeafProgress]]</f>
        <v/>
      </c>
      <c r="EH174" s="42">
        <f>IF(Tasks[[#This Row],[_Res4Text]]="","",IF(Tasks[[#This Row],[_Res4Row]]&gt;0,INDEX(res_Name,Tasks[[#This Row],[_Res4Row]]),TRIM(LEFT(Tasks[[#This Row],[_Res4Text]],FIND("[",Tasks[[#This Row],[_Res4Text]]&amp;"[")-1))))</f>
        <v/>
      </c>
      <c r="EI17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4" s="42">
        <f>IF(OR(NOT(Tasks[[#This Row],[_IsLeaf]]=1),Tasks[[#This Row],[_Res4Row]]=0),0,N(Tasks[[#This Row],[_Days]])*HoursPerDay*IF(Tasks[[#This Row],[_Res4Units]]="",DefaultUnits,Tasks[[#This Row],[_Res4Units]]))</f>
        <v/>
      </c>
      <c r="EK174" s="42">
        <f>IF(AND(AND(Tasks[[#This Row],[_IsLeaf]]=1,Tasks[[#This Row],[_LeafTotalWork]]&gt;0),Tasks[[#This Row],[_Res4Work]]&gt;0),Tasks[[#This Row],[_Res4Work]]/(Tasks[[#This Row],[_FinishWorkday]]-Tasks[[#This Row],[_StartWorkday]]+1),0)</f>
        <v/>
      </c>
      <c r="EL174" s="42">
        <f>Tasks[[#This Row],[_Res4WorkPerWD]]*MAX(0,Tasks[[#This Row],[_StartWorkday]]-1)</f>
        <v/>
      </c>
      <c r="EM174" s="42">
        <f>Tasks[[#This Row],[_Res4Work]]*Tasks[[#This Row],[_LeafProgress]]</f>
        <v/>
      </c>
      <c r="EN174" s="42">
        <f>IF(ISNUMBER(Tasks[[#This Row],[% Complete]]),Tasks[[#This Row],[% Complete]],IF(Tasks[[#This Row],[Stage]]="",0,IFERROR(INDEX(stg_Pct,MATCH(Tasks[[#This Row],[Stage]],stg_Name,0)),0)))</f>
        <v/>
      </c>
      <c r="EO174" s="42">
        <f>IF(NOT(Tasks[[#This Row],[_IsLeaf]]=1),0,IF(N(Tasks[[#This Row],[Actual Finish]])&gt;0,1,MIN(1,Tasks[[#This Row],[_Pct]])))</f>
        <v/>
      </c>
      <c r="EP174" s="42">
        <f>IF(OR(NOT(Tasks[[#This Row],[_IsLeaf]]=1),Tasks[[#This Row],[_Res1Row]]=0),0,N(Tasks[[#This Row],[_Days]])*HoursPerDay*IF(Tasks[[#This Row],[_Units1]]="",DefaultUnits,Tasks[[#This Row],[_Units1]]))</f>
        <v/>
      </c>
      <c r="EQ174" s="42">
        <f>Tasks[[#This Row],[_LeafWork]]+Tasks[[#This Row],[_Res2Work]]+Tasks[[#This Row],[_Res3Work]]+Tasks[[#This Row],[_Res4Work]]</f>
        <v/>
      </c>
      <c r="ER17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4" s="42">
        <f>IF(NOT(Tasks[[#This Row],[_IsLeaf]]=1),0,MAX(_xlfn.MAXIFS(Tasks[_Row],Tasks[_Pred1UID],Tasks[[#This Row],[UID]]),_xlfn.MAXIFS(Tasks[_Row],Tasks[_Pred2UID],Tasks[[#This Row],[UID]]),_xlfn.MAXIFS(Tasks[_Row],Tasks[_Pred3UID],Tasks[[#This Row],[UID]]),_xlfn.MAXIFS(Tasks[_Row],Tasks[_Pred4UID],Tasks[[#This Row],[UID]])))</f>
        <v/>
      </c>
      <c r="FA17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4" s="88">
        <f>IF(NOT(Tasks[[#This Row],[_IsLeaf]]=1),"",IF(N(Tasks[[#This Row],[_Days]])&lt;=0,Tasks[[#This Row],[_LeafLateFinish]],WORKDAY.INTL(Tasks[[#This Row],[_LeafLateFinish]],-(Tasks[[#This Row],[_Days]]-1),WorkWeek,Holidays)))</f>
        <v/>
      </c>
      <c r="FD17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4" s="42">
        <f>AND(Tasks[[#This Row],[_IsLeaf]]=1,Tasks[[#This Row],[_LeafProgress]]&lt;1,N(Tasks[[#This Row],[_LeafTotalSlack]])&lt;=CriticalSlackDays)</f>
        <v/>
      </c>
      <c r="FF174" s="42">
        <f>IF(AND(Tasks[[#This Row],[_IsLeaf]]=1,Tasks[[#This Row],[_ConstraintCode]]=1,Tasks[[#This Row],[Mode]]&lt;&gt;"Manual",N(Tasks[[#This Row],[Actual Start]])=0),MAX(0,N(Tasks[[#This Row],[Free Slack]])),0)</f>
        <v/>
      </c>
      <c r="FG174" s="88">
        <f>IF(NOT(Tasks[[#This Row],[_IsLeaf]]=1),"",IF(Tasks[[#This Row],[_AlapShift]]=0,Tasks[[#This Row],[_LeafCalcStart]],WORKDAY.INTL(Tasks[[#This Row],[_LeafCalcStart]],Tasks[[#This Row],[_AlapShift]],WorkWeek,Holidays)))</f>
        <v/>
      </c>
      <c r="FH174" s="88">
        <f>IF(NOT(Tasks[[#This Row],[_IsLeaf]]=1),"",IF(Tasks[[#This Row],[_AlapShift]]=0,Tasks[[#This Row],[_LeafCalcFinish]],WORKDAY.INTL(Tasks[[#This Row],[_LeafCalcFinish]],Tasks[[#This Row],[_AlapShift]],WorkWeek,Holidays)))</f>
        <v/>
      </c>
      <c r="FI174" s="88">
        <f>IF(NOT(Tasks[[#This Row],[_IsLeaf]]=1),"",IF(Tasks[[#This Row],[_AlapShift]]=0,Tasks[[#This Row],[_LeafFcstStart]],WORKDAY.INTL(Tasks[[#This Row],[_LeafFcstStart]],Tasks[[#This Row],[_AlapShift]],WorkWeek,Holidays)))</f>
        <v/>
      </c>
      <c r="FJ174" s="88">
        <f>IF(NOT(Tasks[[#This Row],[_IsLeaf]]=1),"",IF(Tasks[[#This Row],[_AlapShift]]=0,Tasks[[#This Row],[_LeafFcstFinish]],WORKDAY.INTL(Tasks[[#This Row],[_LeafFcstFinish]],Tasks[[#This Row],[_AlapShift]],WorkWeek,Holidays)))</f>
        <v/>
      </c>
      <c r="FK174" s="88">
        <f>IF(Tasks[[#This Row],[Task Name]]="","",IF(Tasks[[#This Row],[_IsSummary]],MIN(INDEX(Tasks[_ShownCalcStart],Tasks[[#This Row],[_Row]]+1):INDEX(Tasks[_ShownCalcStart],Tasks[[#This Row],[_Row]]+Tasks[[#This Row],[_Descendants]])),Tasks[[#This Row],[_ShownCalcStart]]))</f>
        <v/>
      </c>
      <c r="FL174" s="88">
        <f>IF(Tasks[[#This Row],[Task Name]]="","",IF(Tasks[[#This Row],[_IsSummary]],MAX(INDEX(Tasks[_ShownCalcFinish],Tasks[[#This Row],[_Row]]+1):INDEX(Tasks[_ShownCalcFinish],Tasks[[#This Row],[_Row]]+Tasks[[#This Row],[_Descendants]])),Tasks[[#This Row],[_ShownCalcFinish]]))</f>
        <v/>
      </c>
      <c r="FM17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4" s="42">
        <f>IF(AND(Tasks[[#This Row],[_IsLeaf]]=1,Tasks[[#This Row],[_LeafTotalWork]]&gt;0),NETWORKDAYS.INTL(ProjectStart,Tasks[[#This Row],[_ShownFcstStart]],WorkWeek,Holidays),0)</f>
        <v/>
      </c>
      <c r="FZ174" s="42">
        <f>IF(AND(Tasks[[#This Row],[_IsLeaf]]=1,Tasks[[#This Row],[_LeafTotalWork]]&gt;0),MAX(Tasks[[#This Row],[_StartWorkday]],NETWORKDAYS.INTL(ProjectStart,Tasks[[#This Row],[_ShownFcstFinish]],WorkWeek,Holidays)),0)</f>
        <v/>
      </c>
      <c r="GA174" s="42">
        <f>IF(AND(Tasks[[#This Row],[_IsLeaf]]=1,Tasks[[#This Row],[_LeafTotalWork]]&gt;0),Tasks[[#This Row],[_LeafWork]]/(Tasks[[#This Row],[_FinishWorkday]]-Tasks[[#This Row],[_StartWorkday]]+1),0)</f>
        <v/>
      </c>
      <c r="GB174" s="42">
        <f>Tasks[[#This Row],[_WorkPerWorkday]]*(Tasks[[#This Row],[_StartWorkday]]-1)</f>
        <v/>
      </c>
      <c r="GC174" s="42">
        <f>IF(Tasks[[#This Row],[_IsLeaf]]=1,MAX(N(Tasks[[#This Row],[_Days]]),0.1),0)</f>
        <v/>
      </c>
      <c r="GD174" s="42">
        <f>Tasks[[#This Row],[_WeightDur]]*Tasks[[#This Row],[_LeafProgress]]</f>
        <v/>
      </c>
      <c r="GE174" s="42">
        <f>Tasks[[#This Row],[_WeightDur]]*Tasks[[#This Row],[_PlannedPct]]</f>
        <v/>
      </c>
      <c r="GF17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4" s="42">
        <f>IF(AND(Tasks[[#This Row],[_IsLeaf]]=1,N(Tasks[[#This Row],[_Days]])=0,Tasks[[#This Row],[_LeafProgress]]&lt;1),Tasks[[#This Row],[_ShownFcstFinish]]+Tasks[[#This Row],[_Row]]/100000,"")</f>
        <v/>
      </c>
      <c r="GH17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4" s="42">
        <f>IF(Tasks[[#This Row],[Task Name]]="","",LEFT(Tasks[[#This Row],[WBS]],FIND(".",Tasks[[#This Row],[WBS]]&amp;".")-1))</f>
        <v/>
      </c>
      <c r="GJ174" s="42">
        <f>IF(AND(Tasks[[#This Row],[Task Name]]&lt;&gt;"",Tasks[[#This Row],[_Level]]=1),Tasks[[#This Row],[_Row]],"")</f>
        <v/>
      </c>
      <c r="GK174" s="42">
        <f>IF(AND(Tasks[[#This Row],[_IsLeaf]]=1,N(Tasks[[#This Row],[_Days]])=0),Tasks[[#This Row],[Planned Finish]]+Tasks[[#This Row],[_Row]]/100000,"")</f>
        <v/>
      </c>
      <c r="GL174" s="42">
        <f>IF(AND(Tasks[[#This Row],[_IsLeaf]]=1,Tasks[[#This Row],[_LeafProgress]]&lt;1,OR(N(Tasks[[#This Row],[Finish Var]])&gt;0,Tasks[[#This Row],[Status]]="Late Start")),MAX(0,Tasks[[#This Row],[Finish Var]])+1-Tasks[[#This Row],[_Row]]/1000000,"")</f>
        <v/>
      </c>
      <c r="GM174" s="42">
        <f>IF(AND(Tasks[[#This Row],[_IsLeaf]]=1,N(Tasks[[#This Row],[Actual Start]])=0,Tasks[[#This Row],[_ShownFcstStart]]&gt;=StatusDate,Tasks[[#This Row],[_ShownFcstStart]]&lt;=LookaheadEnd),Tasks[[#This Row],[_ShownFcstStart]]+Tasks[[#This Row],[_Row]]/100000,"")</f>
        <v/>
      </c>
      <c r="GN174" s="42">
        <f>IF(AND(Tasks[[#This Row],[_IsLeaf]]=1,Tasks[[#This Row],[_LeafProgress]]&lt;1,Tasks[[#This Row],[_ShownFcstFinish]]&gt;=StatusDate,Tasks[[#This Row],[_ShownFcstFinish]]&lt;=LookaheadEnd),Tasks[[#This Row],[_ShownFcstFinish]]+Tasks[[#This Row],[_Row]]/100000,"")</f>
        <v/>
      </c>
      <c r="GO174" s="42">
        <f>IF(Tasks[[#This Row],[_LeafCritical]],Tasks[[#This Row],[_ShownFcstStart]]+Tasks[[#This Row],[_Row]]/100000,"")</f>
        <v/>
      </c>
      <c r="GP174" s="42">
        <f>Tasks[[#This Row],[_LeafWork]]*Tasks[[#This Row],[_LeafProgress]]</f>
        <v/>
      </c>
      <c r="GQ174" s="88">
        <f>IF(AND(Tasks[[#This Row],[_IsLeaf]]=1,Tasks[[#This Row],[_LeafProgress]]&gt;=1),IF(N(Tasks[[#This Row],[Actual Finish]])&gt;0,Tasks[[#This Row],[Actual Finish]],Tasks[[#This Row],[_ShownFcstFinish]]),"")</f>
        <v/>
      </c>
      <c r="GR174" s="42">
        <f>IF(Tasks[[#This Row],[_IsLeaf]]=1,N(Tasks[[#This Row],[Story Points]]),0)</f>
        <v/>
      </c>
      <c r="GS174" s="42">
        <f>""</f>
        <v/>
      </c>
      <c r="GT174" s="42">
        <f>IF(Tasks[[#This Row],[Task Name]]="",FALSE(),AND(Tasks[[#This Row],[_IsLeaf]]=1,N(Tasks[[#This Row],[_Days]])=0))</f>
        <v/>
      </c>
      <c r="GU174" s="88">
        <f>IF(Tasks[[#This Row],[Task Name]]="",0,IF(AND(Tasks[[#This Row],[_IsLeaf]]=1,NOT(Tasks[[#This Row],[_IsMilestone]]),N(Tasks[[#This Row],[Progress]])&gt;0),Tasks[[#This Row],[Start]],0))</f>
        <v/>
      </c>
      <c r="GV174" s="88">
        <f>IF(Tasks[[#This Row],[_DoneFrom]]=0,0,IF(Tasks[[#This Row],[Progress]]&gt;=1,Tasks[[#This Row],[Finish]],MAX(Tasks[[#This Row],[_DoneFrom]],Tasks[[#This Row],[Start]]+ROUND((Tasks[[#This Row],[Finish]]-Tasks[[#This Row],[Start]]+1)*Tasks[[#This Row],[Progress]],0)-1)))</f>
        <v/>
      </c>
      <c r="GW174" s="88">
        <f>IF(Tasks[[#This Row],[Task Name]]="",0,IF(OR(NOT(Tasks[[#This Row],[_IsLeaf]]=1),Tasks[[#This Row],[_IsMilestone]],N(Tasks[[#This Row],[Progress]])&gt;=1),0,IF(Tasks[[#This Row],[_DoneTo]]&gt;0,Tasks[[#This Row],[_DoneTo]]+1,Tasks[[#This Row],[Start]])))</f>
        <v/>
      </c>
      <c r="GX174" s="88">
        <f>IF(Tasks[[#This Row],[_RemFrom]]=0,0,Tasks[[#This Row],[Finish]])</f>
        <v/>
      </c>
      <c r="GY174" s="42">
        <f>IF(Tasks[[#This Row],[Task Name]]="",FALSE(),OR(NOT(BaselineSet),N(Tasks[[#This Row],[Baseline Start]])&gt;0))</f>
        <v/>
      </c>
      <c r="GZ174" s="42">
        <f>IF(AND(Sandbox="Yes",L_PARSE_DURATION(Tasks[[#This Row],[Sandbox Duration]])&lt;&gt;""),L_PARSE_DURATION(Tasks[[#This Row],[Sandbox Duration]]),L_PARSE_DURATION(Tasks[[#This Row],[Duration]]))</f>
        <v/>
      </c>
      <c r="HA17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4" s="42">
        <f>IF(Tasks[[#This Row],[_IsLeaf]]=1,Tasks[[#This Row],[_Row]],"")</f>
        <v/>
      </c>
      <c r="HD174" s="42">
        <f>IFERROR(INDEX(Tasks[UID],SMALL(Tasks[_PickKey],Tasks[[#This Row],[_Row]]))&amp;" "&amp;INDEX(Tasks[Task Name],SMALL(Tasks[_PickKey],Tasks[[#This Row],[_Row]])),"")</f>
        <v/>
      </c>
      <c r="HE174" s="42">
        <f>IF(Tasks[[#This Row],[Task Name]]="","",IF(Tasks[[#This Row],[_IsSummary]],NETWORKDAYS.INTL(Tasks[[#This Row],[Start]],Tasks[[#This Row],[Finish]],WorkWeek,Holidays),N(Tasks[[#This Row],[_Days]])))</f>
        <v/>
      </c>
      <c r="HF174" s="42">
        <f>IF(Tasks[[#This Row],[Expected]]="",0,((Tasks[[#This Row],[Pessimistic]]-Tasks[[#This Row],[Optimistic]])/6)^2)</f>
        <v/>
      </c>
      <c r="HG174" s="42">
        <f>IF(Tasks[[#This Row],[Expected]]="",0,Tasks[[#This Row],[Expected]]-N(Tasks[[#This Row],[_Days]]))</f>
        <v/>
      </c>
    </row>
    <row r="175">
      <c r="A175" s="21">
        <f>IF(Tasks[[#This Row],[Task Name]]="","",COUNTA(Tasks[[#Headers],[Task Name]]:Tasks[[#This Row],[Task Name]])-1)</f>
        <v/>
      </c>
      <c r="B175" s="22" t="n">
        <v>183</v>
      </c>
      <c r="C175" s="22" t="n"/>
      <c r="D175" s="23" t="n"/>
      <c r="E175" s="22" t="n"/>
      <c r="F175" s="23" t="n"/>
      <c r="G175" s="22" t="n"/>
      <c r="H175" s="22" t="n"/>
      <c r="I175" s="23" t="n"/>
      <c r="J175" s="22" t="n"/>
      <c r="K175" s="22" t="n"/>
      <c r="L175" s="23" t="n"/>
      <c r="M175" s="22" t="n"/>
      <c r="N175" s="22" t="n"/>
      <c r="O175" s="23" t="n"/>
      <c r="P175" s="22" t="n"/>
      <c r="Q175" s="22" t="n"/>
      <c r="R175" s="23" t="n"/>
      <c r="S175" s="23" t="n"/>
      <c r="T175" s="82" t="n"/>
      <c r="U175" s="23" t="n"/>
      <c r="V175" s="82" t="n"/>
      <c r="W175" s="23" t="n"/>
      <c r="X175" s="82" t="n"/>
      <c r="Y175" s="23" t="n"/>
      <c r="Z175" s="82" t="n"/>
      <c r="AA175" s="23" t="n"/>
      <c r="AB175" s="23" t="n"/>
      <c r="AC175" s="7" t="n"/>
      <c r="AD175" s="7" t="n"/>
      <c r="AE175" s="61">
        <f>IF(Tasks[[#This Row],[Task Name]]="","",IF(Tasks[[#This Row],[_IsSummary]],MIN(INDEX(Tasks[_ShownFcstStart],Tasks[[#This Row],[_Row]]+1):INDEX(Tasks[_ShownFcstStart],Tasks[[#This Row],[_Row]]+Tasks[[#This Row],[_Descendants]])),Tasks[[#This Row],[_ShownFcstStart]]))</f>
        <v/>
      </c>
      <c r="AF175" s="61">
        <f>IF(Tasks[[#This Row],[Task Name]]="","",IF(Tasks[[#This Row],[_IsSummary]],MAX(INDEX(Tasks[_ShownFcstFinish],Tasks[[#This Row],[_Row]]+1):INDEX(Tasks[_ShownFcstFinish],Tasks[[#This Row],[_Row]]+Tasks[[#This Row],[_Descendants]])),Tasks[[#This Row],[_ShownFcstFinish]]))</f>
        <v/>
      </c>
      <c r="AG175" s="21">
        <f>""</f>
        <v/>
      </c>
      <c r="AH175" s="23" t="n"/>
      <c r="AI17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5" s="7" t="n"/>
      <c r="AK175" s="22" t="n"/>
      <c r="AL175" s="23" t="n"/>
      <c r="AM175" s="7" t="n"/>
      <c r="AN175" s="21">
        <f>IF(Tasks[[#This Row],[Task Name]]="","",IF(Tasks[[#This Row],[Finish]]&gt;=Tasks[[#This Row],[Planned Finish]],NETWORKDAYS.INTL(Tasks[[#This Row],[Planned Finish]],Tasks[[#This Row],[Finish]],WorkWeek,Holidays)-1,1-NETWORKDAYS.INTL(Tasks[[#This Row],[Finish]],Tasks[[#This Row],[Planned Finish]],WorkWeek,Holidays)))</f>
        <v/>
      </c>
      <c r="AO175" s="21">
        <f>IF(Tasks[[#This Row],[Task Name]]="","",IF(Tasks[[#This Row],[Progress]]&gt;=1,"Complete",IF(OR(N(Tasks[[#This Row],[Actual Start]])&gt;0,Tasks[[#This Row],[Progress]]&gt;0),IF(Tasks[[#This Row],[Finish Var]]&gt;0,"Behind","In Progress"),IF(Tasks[[#This Row],[Planned Start]]&lt;StatusDate,"Late Start","Not Started"))))</f>
        <v/>
      </c>
      <c r="AP175" s="21">
        <f>IF(Tasks[[#This Row],[Task Name]]="","",IF(IF(Tasks[[#This Row],[_IsSummary]],COUNTIF(INDEX(Tasks[_LeafCritical],Tasks[[#This Row],[_Row]]+1):INDEX(Tasks[_LeafCritical],Tasks[[#This Row],[_Row]]+Tasks[[#This Row],[_Descendants]]),TRUE())&gt;0,Tasks[[#This Row],[_LeafCritical]]),"Yes",""))</f>
        <v/>
      </c>
      <c r="AQ175" s="61">
        <f>IF(Tasks[[#This Row],[Task Name]]="","",IF(N(Tasks[[#This Row],[Baseline Start]])&gt;0,Tasks[[#This Row],[Baseline Start]],Tasks[[#This Row],[_CalcStart]]))</f>
        <v/>
      </c>
      <c r="AR175" s="61">
        <f>IF(Tasks[[#This Row],[Task Name]]="","",IF(N(Tasks[[#This Row],[Baseline Finish]])&gt;0,Tasks[[#This Row],[Baseline Finish]],Tasks[[#This Row],[_CalcFinish]]))</f>
        <v/>
      </c>
      <c r="AS175" s="21">
        <f>IF(Tasks[[#This Row],[Task Name]]="","",IF(Tasks[[#This Row],[Start]]&gt;=Tasks[[#This Row],[Planned Start]],NETWORKDAYS.INTL(Tasks[[#This Row],[Planned Start]],Tasks[[#This Row],[Start]],WorkWeek,Holidays)-1,1-NETWORKDAYS.INTL(Tasks[[#This Row],[Start]],Tasks[[#This Row],[Planned Start]],WorkWeek,Holidays)))</f>
        <v/>
      </c>
      <c r="AT175" s="61">
        <f>IF(Tasks[[#This Row],[Task Name]]="","",IF(Tasks[[#This Row],[_IsSummary]],MIN(INDEX(Tasks[_LeafLateStart],Tasks[[#This Row],[_Row]]+1):INDEX(Tasks[_LeafLateStart],Tasks[[#This Row],[_Row]]+Tasks[[#This Row],[_Descendants]])),Tasks[[#This Row],[_LeafLateStart]]))</f>
        <v/>
      </c>
      <c r="AU175" s="61">
        <f>IF(Tasks[[#This Row],[Task Name]]="","",IF(Tasks[[#This Row],[_IsSummary]],MAX(INDEX(Tasks[_LeafLateFinish],Tasks[[#This Row],[_Row]]+1):INDEX(Tasks[_LeafLateFinish],Tasks[[#This Row],[_Row]]+Tasks[[#This Row],[_Descendants]])),Tasks[[#This Row],[_LeafLateFinish]]))</f>
        <v/>
      </c>
      <c r="AV175" s="21">
        <f>IF(Tasks[[#This Row],[Task Name]]="","",IF(Tasks[[#This Row],[_IsSummary]],MIN(INDEX(Tasks[_LeafTotalSlack],Tasks[[#This Row],[_Row]]+1):INDEX(Tasks[_LeafTotalSlack],Tasks[[#This Row],[_Row]]+Tasks[[#This Row],[_Descendants]])),Tasks[[#This Row],[_LeafTotalSlack]]))</f>
        <v/>
      </c>
      <c r="AW17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3" t="n"/>
      <c r="BA17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f>IF(Tasks[[#This Row],[Task Name]]="","",IF(Tasks[[#This Row],[_Level]]&lt;=OutlineShowLevel,"Yes","No"))</f>
        <v/>
      </c>
      <c r="BE175" s="84">
        <f>IF(Tasks[[#This Row],[Task Name]]="","",IF(Tasks[[#This Row],[_IsSummary]],SUM(INDEX(Tasks[_LeafTotalWork],Tasks[[#This Row],[_Row]]+1):INDEX(Tasks[_LeafTotalWork],Tasks[[#This Row],[_Row]]+Tasks[[#This Row],[_Descendants]])),Tasks[[#This Row],[_LeafTotalWork]]))</f>
        <v/>
      </c>
      <c r="BF175" s="23" t="n"/>
      <c r="BG17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f>""</f>
        <v/>
      </c>
      <c r="BI175" s="85" t="n"/>
      <c r="BJ175" s="22" t="n"/>
      <c r="BK175" s="21">
        <f>IF(OR(Tasks[[#This Row],[Task Name]]="",Tasks[[#This Row],[Baseline Duration]]=""),"",Tasks[[#This Row],[_SpanDays]]-N(Tasks[[#This Row],[Baseline Duration]]))</f>
        <v/>
      </c>
      <c r="BL175" s="84">
        <f>IF(OR(Tasks[[#This Row],[Task Name]]="",Tasks[[#This Row],[Baseline Work]]=""),"",Tasks[[#This Row],[Work]]-N(Tasks[[#This Row],[Baseline Work]]))</f>
        <v/>
      </c>
      <c r="BM175" s="61">
        <f>IF(Tasks[[#This Row],[Task Name]]="","",IF(OR(TakeBaseline="Yes",N(Tasks[[#This Row],[Baseline Start]])=0),Tasks[[#This Row],[Start]],Tasks[[#This Row],[Baseline Start]]))</f>
        <v/>
      </c>
      <c r="BN175" s="61">
        <f>IF(Tasks[[#This Row],[Task Name]]="","",IF(OR(TakeBaseline="Yes",N(Tasks[[#This Row],[Baseline Finish]])=0),Tasks[[#This Row],[Finish]],Tasks[[#This Row],[Baseline Finish]]))</f>
        <v/>
      </c>
      <c r="BO175" s="21">
        <f>IF(Tasks[[#This Row],[Task Name]]="","",IF(OR(TakeBaseline="Yes",N(Tasks[[#This Row],[Baseline Duration]])=0),Tasks[[#This Row],[_SpanDays]],Tasks[[#This Row],[Baseline Duration]]))</f>
        <v/>
      </c>
      <c r="BP175" s="84">
        <f>IF(Tasks[[#This Row],[Task Name]]="","",IF(OR(TakeBaseline="Yes",N(Tasks[[#This Row],[Baseline Work]])=0),Tasks[[#This Row],[Work]],Tasks[[#This Row],[Baseline Work]]))</f>
        <v/>
      </c>
      <c r="BQ175" s="7" t="n"/>
      <c r="BR175" s="7" t="n"/>
      <c r="BS175" s="22" t="n"/>
      <c r="BT175" s="86" t="n"/>
      <c r="BU175" s="23" t="n"/>
      <c r="BV175" s="23" t="n"/>
      <c r="BW175" s="23" t="n"/>
      <c r="BX175" s="87">
        <f>IF(AND(Tasks[[#This Row],[_IsLeaf]]=1,ISNUMBER(Tasks[[#This Row],[Optimistic]]),ISNUMBER(Tasks[[#This Row],[Pessimistic]])),ROUND((Tasks[[#This Row],[Optimistic]]+4*N(Tasks[[#This Row],[_Days]])+Tasks[[#This Row],[Pessimistic]])/6,1),"")</f>
        <v/>
      </c>
      <c r="BY175" s="85" t="n"/>
      <c r="BZ175" s="85" t="n"/>
      <c r="CA175" s="22" t="n"/>
      <c r="CB175" s="42">
        <f>IF(Tasks[[#This Row],[Task Name]]="","",MAX(1,N(Tasks[[#This Row],[Level]])))</f>
        <v/>
      </c>
      <c r="CC175" s="42">
        <f>ROW()-ROW(Tasks[[#Headers],[ID]])</f>
        <v/>
      </c>
      <c r="CD175" s="42">
        <f>IF(OR(Tasks[[#This Row],[Task Name]]="",Tasks[[#This Row],[_Level]]&lt;=1),0,IFERROR(LOOKUP(2,1/(Tasks[[#Headers],[_Level]]:Tasks[[#This Row],[_Level]]=Tasks[[#This Row],[_Level]]-1),ROW(Tasks[[#Headers],[_Level]]:Tasks[[#This Row],[_Level]])),0))</f>
        <v/>
      </c>
      <c r="CE175" s="42">
        <f>IFERROR(N(INDEX(Tasks[_Level],Tasks[[#This Row],[_Row]]+1)),0)</f>
        <v/>
      </c>
      <c r="CF175" s="42">
        <f>AND(Tasks[[#This Row],[Task Name]]&lt;&gt;"",Tasks[[#This Row],[_NextLevel]]&gt;Tasks[[#This Row],[_Level]])</f>
        <v/>
      </c>
      <c r="CG175" s="42">
        <f>IF(Tasks[[#This Row],[_IsSummary]],COUNTIF(Tasks[WBS],Tasks[[#This Row],[WBS]]&amp;".*"),0)</f>
        <v/>
      </c>
      <c r="CH175" s="42">
        <f>IF(AND(Tasks[[#This Row],[Task Name]]&lt;&gt;"",NOT(Tasks[[#This Row],[_IsSummary]])),1,0)</f>
        <v/>
      </c>
      <c r="CI175" s="42">
        <f>IF(N(Tasks[[#This Row],[_Pred1UID]])=0,0,IFERROR(MATCH(Tasks[[#This Row],[_Pred1UID]],Tasks[UID],0),-1))</f>
        <v/>
      </c>
      <c r="CJ175" s="42">
        <f>IF(N(Tasks[[#This Row],[_Pred2UID]])=0,0,IFERROR(MATCH(Tasks[[#This Row],[_Pred2UID]],Tasks[UID],0),-1))</f>
        <v/>
      </c>
      <c r="CK175" s="42">
        <f>IF(N(Tasks[[#This Row],[_Pred3UID]])=0,0,IFERROR(MATCH(Tasks[[#This Row],[_Pred3UID]],Tasks[UID],0),-1))</f>
        <v/>
      </c>
      <c r="CL175" s="42">
        <f>IF(N(Tasks[[#This Row],[_Pred4UID]])=0,0,IFERROR(MATCH(Tasks[[#This Row],[_Pred4UID]],Tasks[UID],0),-1))</f>
        <v/>
      </c>
      <c r="CM17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5" s="88">
        <f>IF(N(Tasks[[#This Row],[Constraint Date]])=0,0,IF(AND(OR(Tasks[[#This Row],[_ConstraintCode]]=3,Tasks[[#This Row],[_ConstraintCode]]=6,Tasks[[#This Row],[_ConstraintCode]]=7),N(Tasks[[#This Row],[_Days]])&gt;1),WORKDAY.INTL(N(Tasks[[#This Row],[Constraint Date]]),-(N(Tasks[[#This Row],[_Days]])-1),WorkWeek,Holidays),N(Tasks[[#This Row],[Constraint Date]])))</f>
        <v/>
      </c>
      <c r="CO175" s="88">
        <f>IF(OR(Tasks[[#This Row],[_ConstraintCode]]=2,Tasks[[#This Row],[_ConstraintCode]]=3,Tasks[[#This Row],[_ConstraintCode]]=4,Tasks[[#This Row],[_ConstraintCode]]=6),Tasks[[#This Row],[_ConstraintStart]],0)</f>
        <v/>
      </c>
      <c r="CP175" s="88">
        <f>IF(OR(Tasks[[#This Row],[_ConstraintCode]]=2,Tasks[[#This Row],[_ConstraintCode]]=3,Tasks[[#This Row],[_ConstraintCode]]=5,Tasks[[#This Row],[_ConstraintCode]]=7),Tasks[[#This Row],[_ConstraintStart]],2958465)</f>
        <v/>
      </c>
      <c r="CQ17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5" s="88">
        <f>IF(NOT(Tasks[[#This Row],[_IsLeaf]]=1),"",IF(N(Tasks[[#This Row],[_Days]])&lt;=0,Tasks[[#This Row],[_LeafCalcStart]],WORKDAY.INTL(Tasks[[#This Row],[_LeafCalcStart]],Tasks[[#This Row],[_Days]]-1,WorkWeek,Holidays)))</f>
        <v/>
      </c>
      <c r="CS17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5" s="42">
        <f>IF(Tasks[[#This Row],[_Predecessors]]="","",TRIM(MID(SUBSTITUTE(SUBSTITUTE(SUBSTITUTE(UPPER(Tasks[[#This Row],[_Predecessors]]),";",",")," ",""),",",REPT(" ",99)),1,99)))</f>
        <v/>
      </c>
      <c r="CV175" s="42">
        <f>IF(Tasks[[#This Row],[_Pred1Text]]="","",IFERROR(VALUE(LEFT(Tasks[[#This Row],[_Pred1Text]],MIN(FIND("F",Tasks[[#This Row],[_Pred1Text]]&amp;"F"),FIND("S",Tasks[[#This Row],[_Pred1Text]]&amp;"S"),FIND("+",Tasks[[#This Row],[_Pred1Text]]&amp;"+"),FIND("-",Tasks[[#This Row],[_Pred1Text]]&amp;"-"))-1)),""))</f>
        <v/>
      </c>
      <c r="CW17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5" s="42">
        <f>IF(Tasks[[#This Row],[_Pred1Text]]="","",TRIM(MID(SUBSTITUTE(SUBSTITUTE(SUBSTITUTE(UPPER(Tasks[[#This Row],[_Predecessors]]),";",",")," ",""),",",REPT(" ",99)),100,99)))</f>
        <v/>
      </c>
      <c r="CZ175" s="42">
        <f>IF(Tasks[[#This Row],[_Pred2Text]]="","",IFERROR(VALUE(LEFT(Tasks[[#This Row],[_Pred2Text]],MIN(FIND("F",Tasks[[#This Row],[_Pred2Text]]&amp;"F"),FIND("S",Tasks[[#This Row],[_Pred2Text]]&amp;"S"),FIND("+",Tasks[[#This Row],[_Pred2Text]]&amp;"+"),FIND("-",Tasks[[#This Row],[_Pred2Text]]&amp;"-"))-1)),""))</f>
        <v/>
      </c>
      <c r="DA17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5" s="42">
        <f>IF(Tasks[[#This Row],[_Pred2Text]]="","",TRIM(MID(SUBSTITUTE(SUBSTITUTE(SUBSTITUTE(UPPER(Tasks[[#This Row],[_Predecessors]]),";",",")," ",""),",",REPT(" ",99)),199,99)))</f>
        <v/>
      </c>
      <c r="DD175" s="42">
        <f>IF(Tasks[[#This Row],[_Pred3Text]]="","",IFERROR(VALUE(LEFT(Tasks[[#This Row],[_Pred3Text]],MIN(FIND("F",Tasks[[#This Row],[_Pred3Text]]&amp;"F"),FIND("S",Tasks[[#This Row],[_Pred3Text]]&amp;"S"),FIND("+",Tasks[[#This Row],[_Pred3Text]]&amp;"+"),FIND("-",Tasks[[#This Row],[_Pred3Text]]&amp;"-"))-1)),""))</f>
        <v/>
      </c>
      <c r="DE17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5" s="42">
        <f>IF(Tasks[[#This Row],[_Pred3Text]]="","",TRIM(MID(SUBSTITUTE(SUBSTITUTE(SUBSTITUTE(UPPER(Tasks[[#This Row],[_Predecessors]]),";",",")," ",""),",",REPT(" ",99)),298,99)))</f>
        <v/>
      </c>
      <c r="DH175" s="42">
        <f>IF(Tasks[[#This Row],[_Pred4Text]]="","",IFERROR(VALUE(LEFT(Tasks[[#This Row],[_Pred4Text]],MIN(FIND("F",Tasks[[#This Row],[_Pred4Text]]&amp;"F"),FIND("S",Tasks[[#This Row],[_Pred4Text]]&amp;"S"),FIND("+",Tasks[[#This Row],[_Pred4Text]]&amp;"+"),FIND("-",Tasks[[#This Row],[_Pred4Text]]&amp;"-"))-1)),""))</f>
        <v/>
      </c>
      <c r="DI17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5" s="42">
        <f>IF(OR(Tasks[[#This Row],[Task Name]]="",Tasks[[#This Row],[_Resources]]=""),"",TRIM(MID(SUBSTITUTE(Tasks[[#This Row],[_Resources]],",",REPT(" ",99)),1,99)))</f>
        <v/>
      </c>
      <c r="DL175" s="42">
        <f>IF(Tasks[[#This Row],[_Res1Text]]="","",TRIM(MID(SUBSTITUTE(Tasks[[#This Row],[_Resources]],",",REPT(" ",99)),100,99)))</f>
        <v/>
      </c>
      <c r="DM175" s="42">
        <f>IF(Tasks[[#This Row],[_Res2Text]]="","",TRIM(MID(SUBSTITUTE(Tasks[[#This Row],[_Resources]],",",REPT(" ",99)),199,99)))</f>
        <v/>
      </c>
      <c r="DN175" s="42">
        <f>IF(Tasks[[#This Row],[_Res3Text]]="","",TRIM(MID(SUBSTITUTE(Tasks[[#This Row],[_Resources]],",",REPT(" ",99)),298,99)))</f>
        <v/>
      </c>
      <c r="DO175" s="42">
        <f>IF(Tasks[[#This Row],[_Res1Text]]="",0,IFERROR(MATCH(TRIM(LEFT(Tasks[[#This Row],[_Res1Text]],FIND("[",Tasks[[#This Row],[_Res1Text]]&amp;"[")-1)),res_Name,0),IFERROR(MATCH(TRIM(LEFT(Tasks[[#This Row],[_Res1Text]],FIND("[",Tasks[[#This Row],[_Res1Text]]&amp;"[")-1)),res_Initials,0),0)))</f>
        <v/>
      </c>
      <c r="DP175" s="42">
        <f>IF(Tasks[[#This Row],[_Res2Text]]="",0,IFERROR(MATCH(TRIM(LEFT(Tasks[[#This Row],[_Res2Text]],FIND("[",Tasks[[#This Row],[_Res2Text]]&amp;"[")-1)),res_Name,0),IFERROR(MATCH(TRIM(LEFT(Tasks[[#This Row],[_Res2Text]],FIND("[",Tasks[[#This Row],[_Res2Text]]&amp;"[")-1)),res_Initials,0),0)))</f>
        <v/>
      </c>
      <c r="DQ175" s="42">
        <f>IF(Tasks[[#This Row],[_Res3Text]]="",0,IFERROR(MATCH(TRIM(LEFT(Tasks[[#This Row],[_Res3Text]],FIND("[",Tasks[[#This Row],[_Res3Text]]&amp;"[")-1)),res_Name,0),IFERROR(MATCH(TRIM(LEFT(Tasks[[#This Row],[_Res3Text]],FIND("[",Tasks[[#This Row],[_Res3Text]]&amp;"[")-1)),res_Initials,0),0)))</f>
        <v/>
      </c>
      <c r="DR175" s="42">
        <f>IF(Tasks[[#This Row],[_Res4Text]]="",0,IFERROR(MATCH(TRIM(LEFT(Tasks[[#This Row],[_Res4Text]],FIND("[",Tasks[[#This Row],[_Res4Text]]&amp;"[")-1)),res_Name,0),IFERROR(MATCH(TRIM(LEFT(Tasks[[#This Row],[_Res4Text]],FIND("[",Tasks[[#This Row],[_Res4Text]]&amp;"[")-1)),res_Initials,0),0)))</f>
        <v/>
      </c>
      <c r="DS175" s="42">
        <f>IF(Tasks[[#This Row],[_Res1Text]]="","",IF(Tasks[[#This Row],[_Res1Row]]&gt;0,INDEX(res_Name,Tasks[[#This Row],[_Res1Row]]),TRIM(LEFT(Tasks[[#This Row],[_Res1Text]],FIND("[",Tasks[[#This Row],[_Res1Text]]&amp;"[")-1))))</f>
        <v/>
      </c>
      <c r="DT17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5" s="42">
        <f>IF(NOT(Tasks[[#This Row],[_IsLeaf]]=1),0,(Tasks[[#This Row],[_Resource1]]&lt;&gt;"")+(Tasks[[#This Row],[_Res2]]&lt;&gt;"")+(Tasks[[#This Row],[_Res3]]&lt;&gt;"")+(Tasks[[#This Row],[_Res4]]&lt;&gt;""))</f>
        <v/>
      </c>
      <c r="DV175" s="42">
        <f>IF(Tasks[[#This Row],[_Res2Text]]="","",IF(Tasks[[#This Row],[_Res2Row]]&gt;0,INDEX(res_Name,Tasks[[#This Row],[_Res2Row]]),TRIM(LEFT(Tasks[[#This Row],[_Res2Text]],FIND("[",Tasks[[#This Row],[_Res2Text]]&amp;"[")-1))))</f>
        <v/>
      </c>
      <c r="DW17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5" s="42">
        <f>IF(OR(NOT(Tasks[[#This Row],[_IsLeaf]]=1),Tasks[[#This Row],[_Res2Row]]=0),0,N(Tasks[[#This Row],[_Days]])*HoursPerDay*IF(Tasks[[#This Row],[_Res2Units]]="",DefaultUnits,Tasks[[#This Row],[_Res2Units]]))</f>
        <v/>
      </c>
      <c r="DY175" s="42">
        <f>IF(AND(AND(Tasks[[#This Row],[_IsLeaf]]=1,Tasks[[#This Row],[_LeafTotalWork]]&gt;0),Tasks[[#This Row],[_Res2Work]]&gt;0),Tasks[[#This Row],[_Res2Work]]/(Tasks[[#This Row],[_FinishWorkday]]-Tasks[[#This Row],[_StartWorkday]]+1),0)</f>
        <v/>
      </c>
      <c r="DZ175" s="42">
        <f>Tasks[[#This Row],[_Res2WorkPerWD]]*MAX(0,Tasks[[#This Row],[_StartWorkday]]-1)</f>
        <v/>
      </c>
      <c r="EA175" s="42">
        <f>Tasks[[#This Row],[_Res2Work]]*Tasks[[#This Row],[_LeafProgress]]</f>
        <v/>
      </c>
      <c r="EB175" s="42">
        <f>IF(Tasks[[#This Row],[_Res3Text]]="","",IF(Tasks[[#This Row],[_Res3Row]]&gt;0,INDEX(res_Name,Tasks[[#This Row],[_Res3Row]]),TRIM(LEFT(Tasks[[#This Row],[_Res3Text]],FIND("[",Tasks[[#This Row],[_Res3Text]]&amp;"[")-1))))</f>
        <v/>
      </c>
      <c r="EC17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5" s="42">
        <f>IF(OR(NOT(Tasks[[#This Row],[_IsLeaf]]=1),Tasks[[#This Row],[_Res3Row]]=0),0,N(Tasks[[#This Row],[_Days]])*HoursPerDay*IF(Tasks[[#This Row],[_Res3Units]]="",DefaultUnits,Tasks[[#This Row],[_Res3Units]]))</f>
        <v/>
      </c>
      <c r="EE175" s="42">
        <f>IF(AND(AND(Tasks[[#This Row],[_IsLeaf]]=1,Tasks[[#This Row],[_LeafTotalWork]]&gt;0),Tasks[[#This Row],[_Res3Work]]&gt;0),Tasks[[#This Row],[_Res3Work]]/(Tasks[[#This Row],[_FinishWorkday]]-Tasks[[#This Row],[_StartWorkday]]+1),0)</f>
        <v/>
      </c>
      <c r="EF175" s="42">
        <f>Tasks[[#This Row],[_Res3WorkPerWD]]*MAX(0,Tasks[[#This Row],[_StartWorkday]]-1)</f>
        <v/>
      </c>
      <c r="EG175" s="42">
        <f>Tasks[[#This Row],[_Res3Work]]*Tasks[[#This Row],[_LeafProgress]]</f>
        <v/>
      </c>
      <c r="EH175" s="42">
        <f>IF(Tasks[[#This Row],[_Res4Text]]="","",IF(Tasks[[#This Row],[_Res4Row]]&gt;0,INDEX(res_Name,Tasks[[#This Row],[_Res4Row]]),TRIM(LEFT(Tasks[[#This Row],[_Res4Text]],FIND("[",Tasks[[#This Row],[_Res4Text]]&amp;"[")-1))))</f>
        <v/>
      </c>
      <c r="EI17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5" s="42">
        <f>IF(OR(NOT(Tasks[[#This Row],[_IsLeaf]]=1),Tasks[[#This Row],[_Res4Row]]=0),0,N(Tasks[[#This Row],[_Days]])*HoursPerDay*IF(Tasks[[#This Row],[_Res4Units]]="",DefaultUnits,Tasks[[#This Row],[_Res4Units]]))</f>
        <v/>
      </c>
      <c r="EK175" s="42">
        <f>IF(AND(AND(Tasks[[#This Row],[_IsLeaf]]=1,Tasks[[#This Row],[_LeafTotalWork]]&gt;0),Tasks[[#This Row],[_Res4Work]]&gt;0),Tasks[[#This Row],[_Res4Work]]/(Tasks[[#This Row],[_FinishWorkday]]-Tasks[[#This Row],[_StartWorkday]]+1),0)</f>
        <v/>
      </c>
      <c r="EL175" s="42">
        <f>Tasks[[#This Row],[_Res4WorkPerWD]]*MAX(0,Tasks[[#This Row],[_StartWorkday]]-1)</f>
        <v/>
      </c>
      <c r="EM175" s="42">
        <f>Tasks[[#This Row],[_Res4Work]]*Tasks[[#This Row],[_LeafProgress]]</f>
        <v/>
      </c>
      <c r="EN175" s="42">
        <f>IF(ISNUMBER(Tasks[[#This Row],[% Complete]]),Tasks[[#This Row],[% Complete]],IF(Tasks[[#This Row],[Stage]]="",0,IFERROR(INDEX(stg_Pct,MATCH(Tasks[[#This Row],[Stage]],stg_Name,0)),0)))</f>
        <v/>
      </c>
      <c r="EO175" s="42">
        <f>IF(NOT(Tasks[[#This Row],[_IsLeaf]]=1),0,IF(N(Tasks[[#This Row],[Actual Finish]])&gt;0,1,MIN(1,Tasks[[#This Row],[_Pct]])))</f>
        <v/>
      </c>
      <c r="EP175" s="42">
        <f>IF(OR(NOT(Tasks[[#This Row],[_IsLeaf]]=1),Tasks[[#This Row],[_Res1Row]]=0),0,N(Tasks[[#This Row],[_Days]])*HoursPerDay*IF(Tasks[[#This Row],[_Units1]]="",DefaultUnits,Tasks[[#This Row],[_Units1]]))</f>
        <v/>
      </c>
      <c r="EQ175" s="42">
        <f>Tasks[[#This Row],[_LeafWork]]+Tasks[[#This Row],[_Res2Work]]+Tasks[[#This Row],[_Res3Work]]+Tasks[[#This Row],[_Res4Work]]</f>
        <v/>
      </c>
      <c r="ER17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5" s="42">
        <f>IF(NOT(Tasks[[#This Row],[_IsLeaf]]=1),0,MAX(_xlfn.MAXIFS(Tasks[_Row],Tasks[_Pred1UID],Tasks[[#This Row],[UID]]),_xlfn.MAXIFS(Tasks[_Row],Tasks[_Pred2UID],Tasks[[#This Row],[UID]]),_xlfn.MAXIFS(Tasks[_Row],Tasks[_Pred3UID],Tasks[[#This Row],[UID]]),_xlfn.MAXIFS(Tasks[_Row],Tasks[_Pred4UID],Tasks[[#This Row],[UID]])))</f>
        <v/>
      </c>
      <c r="FA17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5" s="88">
        <f>IF(NOT(Tasks[[#This Row],[_IsLeaf]]=1),"",IF(N(Tasks[[#This Row],[_Days]])&lt;=0,Tasks[[#This Row],[_LeafLateFinish]],WORKDAY.INTL(Tasks[[#This Row],[_LeafLateFinish]],-(Tasks[[#This Row],[_Days]]-1),WorkWeek,Holidays)))</f>
        <v/>
      </c>
      <c r="FD17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5" s="42">
        <f>AND(Tasks[[#This Row],[_IsLeaf]]=1,Tasks[[#This Row],[_LeafProgress]]&lt;1,N(Tasks[[#This Row],[_LeafTotalSlack]])&lt;=CriticalSlackDays)</f>
        <v/>
      </c>
      <c r="FF175" s="42">
        <f>IF(AND(Tasks[[#This Row],[_IsLeaf]]=1,Tasks[[#This Row],[_ConstraintCode]]=1,Tasks[[#This Row],[Mode]]&lt;&gt;"Manual",N(Tasks[[#This Row],[Actual Start]])=0),MAX(0,N(Tasks[[#This Row],[Free Slack]])),0)</f>
        <v/>
      </c>
      <c r="FG175" s="88">
        <f>IF(NOT(Tasks[[#This Row],[_IsLeaf]]=1),"",IF(Tasks[[#This Row],[_AlapShift]]=0,Tasks[[#This Row],[_LeafCalcStart]],WORKDAY.INTL(Tasks[[#This Row],[_LeafCalcStart]],Tasks[[#This Row],[_AlapShift]],WorkWeek,Holidays)))</f>
        <v/>
      </c>
      <c r="FH175" s="88">
        <f>IF(NOT(Tasks[[#This Row],[_IsLeaf]]=1),"",IF(Tasks[[#This Row],[_AlapShift]]=0,Tasks[[#This Row],[_LeafCalcFinish]],WORKDAY.INTL(Tasks[[#This Row],[_LeafCalcFinish]],Tasks[[#This Row],[_AlapShift]],WorkWeek,Holidays)))</f>
        <v/>
      </c>
      <c r="FI175" s="88">
        <f>IF(NOT(Tasks[[#This Row],[_IsLeaf]]=1),"",IF(Tasks[[#This Row],[_AlapShift]]=0,Tasks[[#This Row],[_LeafFcstStart]],WORKDAY.INTL(Tasks[[#This Row],[_LeafFcstStart]],Tasks[[#This Row],[_AlapShift]],WorkWeek,Holidays)))</f>
        <v/>
      </c>
      <c r="FJ175" s="88">
        <f>IF(NOT(Tasks[[#This Row],[_IsLeaf]]=1),"",IF(Tasks[[#This Row],[_AlapShift]]=0,Tasks[[#This Row],[_LeafFcstFinish]],WORKDAY.INTL(Tasks[[#This Row],[_LeafFcstFinish]],Tasks[[#This Row],[_AlapShift]],WorkWeek,Holidays)))</f>
        <v/>
      </c>
      <c r="FK175" s="88">
        <f>IF(Tasks[[#This Row],[Task Name]]="","",IF(Tasks[[#This Row],[_IsSummary]],MIN(INDEX(Tasks[_ShownCalcStart],Tasks[[#This Row],[_Row]]+1):INDEX(Tasks[_ShownCalcStart],Tasks[[#This Row],[_Row]]+Tasks[[#This Row],[_Descendants]])),Tasks[[#This Row],[_ShownCalcStart]]))</f>
        <v/>
      </c>
      <c r="FL175" s="88">
        <f>IF(Tasks[[#This Row],[Task Name]]="","",IF(Tasks[[#This Row],[_IsSummary]],MAX(INDEX(Tasks[_ShownCalcFinish],Tasks[[#This Row],[_Row]]+1):INDEX(Tasks[_ShownCalcFinish],Tasks[[#This Row],[_Row]]+Tasks[[#This Row],[_Descendants]])),Tasks[[#This Row],[_ShownCalcFinish]]))</f>
        <v/>
      </c>
      <c r="FM17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5" s="42">
        <f>IF(AND(Tasks[[#This Row],[_IsLeaf]]=1,Tasks[[#This Row],[_LeafTotalWork]]&gt;0),NETWORKDAYS.INTL(ProjectStart,Tasks[[#This Row],[_ShownFcstStart]],WorkWeek,Holidays),0)</f>
        <v/>
      </c>
      <c r="FZ175" s="42">
        <f>IF(AND(Tasks[[#This Row],[_IsLeaf]]=1,Tasks[[#This Row],[_LeafTotalWork]]&gt;0),MAX(Tasks[[#This Row],[_StartWorkday]],NETWORKDAYS.INTL(ProjectStart,Tasks[[#This Row],[_ShownFcstFinish]],WorkWeek,Holidays)),0)</f>
        <v/>
      </c>
      <c r="GA175" s="42">
        <f>IF(AND(Tasks[[#This Row],[_IsLeaf]]=1,Tasks[[#This Row],[_LeafTotalWork]]&gt;0),Tasks[[#This Row],[_LeafWork]]/(Tasks[[#This Row],[_FinishWorkday]]-Tasks[[#This Row],[_StartWorkday]]+1),0)</f>
        <v/>
      </c>
      <c r="GB175" s="42">
        <f>Tasks[[#This Row],[_WorkPerWorkday]]*(Tasks[[#This Row],[_StartWorkday]]-1)</f>
        <v/>
      </c>
      <c r="GC175" s="42">
        <f>IF(Tasks[[#This Row],[_IsLeaf]]=1,MAX(N(Tasks[[#This Row],[_Days]]),0.1),0)</f>
        <v/>
      </c>
      <c r="GD175" s="42">
        <f>Tasks[[#This Row],[_WeightDur]]*Tasks[[#This Row],[_LeafProgress]]</f>
        <v/>
      </c>
      <c r="GE175" s="42">
        <f>Tasks[[#This Row],[_WeightDur]]*Tasks[[#This Row],[_PlannedPct]]</f>
        <v/>
      </c>
      <c r="GF17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5" s="42">
        <f>IF(AND(Tasks[[#This Row],[_IsLeaf]]=1,N(Tasks[[#This Row],[_Days]])=0,Tasks[[#This Row],[_LeafProgress]]&lt;1),Tasks[[#This Row],[_ShownFcstFinish]]+Tasks[[#This Row],[_Row]]/100000,"")</f>
        <v/>
      </c>
      <c r="GH17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5" s="42">
        <f>IF(Tasks[[#This Row],[Task Name]]="","",LEFT(Tasks[[#This Row],[WBS]],FIND(".",Tasks[[#This Row],[WBS]]&amp;".")-1))</f>
        <v/>
      </c>
      <c r="GJ175" s="42">
        <f>IF(AND(Tasks[[#This Row],[Task Name]]&lt;&gt;"",Tasks[[#This Row],[_Level]]=1),Tasks[[#This Row],[_Row]],"")</f>
        <v/>
      </c>
      <c r="GK175" s="42">
        <f>IF(AND(Tasks[[#This Row],[_IsLeaf]]=1,N(Tasks[[#This Row],[_Days]])=0),Tasks[[#This Row],[Planned Finish]]+Tasks[[#This Row],[_Row]]/100000,"")</f>
        <v/>
      </c>
      <c r="GL175" s="42">
        <f>IF(AND(Tasks[[#This Row],[_IsLeaf]]=1,Tasks[[#This Row],[_LeafProgress]]&lt;1,OR(N(Tasks[[#This Row],[Finish Var]])&gt;0,Tasks[[#This Row],[Status]]="Late Start")),MAX(0,Tasks[[#This Row],[Finish Var]])+1-Tasks[[#This Row],[_Row]]/1000000,"")</f>
        <v/>
      </c>
      <c r="GM175" s="42">
        <f>IF(AND(Tasks[[#This Row],[_IsLeaf]]=1,N(Tasks[[#This Row],[Actual Start]])=0,Tasks[[#This Row],[_ShownFcstStart]]&gt;=StatusDate,Tasks[[#This Row],[_ShownFcstStart]]&lt;=LookaheadEnd),Tasks[[#This Row],[_ShownFcstStart]]+Tasks[[#This Row],[_Row]]/100000,"")</f>
        <v/>
      </c>
      <c r="GN175" s="42">
        <f>IF(AND(Tasks[[#This Row],[_IsLeaf]]=1,Tasks[[#This Row],[_LeafProgress]]&lt;1,Tasks[[#This Row],[_ShownFcstFinish]]&gt;=StatusDate,Tasks[[#This Row],[_ShownFcstFinish]]&lt;=LookaheadEnd),Tasks[[#This Row],[_ShownFcstFinish]]+Tasks[[#This Row],[_Row]]/100000,"")</f>
        <v/>
      </c>
      <c r="GO175" s="42">
        <f>IF(Tasks[[#This Row],[_LeafCritical]],Tasks[[#This Row],[_ShownFcstStart]]+Tasks[[#This Row],[_Row]]/100000,"")</f>
        <v/>
      </c>
      <c r="GP175" s="42">
        <f>Tasks[[#This Row],[_LeafWork]]*Tasks[[#This Row],[_LeafProgress]]</f>
        <v/>
      </c>
      <c r="GQ175" s="88">
        <f>IF(AND(Tasks[[#This Row],[_IsLeaf]]=1,Tasks[[#This Row],[_LeafProgress]]&gt;=1),IF(N(Tasks[[#This Row],[Actual Finish]])&gt;0,Tasks[[#This Row],[Actual Finish]],Tasks[[#This Row],[_ShownFcstFinish]]),"")</f>
        <v/>
      </c>
      <c r="GR175" s="42">
        <f>IF(Tasks[[#This Row],[_IsLeaf]]=1,N(Tasks[[#This Row],[Story Points]]),0)</f>
        <v/>
      </c>
      <c r="GS175" s="42">
        <f>""</f>
        <v/>
      </c>
      <c r="GT175" s="42">
        <f>IF(Tasks[[#This Row],[Task Name]]="",FALSE(),AND(Tasks[[#This Row],[_IsLeaf]]=1,N(Tasks[[#This Row],[_Days]])=0))</f>
        <v/>
      </c>
      <c r="GU175" s="88">
        <f>IF(Tasks[[#This Row],[Task Name]]="",0,IF(AND(Tasks[[#This Row],[_IsLeaf]]=1,NOT(Tasks[[#This Row],[_IsMilestone]]),N(Tasks[[#This Row],[Progress]])&gt;0),Tasks[[#This Row],[Start]],0))</f>
        <v/>
      </c>
      <c r="GV175" s="88">
        <f>IF(Tasks[[#This Row],[_DoneFrom]]=0,0,IF(Tasks[[#This Row],[Progress]]&gt;=1,Tasks[[#This Row],[Finish]],MAX(Tasks[[#This Row],[_DoneFrom]],Tasks[[#This Row],[Start]]+ROUND((Tasks[[#This Row],[Finish]]-Tasks[[#This Row],[Start]]+1)*Tasks[[#This Row],[Progress]],0)-1)))</f>
        <v/>
      </c>
      <c r="GW175" s="88">
        <f>IF(Tasks[[#This Row],[Task Name]]="",0,IF(OR(NOT(Tasks[[#This Row],[_IsLeaf]]=1),Tasks[[#This Row],[_IsMilestone]],N(Tasks[[#This Row],[Progress]])&gt;=1),0,IF(Tasks[[#This Row],[_DoneTo]]&gt;0,Tasks[[#This Row],[_DoneTo]]+1,Tasks[[#This Row],[Start]])))</f>
        <v/>
      </c>
      <c r="GX175" s="88">
        <f>IF(Tasks[[#This Row],[_RemFrom]]=0,0,Tasks[[#This Row],[Finish]])</f>
        <v/>
      </c>
      <c r="GY175" s="42">
        <f>IF(Tasks[[#This Row],[Task Name]]="",FALSE(),OR(NOT(BaselineSet),N(Tasks[[#This Row],[Baseline Start]])&gt;0))</f>
        <v/>
      </c>
      <c r="GZ175" s="42">
        <f>IF(AND(Sandbox="Yes",L_PARSE_DURATION(Tasks[[#This Row],[Sandbox Duration]])&lt;&gt;""),L_PARSE_DURATION(Tasks[[#This Row],[Sandbox Duration]]),L_PARSE_DURATION(Tasks[[#This Row],[Duration]]))</f>
        <v/>
      </c>
      <c r="HA17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5" s="42">
        <f>IF(Tasks[[#This Row],[_IsLeaf]]=1,Tasks[[#This Row],[_Row]],"")</f>
        <v/>
      </c>
      <c r="HD175" s="42">
        <f>IFERROR(INDEX(Tasks[UID],SMALL(Tasks[_PickKey],Tasks[[#This Row],[_Row]]))&amp;" "&amp;INDEX(Tasks[Task Name],SMALL(Tasks[_PickKey],Tasks[[#This Row],[_Row]])),"")</f>
        <v/>
      </c>
      <c r="HE175" s="42">
        <f>IF(Tasks[[#This Row],[Task Name]]="","",IF(Tasks[[#This Row],[_IsSummary]],NETWORKDAYS.INTL(Tasks[[#This Row],[Start]],Tasks[[#This Row],[Finish]],WorkWeek,Holidays),N(Tasks[[#This Row],[_Days]])))</f>
        <v/>
      </c>
      <c r="HF175" s="42">
        <f>IF(Tasks[[#This Row],[Expected]]="",0,((Tasks[[#This Row],[Pessimistic]]-Tasks[[#This Row],[Optimistic]])/6)^2)</f>
        <v/>
      </c>
      <c r="HG175" s="42">
        <f>IF(Tasks[[#This Row],[Expected]]="",0,Tasks[[#This Row],[Expected]]-N(Tasks[[#This Row],[_Days]]))</f>
        <v/>
      </c>
    </row>
    <row r="176">
      <c r="A176" s="21">
        <f>IF(Tasks[[#This Row],[Task Name]]="","",COUNTA(Tasks[[#Headers],[Task Name]]:Tasks[[#This Row],[Task Name]])-1)</f>
        <v/>
      </c>
      <c r="B176" s="22" t="n">
        <v>184</v>
      </c>
      <c r="C176" s="22" t="n"/>
      <c r="D176" s="23" t="n"/>
      <c r="E176" s="22" t="n"/>
      <c r="F176" s="23" t="n"/>
      <c r="G176" s="22" t="n"/>
      <c r="H176" s="22" t="n"/>
      <c r="I176" s="23" t="n"/>
      <c r="J176" s="22" t="n"/>
      <c r="K176" s="22" t="n"/>
      <c r="L176" s="23" t="n"/>
      <c r="M176" s="22" t="n"/>
      <c r="N176" s="22" t="n"/>
      <c r="O176" s="23" t="n"/>
      <c r="P176" s="22" t="n"/>
      <c r="Q176" s="22" t="n"/>
      <c r="R176" s="23" t="n"/>
      <c r="S176" s="23" t="n"/>
      <c r="T176" s="82" t="n"/>
      <c r="U176" s="23" t="n"/>
      <c r="V176" s="82" t="n"/>
      <c r="W176" s="23" t="n"/>
      <c r="X176" s="82" t="n"/>
      <c r="Y176" s="23" t="n"/>
      <c r="Z176" s="82" t="n"/>
      <c r="AA176" s="23" t="n"/>
      <c r="AB176" s="23" t="n"/>
      <c r="AC176" s="7" t="n"/>
      <c r="AD176" s="7" t="n"/>
      <c r="AE176" s="61">
        <f>IF(Tasks[[#This Row],[Task Name]]="","",IF(Tasks[[#This Row],[_IsSummary]],MIN(INDEX(Tasks[_ShownFcstStart],Tasks[[#This Row],[_Row]]+1):INDEX(Tasks[_ShownFcstStart],Tasks[[#This Row],[_Row]]+Tasks[[#This Row],[_Descendants]])),Tasks[[#This Row],[_ShownFcstStart]]))</f>
        <v/>
      </c>
      <c r="AF176" s="61">
        <f>IF(Tasks[[#This Row],[Task Name]]="","",IF(Tasks[[#This Row],[_IsSummary]],MAX(INDEX(Tasks[_ShownFcstFinish],Tasks[[#This Row],[_Row]]+1):INDEX(Tasks[_ShownFcstFinish],Tasks[[#This Row],[_Row]]+Tasks[[#This Row],[_Descendants]])),Tasks[[#This Row],[_ShownFcstFinish]]))</f>
        <v/>
      </c>
      <c r="AG176" s="21">
        <f>""</f>
        <v/>
      </c>
      <c r="AH176" s="23" t="n"/>
      <c r="AI17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6" s="7" t="n"/>
      <c r="AK176" s="22" t="n"/>
      <c r="AL176" s="23" t="n"/>
      <c r="AM176" s="7" t="n"/>
      <c r="AN176" s="21">
        <f>IF(Tasks[[#This Row],[Task Name]]="","",IF(Tasks[[#This Row],[Finish]]&gt;=Tasks[[#This Row],[Planned Finish]],NETWORKDAYS.INTL(Tasks[[#This Row],[Planned Finish]],Tasks[[#This Row],[Finish]],WorkWeek,Holidays)-1,1-NETWORKDAYS.INTL(Tasks[[#This Row],[Finish]],Tasks[[#This Row],[Planned Finish]],WorkWeek,Holidays)))</f>
        <v/>
      </c>
      <c r="AO176" s="21">
        <f>IF(Tasks[[#This Row],[Task Name]]="","",IF(Tasks[[#This Row],[Progress]]&gt;=1,"Complete",IF(OR(N(Tasks[[#This Row],[Actual Start]])&gt;0,Tasks[[#This Row],[Progress]]&gt;0),IF(Tasks[[#This Row],[Finish Var]]&gt;0,"Behind","In Progress"),IF(Tasks[[#This Row],[Planned Start]]&lt;StatusDate,"Late Start","Not Started"))))</f>
        <v/>
      </c>
      <c r="AP176" s="21">
        <f>IF(Tasks[[#This Row],[Task Name]]="","",IF(IF(Tasks[[#This Row],[_IsSummary]],COUNTIF(INDEX(Tasks[_LeafCritical],Tasks[[#This Row],[_Row]]+1):INDEX(Tasks[_LeafCritical],Tasks[[#This Row],[_Row]]+Tasks[[#This Row],[_Descendants]]),TRUE())&gt;0,Tasks[[#This Row],[_LeafCritical]]),"Yes",""))</f>
        <v/>
      </c>
      <c r="AQ176" s="61">
        <f>IF(Tasks[[#This Row],[Task Name]]="","",IF(N(Tasks[[#This Row],[Baseline Start]])&gt;0,Tasks[[#This Row],[Baseline Start]],Tasks[[#This Row],[_CalcStart]]))</f>
        <v/>
      </c>
      <c r="AR176" s="61">
        <f>IF(Tasks[[#This Row],[Task Name]]="","",IF(N(Tasks[[#This Row],[Baseline Finish]])&gt;0,Tasks[[#This Row],[Baseline Finish]],Tasks[[#This Row],[_CalcFinish]]))</f>
        <v/>
      </c>
      <c r="AS176" s="21">
        <f>IF(Tasks[[#This Row],[Task Name]]="","",IF(Tasks[[#This Row],[Start]]&gt;=Tasks[[#This Row],[Planned Start]],NETWORKDAYS.INTL(Tasks[[#This Row],[Planned Start]],Tasks[[#This Row],[Start]],WorkWeek,Holidays)-1,1-NETWORKDAYS.INTL(Tasks[[#This Row],[Start]],Tasks[[#This Row],[Planned Start]],WorkWeek,Holidays)))</f>
        <v/>
      </c>
      <c r="AT176" s="61">
        <f>IF(Tasks[[#This Row],[Task Name]]="","",IF(Tasks[[#This Row],[_IsSummary]],MIN(INDEX(Tasks[_LeafLateStart],Tasks[[#This Row],[_Row]]+1):INDEX(Tasks[_LeafLateStart],Tasks[[#This Row],[_Row]]+Tasks[[#This Row],[_Descendants]])),Tasks[[#This Row],[_LeafLateStart]]))</f>
        <v/>
      </c>
      <c r="AU176" s="61">
        <f>IF(Tasks[[#This Row],[Task Name]]="","",IF(Tasks[[#This Row],[_IsSummary]],MAX(INDEX(Tasks[_LeafLateFinish],Tasks[[#This Row],[_Row]]+1):INDEX(Tasks[_LeafLateFinish],Tasks[[#This Row],[_Row]]+Tasks[[#This Row],[_Descendants]])),Tasks[[#This Row],[_LeafLateFinish]]))</f>
        <v/>
      </c>
      <c r="AV176" s="21">
        <f>IF(Tasks[[#This Row],[Task Name]]="","",IF(Tasks[[#This Row],[_IsSummary]],MIN(INDEX(Tasks[_LeafTotalSlack],Tasks[[#This Row],[_Row]]+1):INDEX(Tasks[_LeafTotalSlack],Tasks[[#This Row],[_Row]]+Tasks[[#This Row],[_Descendants]])),Tasks[[#This Row],[_LeafTotalSlack]]))</f>
        <v/>
      </c>
      <c r="AW17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3" t="n"/>
      <c r="BA17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f>IF(Tasks[[#This Row],[Task Name]]="","",IF(Tasks[[#This Row],[_Level]]&lt;=OutlineShowLevel,"Yes","No"))</f>
        <v/>
      </c>
      <c r="BE176" s="84">
        <f>IF(Tasks[[#This Row],[Task Name]]="","",IF(Tasks[[#This Row],[_IsSummary]],SUM(INDEX(Tasks[_LeafTotalWork],Tasks[[#This Row],[_Row]]+1):INDEX(Tasks[_LeafTotalWork],Tasks[[#This Row],[_Row]]+Tasks[[#This Row],[_Descendants]])),Tasks[[#This Row],[_LeafTotalWork]]))</f>
        <v/>
      </c>
      <c r="BF176" s="23" t="n"/>
      <c r="BG17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f>""</f>
        <v/>
      </c>
      <c r="BI176" s="85" t="n"/>
      <c r="BJ176" s="22" t="n"/>
      <c r="BK176" s="21">
        <f>IF(OR(Tasks[[#This Row],[Task Name]]="",Tasks[[#This Row],[Baseline Duration]]=""),"",Tasks[[#This Row],[_SpanDays]]-N(Tasks[[#This Row],[Baseline Duration]]))</f>
        <v/>
      </c>
      <c r="BL176" s="84">
        <f>IF(OR(Tasks[[#This Row],[Task Name]]="",Tasks[[#This Row],[Baseline Work]]=""),"",Tasks[[#This Row],[Work]]-N(Tasks[[#This Row],[Baseline Work]]))</f>
        <v/>
      </c>
      <c r="BM176" s="61">
        <f>IF(Tasks[[#This Row],[Task Name]]="","",IF(OR(TakeBaseline="Yes",N(Tasks[[#This Row],[Baseline Start]])=0),Tasks[[#This Row],[Start]],Tasks[[#This Row],[Baseline Start]]))</f>
        <v/>
      </c>
      <c r="BN176" s="61">
        <f>IF(Tasks[[#This Row],[Task Name]]="","",IF(OR(TakeBaseline="Yes",N(Tasks[[#This Row],[Baseline Finish]])=0),Tasks[[#This Row],[Finish]],Tasks[[#This Row],[Baseline Finish]]))</f>
        <v/>
      </c>
      <c r="BO176" s="21">
        <f>IF(Tasks[[#This Row],[Task Name]]="","",IF(OR(TakeBaseline="Yes",N(Tasks[[#This Row],[Baseline Duration]])=0),Tasks[[#This Row],[_SpanDays]],Tasks[[#This Row],[Baseline Duration]]))</f>
        <v/>
      </c>
      <c r="BP176" s="84">
        <f>IF(Tasks[[#This Row],[Task Name]]="","",IF(OR(TakeBaseline="Yes",N(Tasks[[#This Row],[Baseline Work]])=0),Tasks[[#This Row],[Work]],Tasks[[#This Row],[Baseline Work]]))</f>
        <v/>
      </c>
      <c r="BQ176" s="7" t="n"/>
      <c r="BR176" s="7" t="n"/>
      <c r="BS176" s="22" t="n"/>
      <c r="BT176" s="86" t="n"/>
      <c r="BU176" s="23" t="n"/>
      <c r="BV176" s="23" t="n"/>
      <c r="BW176" s="23" t="n"/>
      <c r="BX176" s="87">
        <f>IF(AND(Tasks[[#This Row],[_IsLeaf]]=1,ISNUMBER(Tasks[[#This Row],[Optimistic]]),ISNUMBER(Tasks[[#This Row],[Pessimistic]])),ROUND((Tasks[[#This Row],[Optimistic]]+4*N(Tasks[[#This Row],[_Days]])+Tasks[[#This Row],[Pessimistic]])/6,1),"")</f>
        <v/>
      </c>
      <c r="BY176" s="85" t="n"/>
      <c r="BZ176" s="85" t="n"/>
      <c r="CA176" s="22" t="n"/>
      <c r="CB176" s="42">
        <f>IF(Tasks[[#This Row],[Task Name]]="","",MAX(1,N(Tasks[[#This Row],[Level]])))</f>
        <v/>
      </c>
      <c r="CC176" s="42">
        <f>ROW()-ROW(Tasks[[#Headers],[ID]])</f>
        <v/>
      </c>
      <c r="CD176" s="42">
        <f>IF(OR(Tasks[[#This Row],[Task Name]]="",Tasks[[#This Row],[_Level]]&lt;=1),0,IFERROR(LOOKUP(2,1/(Tasks[[#Headers],[_Level]]:Tasks[[#This Row],[_Level]]=Tasks[[#This Row],[_Level]]-1),ROW(Tasks[[#Headers],[_Level]]:Tasks[[#This Row],[_Level]])),0))</f>
        <v/>
      </c>
      <c r="CE176" s="42">
        <f>IFERROR(N(INDEX(Tasks[_Level],Tasks[[#This Row],[_Row]]+1)),0)</f>
        <v/>
      </c>
      <c r="CF176" s="42">
        <f>AND(Tasks[[#This Row],[Task Name]]&lt;&gt;"",Tasks[[#This Row],[_NextLevel]]&gt;Tasks[[#This Row],[_Level]])</f>
        <v/>
      </c>
      <c r="CG176" s="42">
        <f>IF(Tasks[[#This Row],[_IsSummary]],COUNTIF(Tasks[WBS],Tasks[[#This Row],[WBS]]&amp;".*"),0)</f>
        <v/>
      </c>
      <c r="CH176" s="42">
        <f>IF(AND(Tasks[[#This Row],[Task Name]]&lt;&gt;"",NOT(Tasks[[#This Row],[_IsSummary]])),1,0)</f>
        <v/>
      </c>
      <c r="CI176" s="42">
        <f>IF(N(Tasks[[#This Row],[_Pred1UID]])=0,0,IFERROR(MATCH(Tasks[[#This Row],[_Pred1UID]],Tasks[UID],0),-1))</f>
        <v/>
      </c>
      <c r="CJ176" s="42">
        <f>IF(N(Tasks[[#This Row],[_Pred2UID]])=0,0,IFERROR(MATCH(Tasks[[#This Row],[_Pred2UID]],Tasks[UID],0),-1))</f>
        <v/>
      </c>
      <c r="CK176" s="42">
        <f>IF(N(Tasks[[#This Row],[_Pred3UID]])=0,0,IFERROR(MATCH(Tasks[[#This Row],[_Pred3UID]],Tasks[UID],0),-1))</f>
        <v/>
      </c>
      <c r="CL176" s="42">
        <f>IF(N(Tasks[[#This Row],[_Pred4UID]])=0,0,IFERROR(MATCH(Tasks[[#This Row],[_Pred4UID]],Tasks[UID],0),-1))</f>
        <v/>
      </c>
      <c r="CM17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6" s="88">
        <f>IF(N(Tasks[[#This Row],[Constraint Date]])=0,0,IF(AND(OR(Tasks[[#This Row],[_ConstraintCode]]=3,Tasks[[#This Row],[_ConstraintCode]]=6,Tasks[[#This Row],[_ConstraintCode]]=7),N(Tasks[[#This Row],[_Days]])&gt;1),WORKDAY.INTL(N(Tasks[[#This Row],[Constraint Date]]),-(N(Tasks[[#This Row],[_Days]])-1),WorkWeek,Holidays),N(Tasks[[#This Row],[Constraint Date]])))</f>
        <v/>
      </c>
      <c r="CO176" s="88">
        <f>IF(OR(Tasks[[#This Row],[_ConstraintCode]]=2,Tasks[[#This Row],[_ConstraintCode]]=3,Tasks[[#This Row],[_ConstraintCode]]=4,Tasks[[#This Row],[_ConstraintCode]]=6),Tasks[[#This Row],[_ConstraintStart]],0)</f>
        <v/>
      </c>
      <c r="CP176" s="88">
        <f>IF(OR(Tasks[[#This Row],[_ConstraintCode]]=2,Tasks[[#This Row],[_ConstraintCode]]=3,Tasks[[#This Row],[_ConstraintCode]]=5,Tasks[[#This Row],[_ConstraintCode]]=7),Tasks[[#This Row],[_ConstraintStart]],2958465)</f>
        <v/>
      </c>
      <c r="CQ17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6" s="88">
        <f>IF(NOT(Tasks[[#This Row],[_IsLeaf]]=1),"",IF(N(Tasks[[#This Row],[_Days]])&lt;=0,Tasks[[#This Row],[_LeafCalcStart]],WORKDAY.INTL(Tasks[[#This Row],[_LeafCalcStart]],Tasks[[#This Row],[_Days]]-1,WorkWeek,Holidays)))</f>
        <v/>
      </c>
      <c r="CS17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6" s="42">
        <f>IF(Tasks[[#This Row],[_Predecessors]]="","",TRIM(MID(SUBSTITUTE(SUBSTITUTE(SUBSTITUTE(UPPER(Tasks[[#This Row],[_Predecessors]]),";",",")," ",""),",",REPT(" ",99)),1,99)))</f>
        <v/>
      </c>
      <c r="CV176" s="42">
        <f>IF(Tasks[[#This Row],[_Pred1Text]]="","",IFERROR(VALUE(LEFT(Tasks[[#This Row],[_Pred1Text]],MIN(FIND("F",Tasks[[#This Row],[_Pred1Text]]&amp;"F"),FIND("S",Tasks[[#This Row],[_Pred1Text]]&amp;"S"),FIND("+",Tasks[[#This Row],[_Pred1Text]]&amp;"+"),FIND("-",Tasks[[#This Row],[_Pred1Text]]&amp;"-"))-1)),""))</f>
        <v/>
      </c>
      <c r="CW17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6" s="42">
        <f>IF(Tasks[[#This Row],[_Pred1Text]]="","",TRIM(MID(SUBSTITUTE(SUBSTITUTE(SUBSTITUTE(UPPER(Tasks[[#This Row],[_Predecessors]]),";",",")," ",""),",",REPT(" ",99)),100,99)))</f>
        <v/>
      </c>
      <c r="CZ176" s="42">
        <f>IF(Tasks[[#This Row],[_Pred2Text]]="","",IFERROR(VALUE(LEFT(Tasks[[#This Row],[_Pred2Text]],MIN(FIND("F",Tasks[[#This Row],[_Pred2Text]]&amp;"F"),FIND("S",Tasks[[#This Row],[_Pred2Text]]&amp;"S"),FIND("+",Tasks[[#This Row],[_Pred2Text]]&amp;"+"),FIND("-",Tasks[[#This Row],[_Pred2Text]]&amp;"-"))-1)),""))</f>
        <v/>
      </c>
      <c r="DA17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6" s="42">
        <f>IF(Tasks[[#This Row],[_Pred2Text]]="","",TRIM(MID(SUBSTITUTE(SUBSTITUTE(SUBSTITUTE(UPPER(Tasks[[#This Row],[_Predecessors]]),";",",")," ",""),",",REPT(" ",99)),199,99)))</f>
        <v/>
      </c>
      <c r="DD176" s="42">
        <f>IF(Tasks[[#This Row],[_Pred3Text]]="","",IFERROR(VALUE(LEFT(Tasks[[#This Row],[_Pred3Text]],MIN(FIND("F",Tasks[[#This Row],[_Pred3Text]]&amp;"F"),FIND("S",Tasks[[#This Row],[_Pred3Text]]&amp;"S"),FIND("+",Tasks[[#This Row],[_Pred3Text]]&amp;"+"),FIND("-",Tasks[[#This Row],[_Pred3Text]]&amp;"-"))-1)),""))</f>
        <v/>
      </c>
      <c r="DE17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6" s="42">
        <f>IF(Tasks[[#This Row],[_Pred3Text]]="","",TRIM(MID(SUBSTITUTE(SUBSTITUTE(SUBSTITUTE(UPPER(Tasks[[#This Row],[_Predecessors]]),";",",")," ",""),",",REPT(" ",99)),298,99)))</f>
        <v/>
      </c>
      <c r="DH176" s="42">
        <f>IF(Tasks[[#This Row],[_Pred4Text]]="","",IFERROR(VALUE(LEFT(Tasks[[#This Row],[_Pred4Text]],MIN(FIND("F",Tasks[[#This Row],[_Pred4Text]]&amp;"F"),FIND("S",Tasks[[#This Row],[_Pred4Text]]&amp;"S"),FIND("+",Tasks[[#This Row],[_Pred4Text]]&amp;"+"),FIND("-",Tasks[[#This Row],[_Pred4Text]]&amp;"-"))-1)),""))</f>
        <v/>
      </c>
      <c r="DI17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6" s="42">
        <f>IF(OR(Tasks[[#This Row],[Task Name]]="",Tasks[[#This Row],[_Resources]]=""),"",TRIM(MID(SUBSTITUTE(Tasks[[#This Row],[_Resources]],",",REPT(" ",99)),1,99)))</f>
        <v/>
      </c>
      <c r="DL176" s="42">
        <f>IF(Tasks[[#This Row],[_Res1Text]]="","",TRIM(MID(SUBSTITUTE(Tasks[[#This Row],[_Resources]],",",REPT(" ",99)),100,99)))</f>
        <v/>
      </c>
      <c r="DM176" s="42">
        <f>IF(Tasks[[#This Row],[_Res2Text]]="","",TRIM(MID(SUBSTITUTE(Tasks[[#This Row],[_Resources]],",",REPT(" ",99)),199,99)))</f>
        <v/>
      </c>
      <c r="DN176" s="42">
        <f>IF(Tasks[[#This Row],[_Res3Text]]="","",TRIM(MID(SUBSTITUTE(Tasks[[#This Row],[_Resources]],",",REPT(" ",99)),298,99)))</f>
        <v/>
      </c>
      <c r="DO176" s="42">
        <f>IF(Tasks[[#This Row],[_Res1Text]]="",0,IFERROR(MATCH(TRIM(LEFT(Tasks[[#This Row],[_Res1Text]],FIND("[",Tasks[[#This Row],[_Res1Text]]&amp;"[")-1)),res_Name,0),IFERROR(MATCH(TRIM(LEFT(Tasks[[#This Row],[_Res1Text]],FIND("[",Tasks[[#This Row],[_Res1Text]]&amp;"[")-1)),res_Initials,0),0)))</f>
        <v/>
      </c>
      <c r="DP176" s="42">
        <f>IF(Tasks[[#This Row],[_Res2Text]]="",0,IFERROR(MATCH(TRIM(LEFT(Tasks[[#This Row],[_Res2Text]],FIND("[",Tasks[[#This Row],[_Res2Text]]&amp;"[")-1)),res_Name,0),IFERROR(MATCH(TRIM(LEFT(Tasks[[#This Row],[_Res2Text]],FIND("[",Tasks[[#This Row],[_Res2Text]]&amp;"[")-1)),res_Initials,0),0)))</f>
        <v/>
      </c>
      <c r="DQ176" s="42">
        <f>IF(Tasks[[#This Row],[_Res3Text]]="",0,IFERROR(MATCH(TRIM(LEFT(Tasks[[#This Row],[_Res3Text]],FIND("[",Tasks[[#This Row],[_Res3Text]]&amp;"[")-1)),res_Name,0),IFERROR(MATCH(TRIM(LEFT(Tasks[[#This Row],[_Res3Text]],FIND("[",Tasks[[#This Row],[_Res3Text]]&amp;"[")-1)),res_Initials,0),0)))</f>
        <v/>
      </c>
      <c r="DR176" s="42">
        <f>IF(Tasks[[#This Row],[_Res4Text]]="",0,IFERROR(MATCH(TRIM(LEFT(Tasks[[#This Row],[_Res4Text]],FIND("[",Tasks[[#This Row],[_Res4Text]]&amp;"[")-1)),res_Name,0),IFERROR(MATCH(TRIM(LEFT(Tasks[[#This Row],[_Res4Text]],FIND("[",Tasks[[#This Row],[_Res4Text]]&amp;"[")-1)),res_Initials,0),0)))</f>
        <v/>
      </c>
      <c r="DS176" s="42">
        <f>IF(Tasks[[#This Row],[_Res1Text]]="","",IF(Tasks[[#This Row],[_Res1Row]]&gt;0,INDEX(res_Name,Tasks[[#This Row],[_Res1Row]]),TRIM(LEFT(Tasks[[#This Row],[_Res1Text]],FIND("[",Tasks[[#This Row],[_Res1Text]]&amp;"[")-1))))</f>
        <v/>
      </c>
      <c r="DT17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6" s="42">
        <f>IF(NOT(Tasks[[#This Row],[_IsLeaf]]=1),0,(Tasks[[#This Row],[_Resource1]]&lt;&gt;"")+(Tasks[[#This Row],[_Res2]]&lt;&gt;"")+(Tasks[[#This Row],[_Res3]]&lt;&gt;"")+(Tasks[[#This Row],[_Res4]]&lt;&gt;""))</f>
        <v/>
      </c>
      <c r="DV176" s="42">
        <f>IF(Tasks[[#This Row],[_Res2Text]]="","",IF(Tasks[[#This Row],[_Res2Row]]&gt;0,INDEX(res_Name,Tasks[[#This Row],[_Res2Row]]),TRIM(LEFT(Tasks[[#This Row],[_Res2Text]],FIND("[",Tasks[[#This Row],[_Res2Text]]&amp;"[")-1))))</f>
        <v/>
      </c>
      <c r="DW17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6" s="42">
        <f>IF(OR(NOT(Tasks[[#This Row],[_IsLeaf]]=1),Tasks[[#This Row],[_Res2Row]]=0),0,N(Tasks[[#This Row],[_Days]])*HoursPerDay*IF(Tasks[[#This Row],[_Res2Units]]="",DefaultUnits,Tasks[[#This Row],[_Res2Units]]))</f>
        <v/>
      </c>
      <c r="DY176" s="42">
        <f>IF(AND(AND(Tasks[[#This Row],[_IsLeaf]]=1,Tasks[[#This Row],[_LeafTotalWork]]&gt;0),Tasks[[#This Row],[_Res2Work]]&gt;0),Tasks[[#This Row],[_Res2Work]]/(Tasks[[#This Row],[_FinishWorkday]]-Tasks[[#This Row],[_StartWorkday]]+1),0)</f>
        <v/>
      </c>
      <c r="DZ176" s="42">
        <f>Tasks[[#This Row],[_Res2WorkPerWD]]*MAX(0,Tasks[[#This Row],[_StartWorkday]]-1)</f>
        <v/>
      </c>
      <c r="EA176" s="42">
        <f>Tasks[[#This Row],[_Res2Work]]*Tasks[[#This Row],[_LeafProgress]]</f>
        <v/>
      </c>
      <c r="EB176" s="42">
        <f>IF(Tasks[[#This Row],[_Res3Text]]="","",IF(Tasks[[#This Row],[_Res3Row]]&gt;0,INDEX(res_Name,Tasks[[#This Row],[_Res3Row]]),TRIM(LEFT(Tasks[[#This Row],[_Res3Text]],FIND("[",Tasks[[#This Row],[_Res3Text]]&amp;"[")-1))))</f>
        <v/>
      </c>
      <c r="EC17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6" s="42">
        <f>IF(OR(NOT(Tasks[[#This Row],[_IsLeaf]]=1),Tasks[[#This Row],[_Res3Row]]=0),0,N(Tasks[[#This Row],[_Days]])*HoursPerDay*IF(Tasks[[#This Row],[_Res3Units]]="",DefaultUnits,Tasks[[#This Row],[_Res3Units]]))</f>
        <v/>
      </c>
      <c r="EE176" s="42">
        <f>IF(AND(AND(Tasks[[#This Row],[_IsLeaf]]=1,Tasks[[#This Row],[_LeafTotalWork]]&gt;0),Tasks[[#This Row],[_Res3Work]]&gt;0),Tasks[[#This Row],[_Res3Work]]/(Tasks[[#This Row],[_FinishWorkday]]-Tasks[[#This Row],[_StartWorkday]]+1),0)</f>
        <v/>
      </c>
      <c r="EF176" s="42">
        <f>Tasks[[#This Row],[_Res3WorkPerWD]]*MAX(0,Tasks[[#This Row],[_StartWorkday]]-1)</f>
        <v/>
      </c>
      <c r="EG176" s="42">
        <f>Tasks[[#This Row],[_Res3Work]]*Tasks[[#This Row],[_LeafProgress]]</f>
        <v/>
      </c>
      <c r="EH176" s="42">
        <f>IF(Tasks[[#This Row],[_Res4Text]]="","",IF(Tasks[[#This Row],[_Res4Row]]&gt;0,INDEX(res_Name,Tasks[[#This Row],[_Res4Row]]),TRIM(LEFT(Tasks[[#This Row],[_Res4Text]],FIND("[",Tasks[[#This Row],[_Res4Text]]&amp;"[")-1))))</f>
        <v/>
      </c>
      <c r="EI17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6" s="42">
        <f>IF(OR(NOT(Tasks[[#This Row],[_IsLeaf]]=1),Tasks[[#This Row],[_Res4Row]]=0),0,N(Tasks[[#This Row],[_Days]])*HoursPerDay*IF(Tasks[[#This Row],[_Res4Units]]="",DefaultUnits,Tasks[[#This Row],[_Res4Units]]))</f>
        <v/>
      </c>
      <c r="EK176" s="42">
        <f>IF(AND(AND(Tasks[[#This Row],[_IsLeaf]]=1,Tasks[[#This Row],[_LeafTotalWork]]&gt;0),Tasks[[#This Row],[_Res4Work]]&gt;0),Tasks[[#This Row],[_Res4Work]]/(Tasks[[#This Row],[_FinishWorkday]]-Tasks[[#This Row],[_StartWorkday]]+1),0)</f>
        <v/>
      </c>
      <c r="EL176" s="42">
        <f>Tasks[[#This Row],[_Res4WorkPerWD]]*MAX(0,Tasks[[#This Row],[_StartWorkday]]-1)</f>
        <v/>
      </c>
      <c r="EM176" s="42">
        <f>Tasks[[#This Row],[_Res4Work]]*Tasks[[#This Row],[_LeafProgress]]</f>
        <v/>
      </c>
      <c r="EN176" s="42">
        <f>IF(ISNUMBER(Tasks[[#This Row],[% Complete]]),Tasks[[#This Row],[% Complete]],IF(Tasks[[#This Row],[Stage]]="",0,IFERROR(INDEX(stg_Pct,MATCH(Tasks[[#This Row],[Stage]],stg_Name,0)),0)))</f>
        <v/>
      </c>
      <c r="EO176" s="42">
        <f>IF(NOT(Tasks[[#This Row],[_IsLeaf]]=1),0,IF(N(Tasks[[#This Row],[Actual Finish]])&gt;0,1,MIN(1,Tasks[[#This Row],[_Pct]])))</f>
        <v/>
      </c>
      <c r="EP176" s="42">
        <f>IF(OR(NOT(Tasks[[#This Row],[_IsLeaf]]=1),Tasks[[#This Row],[_Res1Row]]=0),0,N(Tasks[[#This Row],[_Days]])*HoursPerDay*IF(Tasks[[#This Row],[_Units1]]="",DefaultUnits,Tasks[[#This Row],[_Units1]]))</f>
        <v/>
      </c>
      <c r="EQ176" s="42">
        <f>Tasks[[#This Row],[_LeafWork]]+Tasks[[#This Row],[_Res2Work]]+Tasks[[#This Row],[_Res3Work]]+Tasks[[#This Row],[_Res4Work]]</f>
        <v/>
      </c>
      <c r="ER17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6" s="42">
        <f>IF(NOT(Tasks[[#This Row],[_IsLeaf]]=1),0,MAX(_xlfn.MAXIFS(Tasks[_Row],Tasks[_Pred1UID],Tasks[[#This Row],[UID]]),_xlfn.MAXIFS(Tasks[_Row],Tasks[_Pred2UID],Tasks[[#This Row],[UID]]),_xlfn.MAXIFS(Tasks[_Row],Tasks[_Pred3UID],Tasks[[#This Row],[UID]]),_xlfn.MAXIFS(Tasks[_Row],Tasks[_Pred4UID],Tasks[[#This Row],[UID]])))</f>
        <v/>
      </c>
      <c r="FA17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6" s="88">
        <f>IF(NOT(Tasks[[#This Row],[_IsLeaf]]=1),"",IF(N(Tasks[[#This Row],[_Days]])&lt;=0,Tasks[[#This Row],[_LeafLateFinish]],WORKDAY.INTL(Tasks[[#This Row],[_LeafLateFinish]],-(Tasks[[#This Row],[_Days]]-1),WorkWeek,Holidays)))</f>
        <v/>
      </c>
      <c r="FD17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6" s="42">
        <f>AND(Tasks[[#This Row],[_IsLeaf]]=1,Tasks[[#This Row],[_LeafProgress]]&lt;1,N(Tasks[[#This Row],[_LeafTotalSlack]])&lt;=CriticalSlackDays)</f>
        <v/>
      </c>
      <c r="FF176" s="42">
        <f>IF(AND(Tasks[[#This Row],[_IsLeaf]]=1,Tasks[[#This Row],[_ConstraintCode]]=1,Tasks[[#This Row],[Mode]]&lt;&gt;"Manual",N(Tasks[[#This Row],[Actual Start]])=0),MAX(0,N(Tasks[[#This Row],[Free Slack]])),0)</f>
        <v/>
      </c>
      <c r="FG176" s="88">
        <f>IF(NOT(Tasks[[#This Row],[_IsLeaf]]=1),"",IF(Tasks[[#This Row],[_AlapShift]]=0,Tasks[[#This Row],[_LeafCalcStart]],WORKDAY.INTL(Tasks[[#This Row],[_LeafCalcStart]],Tasks[[#This Row],[_AlapShift]],WorkWeek,Holidays)))</f>
        <v/>
      </c>
      <c r="FH176" s="88">
        <f>IF(NOT(Tasks[[#This Row],[_IsLeaf]]=1),"",IF(Tasks[[#This Row],[_AlapShift]]=0,Tasks[[#This Row],[_LeafCalcFinish]],WORKDAY.INTL(Tasks[[#This Row],[_LeafCalcFinish]],Tasks[[#This Row],[_AlapShift]],WorkWeek,Holidays)))</f>
        <v/>
      </c>
      <c r="FI176" s="88">
        <f>IF(NOT(Tasks[[#This Row],[_IsLeaf]]=1),"",IF(Tasks[[#This Row],[_AlapShift]]=0,Tasks[[#This Row],[_LeafFcstStart]],WORKDAY.INTL(Tasks[[#This Row],[_LeafFcstStart]],Tasks[[#This Row],[_AlapShift]],WorkWeek,Holidays)))</f>
        <v/>
      </c>
      <c r="FJ176" s="88">
        <f>IF(NOT(Tasks[[#This Row],[_IsLeaf]]=1),"",IF(Tasks[[#This Row],[_AlapShift]]=0,Tasks[[#This Row],[_LeafFcstFinish]],WORKDAY.INTL(Tasks[[#This Row],[_LeafFcstFinish]],Tasks[[#This Row],[_AlapShift]],WorkWeek,Holidays)))</f>
        <v/>
      </c>
      <c r="FK176" s="88">
        <f>IF(Tasks[[#This Row],[Task Name]]="","",IF(Tasks[[#This Row],[_IsSummary]],MIN(INDEX(Tasks[_ShownCalcStart],Tasks[[#This Row],[_Row]]+1):INDEX(Tasks[_ShownCalcStart],Tasks[[#This Row],[_Row]]+Tasks[[#This Row],[_Descendants]])),Tasks[[#This Row],[_ShownCalcStart]]))</f>
        <v/>
      </c>
      <c r="FL176" s="88">
        <f>IF(Tasks[[#This Row],[Task Name]]="","",IF(Tasks[[#This Row],[_IsSummary]],MAX(INDEX(Tasks[_ShownCalcFinish],Tasks[[#This Row],[_Row]]+1):INDEX(Tasks[_ShownCalcFinish],Tasks[[#This Row],[_Row]]+Tasks[[#This Row],[_Descendants]])),Tasks[[#This Row],[_ShownCalcFinish]]))</f>
        <v/>
      </c>
      <c r="FM17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6" s="42">
        <f>IF(AND(Tasks[[#This Row],[_IsLeaf]]=1,Tasks[[#This Row],[_LeafTotalWork]]&gt;0),NETWORKDAYS.INTL(ProjectStart,Tasks[[#This Row],[_ShownFcstStart]],WorkWeek,Holidays),0)</f>
        <v/>
      </c>
      <c r="FZ176" s="42">
        <f>IF(AND(Tasks[[#This Row],[_IsLeaf]]=1,Tasks[[#This Row],[_LeafTotalWork]]&gt;0),MAX(Tasks[[#This Row],[_StartWorkday]],NETWORKDAYS.INTL(ProjectStart,Tasks[[#This Row],[_ShownFcstFinish]],WorkWeek,Holidays)),0)</f>
        <v/>
      </c>
      <c r="GA176" s="42">
        <f>IF(AND(Tasks[[#This Row],[_IsLeaf]]=1,Tasks[[#This Row],[_LeafTotalWork]]&gt;0),Tasks[[#This Row],[_LeafWork]]/(Tasks[[#This Row],[_FinishWorkday]]-Tasks[[#This Row],[_StartWorkday]]+1),0)</f>
        <v/>
      </c>
      <c r="GB176" s="42">
        <f>Tasks[[#This Row],[_WorkPerWorkday]]*(Tasks[[#This Row],[_StartWorkday]]-1)</f>
        <v/>
      </c>
      <c r="GC176" s="42">
        <f>IF(Tasks[[#This Row],[_IsLeaf]]=1,MAX(N(Tasks[[#This Row],[_Days]]),0.1),0)</f>
        <v/>
      </c>
      <c r="GD176" s="42">
        <f>Tasks[[#This Row],[_WeightDur]]*Tasks[[#This Row],[_LeafProgress]]</f>
        <v/>
      </c>
      <c r="GE176" s="42">
        <f>Tasks[[#This Row],[_WeightDur]]*Tasks[[#This Row],[_PlannedPct]]</f>
        <v/>
      </c>
      <c r="GF17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6" s="42">
        <f>IF(AND(Tasks[[#This Row],[_IsLeaf]]=1,N(Tasks[[#This Row],[_Days]])=0,Tasks[[#This Row],[_LeafProgress]]&lt;1),Tasks[[#This Row],[_ShownFcstFinish]]+Tasks[[#This Row],[_Row]]/100000,"")</f>
        <v/>
      </c>
      <c r="GH17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6" s="42">
        <f>IF(Tasks[[#This Row],[Task Name]]="","",LEFT(Tasks[[#This Row],[WBS]],FIND(".",Tasks[[#This Row],[WBS]]&amp;".")-1))</f>
        <v/>
      </c>
      <c r="GJ176" s="42">
        <f>IF(AND(Tasks[[#This Row],[Task Name]]&lt;&gt;"",Tasks[[#This Row],[_Level]]=1),Tasks[[#This Row],[_Row]],"")</f>
        <v/>
      </c>
      <c r="GK176" s="42">
        <f>IF(AND(Tasks[[#This Row],[_IsLeaf]]=1,N(Tasks[[#This Row],[_Days]])=0),Tasks[[#This Row],[Planned Finish]]+Tasks[[#This Row],[_Row]]/100000,"")</f>
        <v/>
      </c>
      <c r="GL176" s="42">
        <f>IF(AND(Tasks[[#This Row],[_IsLeaf]]=1,Tasks[[#This Row],[_LeafProgress]]&lt;1,OR(N(Tasks[[#This Row],[Finish Var]])&gt;0,Tasks[[#This Row],[Status]]="Late Start")),MAX(0,Tasks[[#This Row],[Finish Var]])+1-Tasks[[#This Row],[_Row]]/1000000,"")</f>
        <v/>
      </c>
      <c r="GM176" s="42">
        <f>IF(AND(Tasks[[#This Row],[_IsLeaf]]=1,N(Tasks[[#This Row],[Actual Start]])=0,Tasks[[#This Row],[_ShownFcstStart]]&gt;=StatusDate,Tasks[[#This Row],[_ShownFcstStart]]&lt;=LookaheadEnd),Tasks[[#This Row],[_ShownFcstStart]]+Tasks[[#This Row],[_Row]]/100000,"")</f>
        <v/>
      </c>
      <c r="GN176" s="42">
        <f>IF(AND(Tasks[[#This Row],[_IsLeaf]]=1,Tasks[[#This Row],[_LeafProgress]]&lt;1,Tasks[[#This Row],[_ShownFcstFinish]]&gt;=StatusDate,Tasks[[#This Row],[_ShownFcstFinish]]&lt;=LookaheadEnd),Tasks[[#This Row],[_ShownFcstFinish]]+Tasks[[#This Row],[_Row]]/100000,"")</f>
        <v/>
      </c>
      <c r="GO176" s="42">
        <f>IF(Tasks[[#This Row],[_LeafCritical]],Tasks[[#This Row],[_ShownFcstStart]]+Tasks[[#This Row],[_Row]]/100000,"")</f>
        <v/>
      </c>
      <c r="GP176" s="42">
        <f>Tasks[[#This Row],[_LeafWork]]*Tasks[[#This Row],[_LeafProgress]]</f>
        <v/>
      </c>
      <c r="GQ176" s="88">
        <f>IF(AND(Tasks[[#This Row],[_IsLeaf]]=1,Tasks[[#This Row],[_LeafProgress]]&gt;=1),IF(N(Tasks[[#This Row],[Actual Finish]])&gt;0,Tasks[[#This Row],[Actual Finish]],Tasks[[#This Row],[_ShownFcstFinish]]),"")</f>
        <v/>
      </c>
      <c r="GR176" s="42">
        <f>IF(Tasks[[#This Row],[_IsLeaf]]=1,N(Tasks[[#This Row],[Story Points]]),0)</f>
        <v/>
      </c>
      <c r="GS176" s="42">
        <f>""</f>
        <v/>
      </c>
      <c r="GT176" s="42">
        <f>IF(Tasks[[#This Row],[Task Name]]="",FALSE(),AND(Tasks[[#This Row],[_IsLeaf]]=1,N(Tasks[[#This Row],[_Days]])=0))</f>
        <v/>
      </c>
      <c r="GU176" s="88">
        <f>IF(Tasks[[#This Row],[Task Name]]="",0,IF(AND(Tasks[[#This Row],[_IsLeaf]]=1,NOT(Tasks[[#This Row],[_IsMilestone]]),N(Tasks[[#This Row],[Progress]])&gt;0),Tasks[[#This Row],[Start]],0))</f>
        <v/>
      </c>
      <c r="GV176" s="88">
        <f>IF(Tasks[[#This Row],[_DoneFrom]]=0,0,IF(Tasks[[#This Row],[Progress]]&gt;=1,Tasks[[#This Row],[Finish]],MAX(Tasks[[#This Row],[_DoneFrom]],Tasks[[#This Row],[Start]]+ROUND((Tasks[[#This Row],[Finish]]-Tasks[[#This Row],[Start]]+1)*Tasks[[#This Row],[Progress]],0)-1)))</f>
        <v/>
      </c>
      <c r="GW176" s="88">
        <f>IF(Tasks[[#This Row],[Task Name]]="",0,IF(OR(NOT(Tasks[[#This Row],[_IsLeaf]]=1),Tasks[[#This Row],[_IsMilestone]],N(Tasks[[#This Row],[Progress]])&gt;=1),0,IF(Tasks[[#This Row],[_DoneTo]]&gt;0,Tasks[[#This Row],[_DoneTo]]+1,Tasks[[#This Row],[Start]])))</f>
        <v/>
      </c>
      <c r="GX176" s="88">
        <f>IF(Tasks[[#This Row],[_RemFrom]]=0,0,Tasks[[#This Row],[Finish]])</f>
        <v/>
      </c>
      <c r="GY176" s="42">
        <f>IF(Tasks[[#This Row],[Task Name]]="",FALSE(),OR(NOT(BaselineSet),N(Tasks[[#This Row],[Baseline Start]])&gt;0))</f>
        <v/>
      </c>
      <c r="GZ176" s="42">
        <f>IF(AND(Sandbox="Yes",L_PARSE_DURATION(Tasks[[#This Row],[Sandbox Duration]])&lt;&gt;""),L_PARSE_DURATION(Tasks[[#This Row],[Sandbox Duration]]),L_PARSE_DURATION(Tasks[[#This Row],[Duration]]))</f>
        <v/>
      </c>
      <c r="HA17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6" s="42">
        <f>IF(Tasks[[#This Row],[_IsLeaf]]=1,Tasks[[#This Row],[_Row]],"")</f>
        <v/>
      </c>
      <c r="HD176" s="42">
        <f>IFERROR(INDEX(Tasks[UID],SMALL(Tasks[_PickKey],Tasks[[#This Row],[_Row]]))&amp;" "&amp;INDEX(Tasks[Task Name],SMALL(Tasks[_PickKey],Tasks[[#This Row],[_Row]])),"")</f>
        <v/>
      </c>
      <c r="HE176" s="42">
        <f>IF(Tasks[[#This Row],[Task Name]]="","",IF(Tasks[[#This Row],[_IsSummary]],NETWORKDAYS.INTL(Tasks[[#This Row],[Start]],Tasks[[#This Row],[Finish]],WorkWeek,Holidays),N(Tasks[[#This Row],[_Days]])))</f>
        <v/>
      </c>
      <c r="HF176" s="42">
        <f>IF(Tasks[[#This Row],[Expected]]="",0,((Tasks[[#This Row],[Pessimistic]]-Tasks[[#This Row],[Optimistic]])/6)^2)</f>
        <v/>
      </c>
      <c r="HG176" s="42">
        <f>IF(Tasks[[#This Row],[Expected]]="",0,Tasks[[#This Row],[Expected]]-N(Tasks[[#This Row],[_Days]]))</f>
        <v/>
      </c>
    </row>
    <row r="177">
      <c r="A177" s="21">
        <f>IF(Tasks[[#This Row],[Task Name]]="","",COUNTA(Tasks[[#Headers],[Task Name]]:Tasks[[#This Row],[Task Name]])-1)</f>
        <v/>
      </c>
      <c r="B177" s="22" t="n">
        <v>185</v>
      </c>
      <c r="C177" s="22" t="n"/>
      <c r="D177" s="23" t="n"/>
      <c r="E177" s="22" t="n"/>
      <c r="F177" s="23" t="n"/>
      <c r="G177" s="22" t="n"/>
      <c r="H177" s="22" t="n"/>
      <c r="I177" s="23" t="n"/>
      <c r="J177" s="22" t="n"/>
      <c r="K177" s="22" t="n"/>
      <c r="L177" s="23" t="n"/>
      <c r="M177" s="22" t="n"/>
      <c r="N177" s="22" t="n"/>
      <c r="O177" s="23" t="n"/>
      <c r="P177" s="22" t="n"/>
      <c r="Q177" s="22" t="n"/>
      <c r="R177" s="23" t="n"/>
      <c r="S177" s="23" t="n"/>
      <c r="T177" s="82" t="n"/>
      <c r="U177" s="23" t="n"/>
      <c r="V177" s="82" t="n"/>
      <c r="W177" s="23" t="n"/>
      <c r="X177" s="82" t="n"/>
      <c r="Y177" s="23" t="n"/>
      <c r="Z177" s="82" t="n"/>
      <c r="AA177" s="23" t="n"/>
      <c r="AB177" s="23" t="n"/>
      <c r="AC177" s="7" t="n"/>
      <c r="AD177" s="7" t="n"/>
      <c r="AE177" s="61">
        <f>IF(Tasks[[#This Row],[Task Name]]="","",IF(Tasks[[#This Row],[_IsSummary]],MIN(INDEX(Tasks[_ShownFcstStart],Tasks[[#This Row],[_Row]]+1):INDEX(Tasks[_ShownFcstStart],Tasks[[#This Row],[_Row]]+Tasks[[#This Row],[_Descendants]])),Tasks[[#This Row],[_ShownFcstStart]]))</f>
        <v/>
      </c>
      <c r="AF177" s="61">
        <f>IF(Tasks[[#This Row],[Task Name]]="","",IF(Tasks[[#This Row],[_IsSummary]],MAX(INDEX(Tasks[_ShownFcstFinish],Tasks[[#This Row],[_Row]]+1):INDEX(Tasks[_ShownFcstFinish],Tasks[[#This Row],[_Row]]+Tasks[[#This Row],[_Descendants]])),Tasks[[#This Row],[_ShownFcstFinish]]))</f>
        <v/>
      </c>
      <c r="AG177" s="21">
        <f>""</f>
        <v/>
      </c>
      <c r="AH177" s="23" t="n"/>
      <c r="AI17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7" s="7" t="n"/>
      <c r="AK177" s="22" t="n"/>
      <c r="AL177" s="23" t="n"/>
      <c r="AM177" s="7" t="n"/>
      <c r="AN177" s="21">
        <f>IF(Tasks[[#This Row],[Task Name]]="","",IF(Tasks[[#This Row],[Finish]]&gt;=Tasks[[#This Row],[Planned Finish]],NETWORKDAYS.INTL(Tasks[[#This Row],[Planned Finish]],Tasks[[#This Row],[Finish]],WorkWeek,Holidays)-1,1-NETWORKDAYS.INTL(Tasks[[#This Row],[Finish]],Tasks[[#This Row],[Planned Finish]],WorkWeek,Holidays)))</f>
        <v/>
      </c>
      <c r="AO177" s="21">
        <f>IF(Tasks[[#This Row],[Task Name]]="","",IF(Tasks[[#This Row],[Progress]]&gt;=1,"Complete",IF(OR(N(Tasks[[#This Row],[Actual Start]])&gt;0,Tasks[[#This Row],[Progress]]&gt;0),IF(Tasks[[#This Row],[Finish Var]]&gt;0,"Behind","In Progress"),IF(Tasks[[#This Row],[Planned Start]]&lt;StatusDate,"Late Start","Not Started"))))</f>
        <v/>
      </c>
      <c r="AP177" s="21">
        <f>IF(Tasks[[#This Row],[Task Name]]="","",IF(IF(Tasks[[#This Row],[_IsSummary]],COUNTIF(INDEX(Tasks[_LeafCritical],Tasks[[#This Row],[_Row]]+1):INDEX(Tasks[_LeafCritical],Tasks[[#This Row],[_Row]]+Tasks[[#This Row],[_Descendants]]),TRUE())&gt;0,Tasks[[#This Row],[_LeafCritical]]),"Yes",""))</f>
        <v/>
      </c>
      <c r="AQ177" s="61">
        <f>IF(Tasks[[#This Row],[Task Name]]="","",IF(N(Tasks[[#This Row],[Baseline Start]])&gt;0,Tasks[[#This Row],[Baseline Start]],Tasks[[#This Row],[_CalcStart]]))</f>
        <v/>
      </c>
      <c r="AR177" s="61">
        <f>IF(Tasks[[#This Row],[Task Name]]="","",IF(N(Tasks[[#This Row],[Baseline Finish]])&gt;0,Tasks[[#This Row],[Baseline Finish]],Tasks[[#This Row],[_CalcFinish]]))</f>
        <v/>
      </c>
      <c r="AS177" s="21">
        <f>IF(Tasks[[#This Row],[Task Name]]="","",IF(Tasks[[#This Row],[Start]]&gt;=Tasks[[#This Row],[Planned Start]],NETWORKDAYS.INTL(Tasks[[#This Row],[Planned Start]],Tasks[[#This Row],[Start]],WorkWeek,Holidays)-1,1-NETWORKDAYS.INTL(Tasks[[#This Row],[Start]],Tasks[[#This Row],[Planned Start]],WorkWeek,Holidays)))</f>
        <v/>
      </c>
      <c r="AT177" s="61">
        <f>IF(Tasks[[#This Row],[Task Name]]="","",IF(Tasks[[#This Row],[_IsSummary]],MIN(INDEX(Tasks[_LeafLateStart],Tasks[[#This Row],[_Row]]+1):INDEX(Tasks[_LeafLateStart],Tasks[[#This Row],[_Row]]+Tasks[[#This Row],[_Descendants]])),Tasks[[#This Row],[_LeafLateStart]]))</f>
        <v/>
      </c>
      <c r="AU177" s="61">
        <f>IF(Tasks[[#This Row],[Task Name]]="","",IF(Tasks[[#This Row],[_IsSummary]],MAX(INDEX(Tasks[_LeafLateFinish],Tasks[[#This Row],[_Row]]+1):INDEX(Tasks[_LeafLateFinish],Tasks[[#This Row],[_Row]]+Tasks[[#This Row],[_Descendants]])),Tasks[[#This Row],[_LeafLateFinish]]))</f>
        <v/>
      </c>
      <c r="AV177" s="21">
        <f>IF(Tasks[[#This Row],[Task Name]]="","",IF(Tasks[[#This Row],[_IsSummary]],MIN(INDEX(Tasks[_LeafTotalSlack],Tasks[[#This Row],[_Row]]+1):INDEX(Tasks[_LeafTotalSlack],Tasks[[#This Row],[_Row]]+Tasks[[#This Row],[_Descendants]])),Tasks[[#This Row],[_LeafTotalSlack]]))</f>
        <v/>
      </c>
      <c r="AW17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3" t="n"/>
      <c r="BA17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f>IF(Tasks[[#This Row],[Task Name]]="","",IF(Tasks[[#This Row],[_Level]]&lt;=OutlineShowLevel,"Yes","No"))</f>
        <v/>
      </c>
      <c r="BE177" s="84">
        <f>IF(Tasks[[#This Row],[Task Name]]="","",IF(Tasks[[#This Row],[_IsSummary]],SUM(INDEX(Tasks[_LeafTotalWork],Tasks[[#This Row],[_Row]]+1):INDEX(Tasks[_LeafTotalWork],Tasks[[#This Row],[_Row]]+Tasks[[#This Row],[_Descendants]])),Tasks[[#This Row],[_LeafTotalWork]]))</f>
        <v/>
      </c>
      <c r="BF177" s="23" t="n"/>
      <c r="BG17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f>""</f>
        <v/>
      </c>
      <c r="BI177" s="85" t="n"/>
      <c r="BJ177" s="22" t="n"/>
      <c r="BK177" s="21">
        <f>IF(OR(Tasks[[#This Row],[Task Name]]="",Tasks[[#This Row],[Baseline Duration]]=""),"",Tasks[[#This Row],[_SpanDays]]-N(Tasks[[#This Row],[Baseline Duration]]))</f>
        <v/>
      </c>
      <c r="BL177" s="84">
        <f>IF(OR(Tasks[[#This Row],[Task Name]]="",Tasks[[#This Row],[Baseline Work]]=""),"",Tasks[[#This Row],[Work]]-N(Tasks[[#This Row],[Baseline Work]]))</f>
        <v/>
      </c>
      <c r="BM177" s="61">
        <f>IF(Tasks[[#This Row],[Task Name]]="","",IF(OR(TakeBaseline="Yes",N(Tasks[[#This Row],[Baseline Start]])=0),Tasks[[#This Row],[Start]],Tasks[[#This Row],[Baseline Start]]))</f>
        <v/>
      </c>
      <c r="BN177" s="61">
        <f>IF(Tasks[[#This Row],[Task Name]]="","",IF(OR(TakeBaseline="Yes",N(Tasks[[#This Row],[Baseline Finish]])=0),Tasks[[#This Row],[Finish]],Tasks[[#This Row],[Baseline Finish]]))</f>
        <v/>
      </c>
      <c r="BO177" s="21">
        <f>IF(Tasks[[#This Row],[Task Name]]="","",IF(OR(TakeBaseline="Yes",N(Tasks[[#This Row],[Baseline Duration]])=0),Tasks[[#This Row],[_SpanDays]],Tasks[[#This Row],[Baseline Duration]]))</f>
        <v/>
      </c>
      <c r="BP177" s="84">
        <f>IF(Tasks[[#This Row],[Task Name]]="","",IF(OR(TakeBaseline="Yes",N(Tasks[[#This Row],[Baseline Work]])=0),Tasks[[#This Row],[Work]],Tasks[[#This Row],[Baseline Work]]))</f>
        <v/>
      </c>
      <c r="BQ177" s="7" t="n"/>
      <c r="BR177" s="7" t="n"/>
      <c r="BS177" s="22" t="n"/>
      <c r="BT177" s="86" t="n"/>
      <c r="BU177" s="23" t="n"/>
      <c r="BV177" s="23" t="n"/>
      <c r="BW177" s="23" t="n"/>
      <c r="BX177" s="87">
        <f>IF(AND(Tasks[[#This Row],[_IsLeaf]]=1,ISNUMBER(Tasks[[#This Row],[Optimistic]]),ISNUMBER(Tasks[[#This Row],[Pessimistic]])),ROUND((Tasks[[#This Row],[Optimistic]]+4*N(Tasks[[#This Row],[_Days]])+Tasks[[#This Row],[Pessimistic]])/6,1),"")</f>
        <v/>
      </c>
      <c r="BY177" s="85" t="n"/>
      <c r="BZ177" s="85" t="n"/>
      <c r="CA177" s="22" t="n"/>
      <c r="CB177" s="42">
        <f>IF(Tasks[[#This Row],[Task Name]]="","",MAX(1,N(Tasks[[#This Row],[Level]])))</f>
        <v/>
      </c>
      <c r="CC177" s="42">
        <f>ROW()-ROW(Tasks[[#Headers],[ID]])</f>
        <v/>
      </c>
      <c r="CD177" s="42">
        <f>IF(OR(Tasks[[#This Row],[Task Name]]="",Tasks[[#This Row],[_Level]]&lt;=1),0,IFERROR(LOOKUP(2,1/(Tasks[[#Headers],[_Level]]:Tasks[[#This Row],[_Level]]=Tasks[[#This Row],[_Level]]-1),ROW(Tasks[[#Headers],[_Level]]:Tasks[[#This Row],[_Level]])),0))</f>
        <v/>
      </c>
      <c r="CE177" s="42">
        <f>IFERROR(N(INDEX(Tasks[_Level],Tasks[[#This Row],[_Row]]+1)),0)</f>
        <v/>
      </c>
      <c r="CF177" s="42">
        <f>AND(Tasks[[#This Row],[Task Name]]&lt;&gt;"",Tasks[[#This Row],[_NextLevel]]&gt;Tasks[[#This Row],[_Level]])</f>
        <v/>
      </c>
      <c r="CG177" s="42">
        <f>IF(Tasks[[#This Row],[_IsSummary]],COUNTIF(Tasks[WBS],Tasks[[#This Row],[WBS]]&amp;".*"),0)</f>
        <v/>
      </c>
      <c r="CH177" s="42">
        <f>IF(AND(Tasks[[#This Row],[Task Name]]&lt;&gt;"",NOT(Tasks[[#This Row],[_IsSummary]])),1,0)</f>
        <v/>
      </c>
      <c r="CI177" s="42">
        <f>IF(N(Tasks[[#This Row],[_Pred1UID]])=0,0,IFERROR(MATCH(Tasks[[#This Row],[_Pred1UID]],Tasks[UID],0),-1))</f>
        <v/>
      </c>
      <c r="CJ177" s="42">
        <f>IF(N(Tasks[[#This Row],[_Pred2UID]])=0,0,IFERROR(MATCH(Tasks[[#This Row],[_Pred2UID]],Tasks[UID],0),-1))</f>
        <v/>
      </c>
      <c r="CK177" s="42">
        <f>IF(N(Tasks[[#This Row],[_Pred3UID]])=0,0,IFERROR(MATCH(Tasks[[#This Row],[_Pred3UID]],Tasks[UID],0),-1))</f>
        <v/>
      </c>
      <c r="CL177" s="42">
        <f>IF(N(Tasks[[#This Row],[_Pred4UID]])=0,0,IFERROR(MATCH(Tasks[[#This Row],[_Pred4UID]],Tasks[UID],0),-1))</f>
        <v/>
      </c>
      <c r="CM17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7" s="88">
        <f>IF(N(Tasks[[#This Row],[Constraint Date]])=0,0,IF(AND(OR(Tasks[[#This Row],[_ConstraintCode]]=3,Tasks[[#This Row],[_ConstraintCode]]=6,Tasks[[#This Row],[_ConstraintCode]]=7),N(Tasks[[#This Row],[_Days]])&gt;1),WORKDAY.INTL(N(Tasks[[#This Row],[Constraint Date]]),-(N(Tasks[[#This Row],[_Days]])-1),WorkWeek,Holidays),N(Tasks[[#This Row],[Constraint Date]])))</f>
        <v/>
      </c>
      <c r="CO177" s="88">
        <f>IF(OR(Tasks[[#This Row],[_ConstraintCode]]=2,Tasks[[#This Row],[_ConstraintCode]]=3,Tasks[[#This Row],[_ConstraintCode]]=4,Tasks[[#This Row],[_ConstraintCode]]=6),Tasks[[#This Row],[_ConstraintStart]],0)</f>
        <v/>
      </c>
      <c r="CP177" s="88">
        <f>IF(OR(Tasks[[#This Row],[_ConstraintCode]]=2,Tasks[[#This Row],[_ConstraintCode]]=3,Tasks[[#This Row],[_ConstraintCode]]=5,Tasks[[#This Row],[_ConstraintCode]]=7),Tasks[[#This Row],[_ConstraintStart]],2958465)</f>
        <v/>
      </c>
      <c r="CQ17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7" s="88">
        <f>IF(NOT(Tasks[[#This Row],[_IsLeaf]]=1),"",IF(N(Tasks[[#This Row],[_Days]])&lt;=0,Tasks[[#This Row],[_LeafCalcStart]],WORKDAY.INTL(Tasks[[#This Row],[_LeafCalcStart]],Tasks[[#This Row],[_Days]]-1,WorkWeek,Holidays)))</f>
        <v/>
      </c>
      <c r="CS17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7" s="42">
        <f>IF(Tasks[[#This Row],[_Predecessors]]="","",TRIM(MID(SUBSTITUTE(SUBSTITUTE(SUBSTITUTE(UPPER(Tasks[[#This Row],[_Predecessors]]),";",",")," ",""),",",REPT(" ",99)),1,99)))</f>
        <v/>
      </c>
      <c r="CV177" s="42">
        <f>IF(Tasks[[#This Row],[_Pred1Text]]="","",IFERROR(VALUE(LEFT(Tasks[[#This Row],[_Pred1Text]],MIN(FIND("F",Tasks[[#This Row],[_Pred1Text]]&amp;"F"),FIND("S",Tasks[[#This Row],[_Pred1Text]]&amp;"S"),FIND("+",Tasks[[#This Row],[_Pred1Text]]&amp;"+"),FIND("-",Tasks[[#This Row],[_Pred1Text]]&amp;"-"))-1)),""))</f>
        <v/>
      </c>
      <c r="CW17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7" s="42">
        <f>IF(Tasks[[#This Row],[_Pred1Text]]="","",TRIM(MID(SUBSTITUTE(SUBSTITUTE(SUBSTITUTE(UPPER(Tasks[[#This Row],[_Predecessors]]),";",",")," ",""),",",REPT(" ",99)),100,99)))</f>
        <v/>
      </c>
      <c r="CZ177" s="42">
        <f>IF(Tasks[[#This Row],[_Pred2Text]]="","",IFERROR(VALUE(LEFT(Tasks[[#This Row],[_Pred2Text]],MIN(FIND("F",Tasks[[#This Row],[_Pred2Text]]&amp;"F"),FIND("S",Tasks[[#This Row],[_Pred2Text]]&amp;"S"),FIND("+",Tasks[[#This Row],[_Pred2Text]]&amp;"+"),FIND("-",Tasks[[#This Row],[_Pred2Text]]&amp;"-"))-1)),""))</f>
        <v/>
      </c>
      <c r="DA17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7" s="42">
        <f>IF(Tasks[[#This Row],[_Pred2Text]]="","",TRIM(MID(SUBSTITUTE(SUBSTITUTE(SUBSTITUTE(UPPER(Tasks[[#This Row],[_Predecessors]]),";",",")," ",""),",",REPT(" ",99)),199,99)))</f>
        <v/>
      </c>
      <c r="DD177" s="42">
        <f>IF(Tasks[[#This Row],[_Pred3Text]]="","",IFERROR(VALUE(LEFT(Tasks[[#This Row],[_Pred3Text]],MIN(FIND("F",Tasks[[#This Row],[_Pred3Text]]&amp;"F"),FIND("S",Tasks[[#This Row],[_Pred3Text]]&amp;"S"),FIND("+",Tasks[[#This Row],[_Pred3Text]]&amp;"+"),FIND("-",Tasks[[#This Row],[_Pred3Text]]&amp;"-"))-1)),""))</f>
        <v/>
      </c>
      <c r="DE17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7" s="42">
        <f>IF(Tasks[[#This Row],[_Pred3Text]]="","",TRIM(MID(SUBSTITUTE(SUBSTITUTE(SUBSTITUTE(UPPER(Tasks[[#This Row],[_Predecessors]]),";",",")," ",""),",",REPT(" ",99)),298,99)))</f>
        <v/>
      </c>
      <c r="DH177" s="42">
        <f>IF(Tasks[[#This Row],[_Pred4Text]]="","",IFERROR(VALUE(LEFT(Tasks[[#This Row],[_Pred4Text]],MIN(FIND("F",Tasks[[#This Row],[_Pred4Text]]&amp;"F"),FIND("S",Tasks[[#This Row],[_Pred4Text]]&amp;"S"),FIND("+",Tasks[[#This Row],[_Pred4Text]]&amp;"+"),FIND("-",Tasks[[#This Row],[_Pred4Text]]&amp;"-"))-1)),""))</f>
        <v/>
      </c>
      <c r="DI17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7" s="42">
        <f>IF(OR(Tasks[[#This Row],[Task Name]]="",Tasks[[#This Row],[_Resources]]=""),"",TRIM(MID(SUBSTITUTE(Tasks[[#This Row],[_Resources]],",",REPT(" ",99)),1,99)))</f>
        <v/>
      </c>
      <c r="DL177" s="42">
        <f>IF(Tasks[[#This Row],[_Res1Text]]="","",TRIM(MID(SUBSTITUTE(Tasks[[#This Row],[_Resources]],",",REPT(" ",99)),100,99)))</f>
        <v/>
      </c>
      <c r="DM177" s="42">
        <f>IF(Tasks[[#This Row],[_Res2Text]]="","",TRIM(MID(SUBSTITUTE(Tasks[[#This Row],[_Resources]],",",REPT(" ",99)),199,99)))</f>
        <v/>
      </c>
      <c r="DN177" s="42">
        <f>IF(Tasks[[#This Row],[_Res3Text]]="","",TRIM(MID(SUBSTITUTE(Tasks[[#This Row],[_Resources]],",",REPT(" ",99)),298,99)))</f>
        <v/>
      </c>
      <c r="DO177" s="42">
        <f>IF(Tasks[[#This Row],[_Res1Text]]="",0,IFERROR(MATCH(TRIM(LEFT(Tasks[[#This Row],[_Res1Text]],FIND("[",Tasks[[#This Row],[_Res1Text]]&amp;"[")-1)),res_Name,0),IFERROR(MATCH(TRIM(LEFT(Tasks[[#This Row],[_Res1Text]],FIND("[",Tasks[[#This Row],[_Res1Text]]&amp;"[")-1)),res_Initials,0),0)))</f>
        <v/>
      </c>
      <c r="DP177" s="42">
        <f>IF(Tasks[[#This Row],[_Res2Text]]="",0,IFERROR(MATCH(TRIM(LEFT(Tasks[[#This Row],[_Res2Text]],FIND("[",Tasks[[#This Row],[_Res2Text]]&amp;"[")-1)),res_Name,0),IFERROR(MATCH(TRIM(LEFT(Tasks[[#This Row],[_Res2Text]],FIND("[",Tasks[[#This Row],[_Res2Text]]&amp;"[")-1)),res_Initials,0),0)))</f>
        <v/>
      </c>
      <c r="DQ177" s="42">
        <f>IF(Tasks[[#This Row],[_Res3Text]]="",0,IFERROR(MATCH(TRIM(LEFT(Tasks[[#This Row],[_Res3Text]],FIND("[",Tasks[[#This Row],[_Res3Text]]&amp;"[")-1)),res_Name,0),IFERROR(MATCH(TRIM(LEFT(Tasks[[#This Row],[_Res3Text]],FIND("[",Tasks[[#This Row],[_Res3Text]]&amp;"[")-1)),res_Initials,0),0)))</f>
        <v/>
      </c>
      <c r="DR177" s="42">
        <f>IF(Tasks[[#This Row],[_Res4Text]]="",0,IFERROR(MATCH(TRIM(LEFT(Tasks[[#This Row],[_Res4Text]],FIND("[",Tasks[[#This Row],[_Res4Text]]&amp;"[")-1)),res_Name,0),IFERROR(MATCH(TRIM(LEFT(Tasks[[#This Row],[_Res4Text]],FIND("[",Tasks[[#This Row],[_Res4Text]]&amp;"[")-1)),res_Initials,0),0)))</f>
        <v/>
      </c>
      <c r="DS177" s="42">
        <f>IF(Tasks[[#This Row],[_Res1Text]]="","",IF(Tasks[[#This Row],[_Res1Row]]&gt;0,INDEX(res_Name,Tasks[[#This Row],[_Res1Row]]),TRIM(LEFT(Tasks[[#This Row],[_Res1Text]],FIND("[",Tasks[[#This Row],[_Res1Text]]&amp;"[")-1))))</f>
        <v/>
      </c>
      <c r="DT17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7" s="42">
        <f>IF(NOT(Tasks[[#This Row],[_IsLeaf]]=1),0,(Tasks[[#This Row],[_Resource1]]&lt;&gt;"")+(Tasks[[#This Row],[_Res2]]&lt;&gt;"")+(Tasks[[#This Row],[_Res3]]&lt;&gt;"")+(Tasks[[#This Row],[_Res4]]&lt;&gt;""))</f>
        <v/>
      </c>
      <c r="DV177" s="42">
        <f>IF(Tasks[[#This Row],[_Res2Text]]="","",IF(Tasks[[#This Row],[_Res2Row]]&gt;0,INDEX(res_Name,Tasks[[#This Row],[_Res2Row]]),TRIM(LEFT(Tasks[[#This Row],[_Res2Text]],FIND("[",Tasks[[#This Row],[_Res2Text]]&amp;"[")-1))))</f>
        <v/>
      </c>
      <c r="DW17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7" s="42">
        <f>IF(OR(NOT(Tasks[[#This Row],[_IsLeaf]]=1),Tasks[[#This Row],[_Res2Row]]=0),0,N(Tasks[[#This Row],[_Days]])*HoursPerDay*IF(Tasks[[#This Row],[_Res2Units]]="",DefaultUnits,Tasks[[#This Row],[_Res2Units]]))</f>
        <v/>
      </c>
      <c r="DY177" s="42">
        <f>IF(AND(AND(Tasks[[#This Row],[_IsLeaf]]=1,Tasks[[#This Row],[_LeafTotalWork]]&gt;0),Tasks[[#This Row],[_Res2Work]]&gt;0),Tasks[[#This Row],[_Res2Work]]/(Tasks[[#This Row],[_FinishWorkday]]-Tasks[[#This Row],[_StartWorkday]]+1),0)</f>
        <v/>
      </c>
      <c r="DZ177" s="42">
        <f>Tasks[[#This Row],[_Res2WorkPerWD]]*MAX(0,Tasks[[#This Row],[_StartWorkday]]-1)</f>
        <v/>
      </c>
      <c r="EA177" s="42">
        <f>Tasks[[#This Row],[_Res2Work]]*Tasks[[#This Row],[_LeafProgress]]</f>
        <v/>
      </c>
      <c r="EB177" s="42">
        <f>IF(Tasks[[#This Row],[_Res3Text]]="","",IF(Tasks[[#This Row],[_Res3Row]]&gt;0,INDEX(res_Name,Tasks[[#This Row],[_Res3Row]]),TRIM(LEFT(Tasks[[#This Row],[_Res3Text]],FIND("[",Tasks[[#This Row],[_Res3Text]]&amp;"[")-1))))</f>
        <v/>
      </c>
      <c r="EC17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7" s="42">
        <f>IF(OR(NOT(Tasks[[#This Row],[_IsLeaf]]=1),Tasks[[#This Row],[_Res3Row]]=0),0,N(Tasks[[#This Row],[_Days]])*HoursPerDay*IF(Tasks[[#This Row],[_Res3Units]]="",DefaultUnits,Tasks[[#This Row],[_Res3Units]]))</f>
        <v/>
      </c>
      <c r="EE177" s="42">
        <f>IF(AND(AND(Tasks[[#This Row],[_IsLeaf]]=1,Tasks[[#This Row],[_LeafTotalWork]]&gt;0),Tasks[[#This Row],[_Res3Work]]&gt;0),Tasks[[#This Row],[_Res3Work]]/(Tasks[[#This Row],[_FinishWorkday]]-Tasks[[#This Row],[_StartWorkday]]+1),0)</f>
        <v/>
      </c>
      <c r="EF177" s="42">
        <f>Tasks[[#This Row],[_Res3WorkPerWD]]*MAX(0,Tasks[[#This Row],[_StartWorkday]]-1)</f>
        <v/>
      </c>
      <c r="EG177" s="42">
        <f>Tasks[[#This Row],[_Res3Work]]*Tasks[[#This Row],[_LeafProgress]]</f>
        <v/>
      </c>
      <c r="EH177" s="42">
        <f>IF(Tasks[[#This Row],[_Res4Text]]="","",IF(Tasks[[#This Row],[_Res4Row]]&gt;0,INDEX(res_Name,Tasks[[#This Row],[_Res4Row]]),TRIM(LEFT(Tasks[[#This Row],[_Res4Text]],FIND("[",Tasks[[#This Row],[_Res4Text]]&amp;"[")-1))))</f>
        <v/>
      </c>
      <c r="EI17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7" s="42">
        <f>IF(OR(NOT(Tasks[[#This Row],[_IsLeaf]]=1),Tasks[[#This Row],[_Res4Row]]=0),0,N(Tasks[[#This Row],[_Days]])*HoursPerDay*IF(Tasks[[#This Row],[_Res4Units]]="",DefaultUnits,Tasks[[#This Row],[_Res4Units]]))</f>
        <v/>
      </c>
      <c r="EK177" s="42">
        <f>IF(AND(AND(Tasks[[#This Row],[_IsLeaf]]=1,Tasks[[#This Row],[_LeafTotalWork]]&gt;0),Tasks[[#This Row],[_Res4Work]]&gt;0),Tasks[[#This Row],[_Res4Work]]/(Tasks[[#This Row],[_FinishWorkday]]-Tasks[[#This Row],[_StartWorkday]]+1),0)</f>
        <v/>
      </c>
      <c r="EL177" s="42">
        <f>Tasks[[#This Row],[_Res4WorkPerWD]]*MAX(0,Tasks[[#This Row],[_StartWorkday]]-1)</f>
        <v/>
      </c>
      <c r="EM177" s="42">
        <f>Tasks[[#This Row],[_Res4Work]]*Tasks[[#This Row],[_LeafProgress]]</f>
        <v/>
      </c>
      <c r="EN177" s="42">
        <f>IF(ISNUMBER(Tasks[[#This Row],[% Complete]]),Tasks[[#This Row],[% Complete]],IF(Tasks[[#This Row],[Stage]]="",0,IFERROR(INDEX(stg_Pct,MATCH(Tasks[[#This Row],[Stage]],stg_Name,0)),0)))</f>
        <v/>
      </c>
      <c r="EO177" s="42">
        <f>IF(NOT(Tasks[[#This Row],[_IsLeaf]]=1),0,IF(N(Tasks[[#This Row],[Actual Finish]])&gt;0,1,MIN(1,Tasks[[#This Row],[_Pct]])))</f>
        <v/>
      </c>
      <c r="EP177" s="42">
        <f>IF(OR(NOT(Tasks[[#This Row],[_IsLeaf]]=1),Tasks[[#This Row],[_Res1Row]]=0),0,N(Tasks[[#This Row],[_Days]])*HoursPerDay*IF(Tasks[[#This Row],[_Units1]]="",DefaultUnits,Tasks[[#This Row],[_Units1]]))</f>
        <v/>
      </c>
      <c r="EQ177" s="42">
        <f>Tasks[[#This Row],[_LeafWork]]+Tasks[[#This Row],[_Res2Work]]+Tasks[[#This Row],[_Res3Work]]+Tasks[[#This Row],[_Res4Work]]</f>
        <v/>
      </c>
      <c r="ER17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7" s="42">
        <f>IF(NOT(Tasks[[#This Row],[_IsLeaf]]=1),0,MAX(_xlfn.MAXIFS(Tasks[_Row],Tasks[_Pred1UID],Tasks[[#This Row],[UID]]),_xlfn.MAXIFS(Tasks[_Row],Tasks[_Pred2UID],Tasks[[#This Row],[UID]]),_xlfn.MAXIFS(Tasks[_Row],Tasks[_Pred3UID],Tasks[[#This Row],[UID]]),_xlfn.MAXIFS(Tasks[_Row],Tasks[_Pred4UID],Tasks[[#This Row],[UID]])))</f>
        <v/>
      </c>
      <c r="FA17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7" s="88">
        <f>IF(NOT(Tasks[[#This Row],[_IsLeaf]]=1),"",IF(N(Tasks[[#This Row],[_Days]])&lt;=0,Tasks[[#This Row],[_LeafLateFinish]],WORKDAY.INTL(Tasks[[#This Row],[_LeafLateFinish]],-(Tasks[[#This Row],[_Days]]-1),WorkWeek,Holidays)))</f>
        <v/>
      </c>
      <c r="FD17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7" s="42">
        <f>AND(Tasks[[#This Row],[_IsLeaf]]=1,Tasks[[#This Row],[_LeafProgress]]&lt;1,N(Tasks[[#This Row],[_LeafTotalSlack]])&lt;=CriticalSlackDays)</f>
        <v/>
      </c>
      <c r="FF177" s="42">
        <f>IF(AND(Tasks[[#This Row],[_IsLeaf]]=1,Tasks[[#This Row],[_ConstraintCode]]=1,Tasks[[#This Row],[Mode]]&lt;&gt;"Manual",N(Tasks[[#This Row],[Actual Start]])=0),MAX(0,N(Tasks[[#This Row],[Free Slack]])),0)</f>
        <v/>
      </c>
      <c r="FG177" s="88">
        <f>IF(NOT(Tasks[[#This Row],[_IsLeaf]]=1),"",IF(Tasks[[#This Row],[_AlapShift]]=0,Tasks[[#This Row],[_LeafCalcStart]],WORKDAY.INTL(Tasks[[#This Row],[_LeafCalcStart]],Tasks[[#This Row],[_AlapShift]],WorkWeek,Holidays)))</f>
        <v/>
      </c>
      <c r="FH177" s="88">
        <f>IF(NOT(Tasks[[#This Row],[_IsLeaf]]=1),"",IF(Tasks[[#This Row],[_AlapShift]]=0,Tasks[[#This Row],[_LeafCalcFinish]],WORKDAY.INTL(Tasks[[#This Row],[_LeafCalcFinish]],Tasks[[#This Row],[_AlapShift]],WorkWeek,Holidays)))</f>
        <v/>
      </c>
      <c r="FI177" s="88">
        <f>IF(NOT(Tasks[[#This Row],[_IsLeaf]]=1),"",IF(Tasks[[#This Row],[_AlapShift]]=0,Tasks[[#This Row],[_LeafFcstStart]],WORKDAY.INTL(Tasks[[#This Row],[_LeafFcstStart]],Tasks[[#This Row],[_AlapShift]],WorkWeek,Holidays)))</f>
        <v/>
      </c>
      <c r="FJ177" s="88">
        <f>IF(NOT(Tasks[[#This Row],[_IsLeaf]]=1),"",IF(Tasks[[#This Row],[_AlapShift]]=0,Tasks[[#This Row],[_LeafFcstFinish]],WORKDAY.INTL(Tasks[[#This Row],[_LeafFcstFinish]],Tasks[[#This Row],[_AlapShift]],WorkWeek,Holidays)))</f>
        <v/>
      </c>
      <c r="FK177" s="88">
        <f>IF(Tasks[[#This Row],[Task Name]]="","",IF(Tasks[[#This Row],[_IsSummary]],MIN(INDEX(Tasks[_ShownCalcStart],Tasks[[#This Row],[_Row]]+1):INDEX(Tasks[_ShownCalcStart],Tasks[[#This Row],[_Row]]+Tasks[[#This Row],[_Descendants]])),Tasks[[#This Row],[_ShownCalcStart]]))</f>
        <v/>
      </c>
      <c r="FL177" s="88">
        <f>IF(Tasks[[#This Row],[Task Name]]="","",IF(Tasks[[#This Row],[_IsSummary]],MAX(INDEX(Tasks[_ShownCalcFinish],Tasks[[#This Row],[_Row]]+1):INDEX(Tasks[_ShownCalcFinish],Tasks[[#This Row],[_Row]]+Tasks[[#This Row],[_Descendants]])),Tasks[[#This Row],[_ShownCalcFinish]]))</f>
        <v/>
      </c>
      <c r="FM17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7" s="42">
        <f>IF(AND(Tasks[[#This Row],[_IsLeaf]]=1,Tasks[[#This Row],[_LeafTotalWork]]&gt;0),NETWORKDAYS.INTL(ProjectStart,Tasks[[#This Row],[_ShownFcstStart]],WorkWeek,Holidays),0)</f>
        <v/>
      </c>
      <c r="FZ177" s="42">
        <f>IF(AND(Tasks[[#This Row],[_IsLeaf]]=1,Tasks[[#This Row],[_LeafTotalWork]]&gt;0),MAX(Tasks[[#This Row],[_StartWorkday]],NETWORKDAYS.INTL(ProjectStart,Tasks[[#This Row],[_ShownFcstFinish]],WorkWeek,Holidays)),0)</f>
        <v/>
      </c>
      <c r="GA177" s="42">
        <f>IF(AND(Tasks[[#This Row],[_IsLeaf]]=1,Tasks[[#This Row],[_LeafTotalWork]]&gt;0),Tasks[[#This Row],[_LeafWork]]/(Tasks[[#This Row],[_FinishWorkday]]-Tasks[[#This Row],[_StartWorkday]]+1),0)</f>
        <v/>
      </c>
      <c r="GB177" s="42">
        <f>Tasks[[#This Row],[_WorkPerWorkday]]*(Tasks[[#This Row],[_StartWorkday]]-1)</f>
        <v/>
      </c>
      <c r="GC177" s="42">
        <f>IF(Tasks[[#This Row],[_IsLeaf]]=1,MAX(N(Tasks[[#This Row],[_Days]]),0.1),0)</f>
        <v/>
      </c>
      <c r="GD177" s="42">
        <f>Tasks[[#This Row],[_WeightDur]]*Tasks[[#This Row],[_LeafProgress]]</f>
        <v/>
      </c>
      <c r="GE177" s="42">
        <f>Tasks[[#This Row],[_WeightDur]]*Tasks[[#This Row],[_PlannedPct]]</f>
        <v/>
      </c>
      <c r="GF17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7" s="42">
        <f>IF(AND(Tasks[[#This Row],[_IsLeaf]]=1,N(Tasks[[#This Row],[_Days]])=0,Tasks[[#This Row],[_LeafProgress]]&lt;1),Tasks[[#This Row],[_ShownFcstFinish]]+Tasks[[#This Row],[_Row]]/100000,"")</f>
        <v/>
      </c>
      <c r="GH17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7" s="42">
        <f>IF(Tasks[[#This Row],[Task Name]]="","",LEFT(Tasks[[#This Row],[WBS]],FIND(".",Tasks[[#This Row],[WBS]]&amp;".")-1))</f>
        <v/>
      </c>
      <c r="GJ177" s="42">
        <f>IF(AND(Tasks[[#This Row],[Task Name]]&lt;&gt;"",Tasks[[#This Row],[_Level]]=1),Tasks[[#This Row],[_Row]],"")</f>
        <v/>
      </c>
      <c r="GK177" s="42">
        <f>IF(AND(Tasks[[#This Row],[_IsLeaf]]=1,N(Tasks[[#This Row],[_Days]])=0),Tasks[[#This Row],[Planned Finish]]+Tasks[[#This Row],[_Row]]/100000,"")</f>
        <v/>
      </c>
      <c r="GL177" s="42">
        <f>IF(AND(Tasks[[#This Row],[_IsLeaf]]=1,Tasks[[#This Row],[_LeafProgress]]&lt;1,OR(N(Tasks[[#This Row],[Finish Var]])&gt;0,Tasks[[#This Row],[Status]]="Late Start")),MAX(0,Tasks[[#This Row],[Finish Var]])+1-Tasks[[#This Row],[_Row]]/1000000,"")</f>
        <v/>
      </c>
      <c r="GM177" s="42">
        <f>IF(AND(Tasks[[#This Row],[_IsLeaf]]=1,N(Tasks[[#This Row],[Actual Start]])=0,Tasks[[#This Row],[_ShownFcstStart]]&gt;=StatusDate,Tasks[[#This Row],[_ShownFcstStart]]&lt;=LookaheadEnd),Tasks[[#This Row],[_ShownFcstStart]]+Tasks[[#This Row],[_Row]]/100000,"")</f>
        <v/>
      </c>
      <c r="GN177" s="42">
        <f>IF(AND(Tasks[[#This Row],[_IsLeaf]]=1,Tasks[[#This Row],[_LeafProgress]]&lt;1,Tasks[[#This Row],[_ShownFcstFinish]]&gt;=StatusDate,Tasks[[#This Row],[_ShownFcstFinish]]&lt;=LookaheadEnd),Tasks[[#This Row],[_ShownFcstFinish]]+Tasks[[#This Row],[_Row]]/100000,"")</f>
        <v/>
      </c>
      <c r="GO177" s="42">
        <f>IF(Tasks[[#This Row],[_LeafCritical]],Tasks[[#This Row],[_ShownFcstStart]]+Tasks[[#This Row],[_Row]]/100000,"")</f>
        <v/>
      </c>
      <c r="GP177" s="42">
        <f>Tasks[[#This Row],[_LeafWork]]*Tasks[[#This Row],[_LeafProgress]]</f>
        <v/>
      </c>
      <c r="GQ177" s="88">
        <f>IF(AND(Tasks[[#This Row],[_IsLeaf]]=1,Tasks[[#This Row],[_LeafProgress]]&gt;=1),IF(N(Tasks[[#This Row],[Actual Finish]])&gt;0,Tasks[[#This Row],[Actual Finish]],Tasks[[#This Row],[_ShownFcstFinish]]),"")</f>
        <v/>
      </c>
      <c r="GR177" s="42">
        <f>IF(Tasks[[#This Row],[_IsLeaf]]=1,N(Tasks[[#This Row],[Story Points]]),0)</f>
        <v/>
      </c>
      <c r="GS177" s="42">
        <f>""</f>
        <v/>
      </c>
      <c r="GT177" s="42">
        <f>IF(Tasks[[#This Row],[Task Name]]="",FALSE(),AND(Tasks[[#This Row],[_IsLeaf]]=1,N(Tasks[[#This Row],[_Days]])=0))</f>
        <v/>
      </c>
      <c r="GU177" s="88">
        <f>IF(Tasks[[#This Row],[Task Name]]="",0,IF(AND(Tasks[[#This Row],[_IsLeaf]]=1,NOT(Tasks[[#This Row],[_IsMilestone]]),N(Tasks[[#This Row],[Progress]])&gt;0),Tasks[[#This Row],[Start]],0))</f>
        <v/>
      </c>
      <c r="GV177" s="88">
        <f>IF(Tasks[[#This Row],[_DoneFrom]]=0,0,IF(Tasks[[#This Row],[Progress]]&gt;=1,Tasks[[#This Row],[Finish]],MAX(Tasks[[#This Row],[_DoneFrom]],Tasks[[#This Row],[Start]]+ROUND((Tasks[[#This Row],[Finish]]-Tasks[[#This Row],[Start]]+1)*Tasks[[#This Row],[Progress]],0)-1)))</f>
        <v/>
      </c>
      <c r="GW177" s="88">
        <f>IF(Tasks[[#This Row],[Task Name]]="",0,IF(OR(NOT(Tasks[[#This Row],[_IsLeaf]]=1),Tasks[[#This Row],[_IsMilestone]],N(Tasks[[#This Row],[Progress]])&gt;=1),0,IF(Tasks[[#This Row],[_DoneTo]]&gt;0,Tasks[[#This Row],[_DoneTo]]+1,Tasks[[#This Row],[Start]])))</f>
        <v/>
      </c>
      <c r="GX177" s="88">
        <f>IF(Tasks[[#This Row],[_RemFrom]]=0,0,Tasks[[#This Row],[Finish]])</f>
        <v/>
      </c>
      <c r="GY177" s="42">
        <f>IF(Tasks[[#This Row],[Task Name]]="",FALSE(),OR(NOT(BaselineSet),N(Tasks[[#This Row],[Baseline Start]])&gt;0))</f>
        <v/>
      </c>
      <c r="GZ177" s="42">
        <f>IF(AND(Sandbox="Yes",L_PARSE_DURATION(Tasks[[#This Row],[Sandbox Duration]])&lt;&gt;""),L_PARSE_DURATION(Tasks[[#This Row],[Sandbox Duration]]),L_PARSE_DURATION(Tasks[[#This Row],[Duration]]))</f>
        <v/>
      </c>
      <c r="HA17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7" s="42">
        <f>IF(Tasks[[#This Row],[_IsLeaf]]=1,Tasks[[#This Row],[_Row]],"")</f>
        <v/>
      </c>
      <c r="HD177" s="42">
        <f>IFERROR(INDEX(Tasks[UID],SMALL(Tasks[_PickKey],Tasks[[#This Row],[_Row]]))&amp;" "&amp;INDEX(Tasks[Task Name],SMALL(Tasks[_PickKey],Tasks[[#This Row],[_Row]])),"")</f>
        <v/>
      </c>
      <c r="HE177" s="42">
        <f>IF(Tasks[[#This Row],[Task Name]]="","",IF(Tasks[[#This Row],[_IsSummary]],NETWORKDAYS.INTL(Tasks[[#This Row],[Start]],Tasks[[#This Row],[Finish]],WorkWeek,Holidays),N(Tasks[[#This Row],[_Days]])))</f>
        <v/>
      </c>
      <c r="HF177" s="42">
        <f>IF(Tasks[[#This Row],[Expected]]="",0,((Tasks[[#This Row],[Pessimistic]]-Tasks[[#This Row],[Optimistic]])/6)^2)</f>
        <v/>
      </c>
      <c r="HG177" s="42">
        <f>IF(Tasks[[#This Row],[Expected]]="",0,Tasks[[#This Row],[Expected]]-N(Tasks[[#This Row],[_Days]]))</f>
        <v/>
      </c>
    </row>
    <row r="178">
      <c r="A178" s="21">
        <f>IF(Tasks[[#This Row],[Task Name]]="","",COUNTA(Tasks[[#Headers],[Task Name]]:Tasks[[#This Row],[Task Name]])-1)</f>
        <v/>
      </c>
      <c r="B178" s="22" t="n">
        <v>186</v>
      </c>
      <c r="C178" s="22" t="n"/>
      <c r="D178" s="23" t="n"/>
      <c r="E178" s="22" t="n"/>
      <c r="F178" s="23" t="n"/>
      <c r="G178" s="22" t="n"/>
      <c r="H178" s="22" t="n"/>
      <c r="I178" s="23" t="n"/>
      <c r="J178" s="22" t="n"/>
      <c r="K178" s="22" t="n"/>
      <c r="L178" s="23" t="n"/>
      <c r="M178" s="22" t="n"/>
      <c r="N178" s="22" t="n"/>
      <c r="O178" s="23" t="n"/>
      <c r="P178" s="22" t="n"/>
      <c r="Q178" s="22" t="n"/>
      <c r="R178" s="23" t="n"/>
      <c r="S178" s="23" t="n"/>
      <c r="T178" s="82" t="n"/>
      <c r="U178" s="23" t="n"/>
      <c r="V178" s="82" t="n"/>
      <c r="W178" s="23" t="n"/>
      <c r="X178" s="82" t="n"/>
      <c r="Y178" s="23" t="n"/>
      <c r="Z178" s="82" t="n"/>
      <c r="AA178" s="23" t="n"/>
      <c r="AB178" s="23" t="n"/>
      <c r="AC178" s="7" t="n"/>
      <c r="AD178" s="7" t="n"/>
      <c r="AE178" s="61">
        <f>IF(Tasks[[#This Row],[Task Name]]="","",IF(Tasks[[#This Row],[_IsSummary]],MIN(INDEX(Tasks[_ShownFcstStart],Tasks[[#This Row],[_Row]]+1):INDEX(Tasks[_ShownFcstStart],Tasks[[#This Row],[_Row]]+Tasks[[#This Row],[_Descendants]])),Tasks[[#This Row],[_ShownFcstStart]]))</f>
        <v/>
      </c>
      <c r="AF178" s="61">
        <f>IF(Tasks[[#This Row],[Task Name]]="","",IF(Tasks[[#This Row],[_IsSummary]],MAX(INDEX(Tasks[_ShownFcstFinish],Tasks[[#This Row],[_Row]]+1):INDEX(Tasks[_ShownFcstFinish],Tasks[[#This Row],[_Row]]+Tasks[[#This Row],[_Descendants]])),Tasks[[#This Row],[_ShownFcstFinish]]))</f>
        <v/>
      </c>
      <c r="AG178" s="21">
        <f>""</f>
        <v/>
      </c>
      <c r="AH178" s="23" t="n"/>
      <c r="AI17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8" s="7" t="n"/>
      <c r="AK178" s="22" t="n"/>
      <c r="AL178" s="23" t="n"/>
      <c r="AM178" s="7" t="n"/>
      <c r="AN178" s="21">
        <f>IF(Tasks[[#This Row],[Task Name]]="","",IF(Tasks[[#This Row],[Finish]]&gt;=Tasks[[#This Row],[Planned Finish]],NETWORKDAYS.INTL(Tasks[[#This Row],[Planned Finish]],Tasks[[#This Row],[Finish]],WorkWeek,Holidays)-1,1-NETWORKDAYS.INTL(Tasks[[#This Row],[Finish]],Tasks[[#This Row],[Planned Finish]],WorkWeek,Holidays)))</f>
        <v/>
      </c>
      <c r="AO178" s="21">
        <f>IF(Tasks[[#This Row],[Task Name]]="","",IF(Tasks[[#This Row],[Progress]]&gt;=1,"Complete",IF(OR(N(Tasks[[#This Row],[Actual Start]])&gt;0,Tasks[[#This Row],[Progress]]&gt;0),IF(Tasks[[#This Row],[Finish Var]]&gt;0,"Behind","In Progress"),IF(Tasks[[#This Row],[Planned Start]]&lt;StatusDate,"Late Start","Not Started"))))</f>
        <v/>
      </c>
      <c r="AP178" s="21">
        <f>IF(Tasks[[#This Row],[Task Name]]="","",IF(IF(Tasks[[#This Row],[_IsSummary]],COUNTIF(INDEX(Tasks[_LeafCritical],Tasks[[#This Row],[_Row]]+1):INDEX(Tasks[_LeafCritical],Tasks[[#This Row],[_Row]]+Tasks[[#This Row],[_Descendants]]),TRUE())&gt;0,Tasks[[#This Row],[_LeafCritical]]),"Yes",""))</f>
        <v/>
      </c>
      <c r="AQ178" s="61">
        <f>IF(Tasks[[#This Row],[Task Name]]="","",IF(N(Tasks[[#This Row],[Baseline Start]])&gt;0,Tasks[[#This Row],[Baseline Start]],Tasks[[#This Row],[_CalcStart]]))</f>
        <v/>
      </c>
      <c r="AR178" s="61">
        <f>IF(Tasks[[#This Row],[Task Name]]="","",IF(N(Tasks[[#This Row],[Baseline Finish]])&gt;0,Tasks[[#This Row],[Baseline Finish]],Tasks[[#This Row],[_CalcFinish]]))</f>
        <v/>
      </c>
      <c r="AS178" s="21">
        <f>IF(Tasks[[#This Row],[Task Name]]="","",IF(Tasks[[#This Row],[Start]]&gt;=Tasks[[#This Row],[Planned Start]],NETWORKDAYS.INTL(Tasks[[#This Row],[Planned Start]],Tasks[[#This Row],[Start]],WorkWeek,Holidays)-1,1-NETWORKDAYS.INTL(Tasks[[#This Row],[Start]],Tasks[[#This Row],[Planned Start]],WorkWeek,Holidays)))</f>
        <v/>
      </c>
      <c r="AT178" s="61">
        <f>IF(Tasks[[#This Row],[Task Name]]="","",IF(Tasks[[#This Row],[_IsSummary]],MIN(INDEX(Tasks[_LeafLateStart],Tasks[[#This Row],[_Row]]+1):INDEX(Tasks[_LeafLateStart],Tasks[[#This Row],[_Row]]+Tasks[[#This Row],[_Descendants]])),Tasks[[#This Row],[_LeafLateStart]]))</f>
        <v/>
      </c>
      <c r="AU178" s="61">
        <f>IF(Tasks[[#This Row],[Task Name]]="","",IF(Tasks[[#This Row],[_IsSummary]],MAX(INDEX(Tasks[_LeafLateFinish],Tasks[[#This Row],[_Row]]+1):INDEX(Tasks[_LeafLateFinish],Tasks[[#This Row],[_Row]]+Tasks[[#This Row],[_Descendants]])),Tasks[[#This Row],[_LeafLateFinish]]))</f>
        <v/>
      </c>
      <c r="AV178" s="21">
        <f>IF(Tasks[[#This Row],[Task Name]]="","",IF(Tasks[[#This Row],[_IsSummary]],MIN(INDEX(Tasks[_LeafTotalSlack],Tasks[[#This Row],[_Row]]+1):INDEX(Tasks[_LeafTotalSlack],Tasks[[#This Row],[_Row]]+Tasks[[#This Row],[_Descendants]])),Tasks[[#This Row],[_LeafTotalSlack]]))</f>
        <v/>
      </c>
      <c r="AW17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3" t="n"/>
      <c r="BA17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f>IF(Tasks[[#This Row],[Task Name]]="","",IF(Tasks[[#This Row],[_Level]]&lt;=OutlineShowLevel,"Yes","No"))</f>
        <v/>
      </c>
      <c r="BE178" s="84">
        <f>IF(Tasks[[#This Row],[Task Name]]="","",IF(Tasks[[#This Row],[_IsSummary]],SUM(INDEX(Tasks[_LeafTotalWork],Tasks[[#This Row],[_Row]]+1):INDEX(Tasks[_LeafTotalWork],Tasks[[#This Row],[_Row]]+Tasks[[#This Row],[_Descendants]])),Tasks[[#This Row],[_LeafTotalWork]]))</f>
        <v/>
      </c>
      <c r="BF178" s="23" t="n"/>
      <c r="BG17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f>""</f>
        <v/>
      </c>
      <c r="BI178" s="85" t="n"/>
      <c r="BJ178" s="22" t="n"/>
      <c r="BK178" s="21">
        <f>IF(OR(Tasks[[#This Row],[Task Name]]="",Tasks[[#This Row],[Baseline Duration]]=""),"",Tasks[[#This Row],[_SpanDays]]-N(Tasks[[#This Row],[Baseline Duration]]))</f>
        <v/>
      </c>
      <c r="BL178" s="84">
        <f>IF(OR(Tasks[[#This Row],[Task Name]]="",Tasks[[#This Row],[Baseline Work]]=""),"",Tasks[[#This Row],[Work]]-N(Tasks[[#This Row],[Baseline Work]]))</f>
        <v/>
      </c>
      <c r="BM178" s="61">
        <f>IF(Tasks[[#This Row],[Task Name]]="","",IF(OR(TakeBaseline="Yes",N(Tasks[[#This Row],[Baseline Start]])=0),Tasks[[#This Row],[Start]],Tasks[[#This Row],[Baseline Start]]))</f>
        <v/>
      </c>
      <c r="BN178" s="61">
        <f>IF(Tasks[[#This Row],[Task Name]]="","",IF(OR(TakeBaseline="Yes",N(Tasks[[#This Row],[Baseline Finish]])=0),Tasks[[#This Row],[Finish]],Tasks[[#This Row],[Baseline Finish]]))</f>
        <v/>
      </c>
      <c r="BO178" s="21">
        <f>IF(Tasks[[#This Row],[Task Name]]="","",IF(OR(TakeBaseline="Yes",N(Tasks[[#This Row],[Baseline Duration]])=0),Tasks[[#This Row],[_SpanDays]],Tasks[[#This Row],[Baseline Duration]]))</f>
        <v/>
      </c>
      <c r="BP178" s="84">
        <f>IF(Tasks[[#This Row],[Task Name]]="","",IF(OR(TakeBaseline="Yes",N(Tasks[[#This Row],[Baseline Work]])=0),Tasks[[#This Row],[Work]],Tasks[[#This Row],[Baseline Work]]))</f>
        <v/>
      </c>
      <c r="BQ178" s="7" t="n"/>
      <c r="BR178" s="7" t="n"/>
      <c r="BS178" s="22" t="n"/>
      <c r="BT178" s="86" t="n"/>
      <c r="BU178" s="23" t="n"/>
      <c r="BV178" s="23" t="n"/>
      <c r="BW178" s="23" t="n"/>
      <c r="BX178" s="87">
        <f>IF(AND(Tasks[[#This Row],[_IsLeaf]]=1,ISNUMBER(Tasks[[#This Row],[Optimistic]]),ISNUMBER(Tasks[[#This Row],[Pessimistic]])),ROUND((Tasks[[#This Row],[Optimistic]]+4*N(Tasks[[#This Row],[_Days]])+Tasks[[#This Row],[Pessimistic]])/6,1),"")</f>
        <v/>
      </c>
      <c r="BY178" s="85" t="n"/>
      <c r="BZ178" s="85" t="n"/>
      <c r="CA178" s="22" t="n"/>
      <c r="CB178" s="42">
        <f>IF(Tasks[[#This Row],[Task Name]]="","",MAX(1,N(Tasks[[#This Row],[Level]])))</f>
        <v/>
      </c>
      <c r="CC178" s="42">
        <f>ROW()-ROW(Tasks[[#Headers],[ID]])</f>
        <v/>
      </c>
      <c r="CD178" s="42">
        <f>IF(OR(Tasks[[#This Row],[Task Name]]="",Tasks[[#This Row],[_Level]]&lt;=1),0,IFERROR(LOOKUP(2,1/(Tasks[[#Headers],[_Level]]:Tasks[[#This Row],[_Level]]=Tasks[[#This Row],[_Level]]-1),ROW(Tasks[[#Headers],[_Level]]:Tasks[[#This Row],[_Level]])),0))</f>
        <v/>
      </c>
      <c r="CE178" s="42">
        <f>IFERROR(N(INDEX(Tasks[_Level],Tasks[[#This Row],[_Row]]+1)),0)</f>
        <v/>
      </c>
      <c r="CF178" s="42">
        <f>AND(Tasks[[#This Row],[Task Name]]&lt;&gt;"",Tasks[[#This Row],[_NextLevel]]&gt;Tasks[[#This Row],[_Level]])</f>
        <v/>
      </c>
      <c r="CG178" s="42">
        <f>IF(Tasks[[#This Row],[_IsSummary]],COUNTIF(Tasks[WBS],Tasks[[#This Row],[WBS]]&amp;".*"),0)</f>
        <v/>
      </c>
      <c r="CH178" s="42">
        <f>IF(AND(Tasks[[#This Row],[Task Name]]&lt;&gt;"",NOT(Tasks[[#This Row],[_IsSummary]])),1,0)</f>
        <v/>
      </c>
      <c r="CI178" s="42">
        <f>IF(N(Tasks[[#This Row],[_Pred1UID]])=0,0,IFERROR(MATCH(Tasks[[#This Row],[_Pred1UID]],Tasks[UID],0),-1))</f>
        <v/>
      </c>
      <c r="CJ178" s="42">
        <f>IF(N(Tasks[[#This Row],[_Pred2UID]])=0,0,IFERROR(MATCH(Tasks[[#This Row],[_Pred2UID]],Tasks[UID],0),-1))</f>
        <v/>
      </c>
      <c r="CK178" s="42">
        <f>IF(N(Tasks[[#This Row],[_Pred3UID]])=0,0,IFERROR(MATCH(Tasks[[#This Row],[_Pred3UID]],Tasks[UID],0),-1))</f>
        <v/>
      </c>
      <c r="CL178" s="42">
        <f>IF(N(Tasks[[#This Row],[_Pred4UID]])=0,0,IFERROR(MATCH(Tasks[[#This Row],[_Pred4UID]],Tasks[UID],0),-1))</f>
        <v/>
      </c>
      <c r="CM17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8" s="88">
        <f>IF(N(Tasks[[#This Row],[Constraint Date]])=0,0,IF(AND(OR(Tasks[[#This Row],[_ConstraintCode]]=3,Tasks[[#This Row],[_ConstraintCode]]=6,Tasks[[#This Row],[_ConstraintCode]]=7),N(Tasks[[#This Row],[_Days]])&gt;1),WORKDAY.INTL(N(Tasks[[#This Row],[Constraint Date]]),-(N(Tasks[[#This Row],[_Days]])-1),WorkWeek,Holidays),N(Tasks[[#This Row],[Constraint Date]])))</f>
        <v/>
      </c>
      <c r="CO178" s="88">
        <f>IF(OR(Tasks[[#This Row],[_ConstraintCode]]=2,Tasks[[#This Row],[_ConstraintCode]]=3,Tasks[[#This Row],[_ConstraintCode]]=4,Tasks[[#This Row],[_ConstraintCode]]=6),Tasks[[#This Row],[_ConstraintStart]],0)</f>
        <v/>
      </c>
      <c r="CP178" s="88">
        <f>IF(OR(Tasks[[#This Row],[_ConstraintCode]]=2,Tasks[[#This Row],[_ConstraintCode]]=3,Tasks[[#This Row],[_ConstraintCode]]=5,Tasks[[#This Row],[_ConstraintCode]]=7),Tasks[[#This Row],[_ConstraintStart]],2958465)</f>
        <v/>
      </c>
      <c r="CQ17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8" s="88">
        <f>IF(NOT(Tasks[[#This Row],[_IsLeaf]]=1),"",IF(N(Tasks[[#This Row],[_Days]])&lt;=0,Tasks[[#This Row],[_LeafCalcStart]],WORKDAY.INTL(Tasks[[#This Row],[_LeafCalcStart]],Tasks[[#This Row],[_Days]]-1,WorkWeek,Holidays)))</f>
        <v/>
      </c>
      <c r="CS17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8" s="42">
        <f>IF(Tasks[[#This Row],[_Predecessors]]="","",TRIM(MID(SUBSTITUTE(SUBSTITUTE(SUBSTITUTE(UPPER(Tasks[[#This Row],[_Predecessors]]),";",",")," ",""),",",REPT(" ",99)),1,99)))</f>
        <v/>
      </c>
      <c r="CV178" s="42">
        <f>IF(Tasks[[#This Row],[_Pred1Text]]="","",IFERROR(VALUE(LEFT(Tasks[[#This Row],[_Pred1Text]],MIN(FIND("F",Tasks[[#This Row],[_Pred1Text]]&amp;"F"),FIND("S",Tasks[[#This Row],[_Pred1Text]]&amp;"S"),FIND("+",Tasks[[#This Row],[_Pred1Text]]&amp;"+"),FIND("-",Tasks[[#This Row],[_Pred1Text]]&amp;"-"))-1)),""))</f>
        <v/>
      </c>
      <c r="CW17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8" s="42">
        <f>IF(Tasks[[#This Row],[_Pred1Text]]="","",TRIM(MID(SUBSTITUTE(SUBSTITUTE(SUBSTITUTE(UPPER(Tasks[[#This Row],[_Predecessors]]),";",",")," ",""),",",REPT(" ",99)),100,99)))</f>
        <v/>
      </c>
      <c r="CZ178" s="42">
        <f>IF(Tasks[[#This Row],[_Pred2Text]]="","",IFERROR(VALUE(LEFT(Tasks[[#This Row],[_Pred2Text]],MIN(FIND("F",Tasks[[#This Row],[_Pred2Text]]&amp;"F"),FIND("S",Tasks[[#This Row],[_Pred2Text]]&amp;"S"),FIND("+",Tasks[[#This Row],[_Pred2Text]]&amp;"+"),FIND("-",Tasks[[#This Row],[_Pred2Text]]&amp;"-"))-1)),""))</f>
        <v/>
      </c>
      <c r="DA17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8" s="42">
        <f>IF(Tasks[[#This Row],[_Pred2Text]]="","",TRIM(MID(SUBSTITUTE(SUBSTITUTE(SUBSTITUTE(UPPER(Tasks[[#This Row],[_Predecessors]]),";",",")," ",""),",",REPT(" ",99)),199,99)))</f>
        <v/>
      </c>
      <c r="DD178" s="42">
        <f>IF(Tasks[[#This Row],[_Pred3Text]]="","",IFERROR(VALUE(LEFT(Tasks[[#This Row],[_Pred3Text]],MIN(FIND("F",Tasks[[#This Row],[_Pred3Text]]&amp;"F"),FIND("S",Tasks[[#This Row],[_Pred3Text]]&amp;"S"),FIND("+",Tasks[[#This Row],[_Pred3Text]]&amp;"+"),FIND("-",Tasks[[#This Row],[_Pred3Text]]&amp;"-"))-1)),""))</f>
        <v/>
      </c>
      <c r="DE17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8" s="42">
        <f>IF(Tasks[[#This Row],[_Pred3Text]]="","",TRIM(MID(SUBSTITUTE(SUBSTITUTE(SUBSTITUTE(UPPER(Tasks[[#This Row],[_Predecessors]]),";",",")," ",""),",",REPT(" ",99)),298,99)))</f>
        <v/>
      </c>
      <c r="DH178" s="42">
        <f>IF(Tasks[[#This Row],[_Pred4Text]]="","",IFERROR(VALUE(LEFT(Tasks[[#This Row],[_Pred4Text]],MIN(FIND("F",Tasks[[#This Row],[_Pred4Text]]&amp;"F"),FIND("S",Tasks[[#This Row],[_Pred4Text]]&amp;"S"),FIND("+",Tasks[[#This Row],[_Pred4Text]]&amp;"+"),FIND("-",Tasks[[#This Row],[_Pred4Text]]&amp;"-"))-1)),""))</f>
        <v/>
      </c>
      <c r="DI17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8" s="42">
        <f>IF(OR(Tasks[[#This Row],[Task Name]]="",Tasks[[#This Row],[_Resources]]=""),"",TRIM(MID(SUBSTITUTE(Tasks[[#This Row],[_Resources]],",",REPT(" ",99)),1,99)))</f>
        <v/>
      </c>
      <c r="DL178" s="42">
        <f>IF(Tasks[[#This Row],[_Res1Text]]="","",TRIM(MID(SUBSTITUTE(Tasks[[#This Row],[_Resources]],",",REPT(" ",99)),100,99)))</f>
        <v/>
      </c>
      <c r="DM178" s="42">
        <f>IF(Tasks[[#This Row],[_Res2Text]]="","",TRIM(MID(SUBSTITUTE(Tasks[[#This Row],[_Resources]],",",REPT(" ",99)),199,99)))</f>
        <v/>
      </c>
      <c r="DN178" s="42">
        <f>IF(Tasks[[#This Row],[_Res3Text]]="","",TRIM(MID(SUBSTITUTE(Tasks[[#This Row],[_Resources]],",",REPT(" ",99)),298,99)))</f>
        <v/>
      </c>
      <c r="DO178" s="42">
        <f>IF(Tasks[[#This Row],[_Res1Text]]="",0,IFERROR(MATCH(TRIM(LEFT(Tasks[[#This Row],[_Res1Text]],FIND("[",Tasks[[#This Row],[_Res1Text]]&amp;"[")-1)),res_Name,0),IFERROR(MATCH(TRIM(LEFT(Tasks[[#This Row],[_Res1Text]],FIND("[",Tasks[[#This Row],[_Res1Text]]&amp;"[")-1)),res_Initials,0),0)))</f>
        <v/>
      </c>
      <c r="DP178" s="42">
        <f>IF(Tasks[[#This Row],[_Res2Text]]="",0,IFERROR(MATCH(TRIM(LEFT(Tasks[[#This Row],[_Res2Text]],FIND("[",Tasks[[#This Row],[_Res2Text]]&amp;"[")-1)),res_Name,0),IFERROR(MATCH(TRIM(LEFT(Tasks[[#This Row],[_Res2Text]],FIND("[",Tasks[[#This Row],[_Res2Text]]&amp;"[")-1)),res_Initials,0),0)))</f>
        <v/>
      </c>
      <c r="DQ178" s="42">
        <f>IF(Tasks[[#This Row],[_Res3Text]]="",0,IFERROR(MATCH(TRIM(LEFT(Tasks[[#This Row],[_Res3Text]],FIND("[",Tasks[[#This Row],[_Res3Text]]&amp;"[")-1)),res_Name,0),IFERROR(MATCH(TRIM(LEFT(Tasks[[#This Row],[_Res3Text]],FIND("[",Tasks[[#This Row],[_Res3Text]]&amp;"[")-1)),res_Initials,0),0)))</f>
        <v/>
      </c>
      <c r="DR178" s="42">
        <f>IF(Tasks[[#This Row],[_Res4Text]]="",0,IFERROR(MATCH(TRIM(LEFT(Tasks[[#This Row],[_Res4Text]],FIND("[",Tasks[[#This Row],[_Res4Text]]&amp;"[")-1)),res_Name,0),IFERROR(MATCH(TRIM(LEFT(Tasks[[#This Row],[_Res4Text]],FIND("[",Tasks[[#This Row],[_Res4Text]]&amp;"[")-1)),res_Initials,0),0)))</f>
        <v/>
      </c>
      <c r="DS178" s="42">
        <f>IF(Tasks[[#This Row],[_Res1Text]]="","",IF(Tasks[[#This Row],[_Res1Row]]&gt;0,INDEX(res_Name,Tasks[[#This Row],[_Res1Row]]),TRIM(LEFT(Tasks[[#This Row],[_Res1Text]],FIND("[",Tasks[[#This Row],[_Res1Text]]&amp;"[")-1))))</f>
        <v/>
      </c>
      <c r="DT17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8" s="42">
        <f>IF(NOT(Tasks[[#This Row],[_IsLeaf]]=1),0,(Tasks[[#This Row],[_Resource1]]&lt;&gt;"")+(Tasks[[#This Row],[_Res2]]&lt;&gt;"")+(Tasks[[#This Row],[_Res3]]&lt;&gt;"")+(Tasks[[#This Row],[_Res4]]&lt;&gt;""))</f>
        <v/>
      </c>
      <c r="DV178" s="42">
        <f>IF(Tasks[[#This Row],[_Res2Text]]="","",IF(Tasks[[#This Row],[_Res2Row]]&gt;0,INDEX(res_Name,Tasks[[#This Row],[_Res2Row]]),TRIM(LEFT(Tasks[[#This Row],[_Res2Text]],FIND("[",Tasks[[#This Row],[_Res2Text]]&amp;"[")-1))))</f>
        <v/>
      </c>
      <c r="DW17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8" s="42">
        <f>IF(OR(NOT(Tasks[[#This Row],[_IsLeaf]]=1),Tasks[[#This Row],[_Res2Row]]=0),0,N(Tasks[[#This Row],[_Days]])*HoursPerDay*IF(Tasks[[#This Row],[_Res2Units]]="",DefaultUnits,Tasks[[#This Row],[_Res2Units]]))</f>
        <v/>
      </c>
      <c r="DY178" s="42">
        <f>IF(AND(AND(Tasks[[#This Row],[_IsLeaf]]=1,Tasks[[#This Row],[_LeafTotalWork]]&gt;0),Tasks[[#This Row],[_Res2Work]]&gt;0),Tasks[[#This Row],[_Res2Work]]/(Tasks[[#This Row],[_FinishWorkday]]-Tasks[[#This Row],[_StartWorkday]]+1),0)</f>
        <v/>
      </c>
      <c r="DZ178" s="42">
        <f>Tasks[[#This Row],[_Res2WorkPerWD]]*MAX(0,Tasks[[#This Row],[_StartWorkday]]-1)</f>
        <v/>
      </c>
      <c r="EA178" s="42">
        <f>Tasks[[#This Row],[_Res2Work]]*Tasks[[#This Row],[_LeafProgress]]</f>
        <v/>
      </c>
      <c r="EB178" s="42">
        <f>IF(Tasks[[#This Row],[_Res3Text]]="","",IF(Tasks[[#This Row],[_Res3Row]]&gt;0,INDEX(res_Name,Tasks[[#This Row],[_Res3Row]]),TRIM(LEFT(Tasks[[#This Row],[_Res3Text]],FIND("[",Tasks[[#This Row],[_Res3Text]]&amp;"[")-1))))</f>
        <v/>
      </c>
      <c r="EC17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8" s="42">
        <f>IF(OR(NOT(Tasks[[#This Row],[_IsLeaf]]=1),Tasks[[#This Row],[_Res3Row]]=0),0,N(Tasks[[#This Row],[_Days]])*HoursPerDay*IF(Tasks[[#This Row],[_Res3Units]]="",DefaultUnits,Tasks[[#This Row],[_Res3Units]]))</f>
        <v/>
      </c>
      <c r="EE178" s="42">
        <f>IF(AND(AND(Tasks[[#This Row],[_IsLeaf]]=1,Tasks[[#This Row],[_LeafTotalWork]]&gt;0),Tasks[[#This Row],[_Res3Work]]&gt;0),Tasks[[#This Row],[_Res3Work]]/(Tasks[[#This Row],[_FinishWorkday]]-Tasks[[#This Row],[_StartWorkday]]+1),0)</f>
        <v/>
      </c>
      <c r="EF178" s="42">
        <f>Tasks[[#This Row],[_Res3WorkPerWD]]*MAX(0,Tasks[[#This Row],[_StartWorkday]]-1)</f>
        <v/>
      </c>
      <c r="EG178" s="42">
        <f>Tasks[[#This Row],[_Res3Work]]*Tasks[[#This Row],[_LeafProgress]]</f>
        <v/>
      </c>
      <c r="EH178" s="42">
        <f>IF(Tasks[[#This Row],[_Res4Text]]="","",IF(Tasks[[#This Row],[_Res4Row]]&gt;0,INDEX(res_Name,Tasks[[#This Row],[_Res4Row]]),TRIM(LEFT(Tasks[[#This Row],[_Res4Text]],FIND("[",Tasks[[#This Row],[_Res4Text]]&amp;"[")-1))))</f>
        <v/>
      </c>
      <c r="EI17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8" s="42">
        <f>IF(OR(NOT(Tasks[[#This Row],[_IsLeaf]]=1),Tasks[[#This Row],[_Res4Row]]=0),0,N(Tasks[[#This Row],[_Days]])*HoursPerDay*IF(Tasks[[#This Row],[_Res4Units]]="",DefaultUnits,Tasks[[#This Row],[_Res4Units]]))</f>
        <v/>
      </c>
      <c r="EK178" s="42">
        <f>IF(AND(AND(Tasks[[#This Row],[_IsLeaf]]=1,Tasks[[#This Row],[_LeafTotalWork]]&gt;0),Tasks[[#This Row],[_Res4Work]]&gt;0),Tasks[[#This Row],[_Res4Work]]/(Tasks[[#This Row],[_FinishWorkday]]-Tasks[[#This Row],[_StartWorkday]]+1),0)</f>
        <v/>
      </c>
      <c r="EL178" s="42">
        <f>Tasks[[#This Row],[_Res4WorkPerWD]]*MAX(0,Tasks[[#This Row],[_StartWorkday]]-1)</f>
        <v/>
      </c>
      <c r="EM178" s="42">
        <f>Tasks[[#This Row],[_Res4Work]]*Tasks[[#This Row],[_LeafProgress]]</f>
        <v/>
      </c>
      <c r="EN178" s="42">
        <f>IF(ISNUMBER(Tasks[[#This Row],[% Complete]]),Tasks[[#This Row],[% Complete]],IF(Tasks[[#This Row],[Stage]]="",0,IFERROR(INDEX(stg_Pct,MATCH(Tasks[[#This Row],[Stage]],stg_Name,0)),0)))</f>
        <v/>
      </c>
      <c r="EO178" s="42">
        <f>IF(NOT(Tasks[[#This Row],[_IsLeaf]]=1),0,IF(N(Tasks[[#This Row],[Actual Finish]])&gt;0,1,MIN(1,Tasks[[#This Row],[_Pct]])))</f>
        <v/>
      </c>
      <c r="EP178" s="42">
        <f>IF(OR(NOT(Tasks[[#This Row],[_IsLeaf]]=1),Tasks[[#This Row],[_Res1Row]]=0),0,N(Tasks[[#This Row],[_Days]])*HoursPerDay*IF(Tasks[[#This Row],[_Units1]]="",DefaultUnits,Tasks[[#This Row],[_Units1]]))</f>
        <v/>
      </c>
      <c r="EQ178" s="42">
        <f>Tasks[[#This Row],[_LeafWork]]+Tasks[[#This Row],[_Res2Work]]+Tasks[[#This Row],[_Res3Work]]+Tasks[[#This Row],[_Res4Work]]</f>
        <v/>
      </c>
      <c r="ER17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8" s="42">
        <f>IF(NOT(Tasks[[#This Row],[_IsLeaf]]=1),0,MAX(_xlfn.MAXIFS(Tasks[_Row],Tasks[_Pred1UID],Tasks[[#This Row],[UID]]),_xlfn.MAXIFS(Tasks[_Row],Tasks[_Pred2UID],Tasks[[#This Row],[UID]]),_xlfn.MAXIFS(Tasks[_Row],Tasks[_Pred3UID],Tasks[[#This Row],[UID]]),_xlfn.MAXIFS(Tasks[_Row],Tasks[_Pred4UID],Tasks[[#This Row],[UID]])))</f>
        <v/>
      </c>
      <c r="FA17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8" s="88">
        <f>IF(NOT(Tasks[[#This Row],[_IsLeaf]]=1),"",IF(N(Tasks[[#This Row],[_Days]])&lt;=0,Tasks[[#This Row],[_LeafLateFinish]],WORKDAY.INTL(Tasks[[#This Row],[_LeafLateFinish]],-(Tasks[[#This Row],[_Days]]-1),WorkWeek,Holidays)))</f>
        <v/>
      </c>
      <c r="FD17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8" s="42">
        <f>AND(Tasks[[#This Row],[_IsLeaf]]=1,Tasks[[#This Row],[_LeafProgress]]&lt;1,N(Tasks[[#This Row],[_LeafTotalSlack]])&lt;=CriticalSlackDays)</f>
        <v/>
      </c>
      <c r="FF178" s="42">
        <f>IF(AND(Tasks[[#This Row],[_IsLeaf]]=1,Tasks[[#This Row],[_ConstraintCode]]=1,Tasks[[#This Row],[Mode]]&lt;&gt;"Manual",N(Tasks[[#This Row],[Actual Start]])=0),MAX(0,N(Tasks[[#This Row],[Free Slack]])),0)</f>
        <v/>
      </c>
      <c r="FG178" s="88">
        <f>IF(NOT(Tasks[[#This Row],[_IsLeaf]]=1),"",IF(Tasks[[#This Row],[_AlapShift]]=0,Tasks[[#This Row],[_LeafCalcStart]],WORKDAY.INTL(Tasks[[#This Row],[_LeafCalcStart]],Tasks[[#This Row],[_AlapShift]],WorkWeek,Holidays)))</f>
        <v/>
      </c>
      <c r="FH178" s="88">
        <f>IF(NOT(Tasks[[#This Row],[_IsLeaf]]=1),"",IF(Tasks[[#This Row],[_AlapShift]]=0,Tasks[[#This Row],[_LeafCalcFinish]],WORKDAY.INTL(Tasks[[#This Row],[_LeafCalcFinish]],Tasks[[#This Row],[_AlapShift]],WorkWeek,Holidays)))</f>
        <v/>
      </c>
      <c r="FI178" s="88">
        <f>IF(NOT(Tasks[[#This Row],[_IsLeaf]]=1),"",IF(Tasks[[#This Row],[_AlapShift]]=0,Tasks[[#This Row],[_LeafFcstStart]],WORKDAY.INTL(Tasks[[#This Row],[_LeafFcstStart]],Tasks[[#This Row],[_AlapShift]],WorkWeek,Holidays)))</f>
        <v/>
      </c>
      <c r="FJ178" s="88">
        <f>IF(NOT(Tasks[[#This Row],[_IsLeaf]]=1),"",IF(Tasks[[#This Row],[_AlapShift]]=0,Tasks[[#This Row],[_LeafFcstFinish]],WORKDAY.INTL(Tasks[[#This Row],[_LeafFcstFinish]],Tasks[[#This Row],[_AlapShift]],WorkWeek,Holidays)))</f>
        <v/>
      </c>
      <c r="FK178" s="88">
        <f>IF(Tasks[[#This Row],[Task Name]]="","",IF(Tasks[[#This Row],[_IsSummary]],MIN(INDEX(Tasks[_ShownCalcStart],Tasks[[#This Row],[_Row]]+1):INDEX(Tasks[_ShownCalcStart],Tasks[[#This Row],[_Row]]+Tasks[[#This Row],[_Descendants]])),Tasks[[#This Row],[_ShownCalcStart]]))</f>
        <v/>
      </c>
      <c r="FL178" s="88">
        <f>IF(Tasks[[#This Row],[Task Name]]="","",IF(Tasks[[#This Row],[_IsSummary]],MAX(INDEX(Tasks[_ShownCalcFinish],Tasks[[#This Row],[_Row]]+1):INDEX(Tasks[_ShownCalcFinish],Tasks[[#This Row],[_Row]]+Tasks[[#This Row],[_Descendants]])),Tasks[[#This Row],[_ShownCalcFinish]]))</f>
        <v/>
      </c>
      <c r="FM17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8" s="42">
        <f>IF(AND(Tasks[[#This Row],[_IsLeaf]]=1,Tasks[[#This Row],[_LeafTotalWork]]&gt;0),NETWORKDAYS.INTL(ProjectStart,Tasks[[#This Row],[_ShownFcstStart]],WorkWeek,Holidays),0)</f>
        <v/>
      </c>
      <c r="FZ178" s="42">
        <f>IF(AND(Tasks[[#This Row],[_IsLeaf]]=1,Tasks[[#This Row],[_LeafTotalWork]]&gt;0),MAX(Tasks[[#This Row],[_StartWorkday]],NETWORKDAYS.INTL(ProjectStart,Tasks[[#This Row],[_ShownFcstFinish]],WorkWeek,Holidays)),0)</f>
        <v/>
      </c>
      <c r="GA178" s="42">
        <f>IF(AND(Tasks[[#This Row],[_IsLeaf]]=1,Tasks[[#This Row],[_LeafTotalWork]]&gt;0),Tasks[[#This Row],[_LeafWork]]/(Tasks[[#This Row],[_FinishWorkday]]-Tasks[[#This Row],[_StartWorkday]]+1),0)</f>
        <v/>
      </c>
      <c r="GB178" s="42">
        <f>Tasks[[#This Row],[_WorkPerWorkday]]*(Tasks[[#This Row],[_StartWorkday]]-1)</f>
        <v/>
      </c>
      <c r="GC178" s="42">
        <f>IF(Tasks[[#This Row],[_IsLeaf]]=1,MAX(N(Tasks[[#This Row],[_Days]]),0.1),0)</f>
        <v/>
      </c>
      <c r="GD178" s="42">
        <f>Tasks[[#This Row],[_WeightDur]]*Tasks[[#This Row],[_LeafProgress]]</f>
        <v/>
      </c>
      <c r="GE178" s="42">
        <f>Tasks[[#This Row],[_WeightDur]]*Tasks[[#This Row],[_PlannedPct]]</f>
        <v/>
      </c>
      <c r="GF17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8" s="42">
        <f>IF(AND(Tasks[[#This Row],[_IsLeaf]]=1,N(Tasks[[#This Row],[_Days]])=0,Tasks[[#This Row],[_LeafProgress]]&lt;1),Tasks[[#This Row],[_ShownFcstFinish]]+Tasks[[#This Row],[_Row]]/100000,"")</f>
        <v/>
      </c>
      <c r="GH17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8" s="42">
        <f>IF(Tasks[[#This Row],[Task Name]]="","",LEFT(Tasks[[#This Row],[WBS]],FIND(".",Tasks[[#This Row],[WBS]]&amp;".")-1))</f>
        <v/>
      </c>
      <c r="GJ178" s="42">
        <f>IF(AND(Tasks[[#This Row],[Task Name]]&lt;&gt;"",Tasks[[#This Row],[_Level]]=1),Tasks[[#This Row],[_Row]],"")</f>
        <v/>
      </c>
      <c r="GK178" s="42">
        <f>IF(AND(Tasks[[#This Row],[_IsLeaf]]=1,N(Tasks[[#This Row],[_Days]])=0),Tasks[[#This Row],[Planned Finish]]+Tasks[[#This Row],[_Row]]/100000,"")</f>
        <v/>
      </c>
      <c r="GL178" s="42">
        <f>IF(AND(Tasks[[#This Row],[_IsLeaf]]=1,Tasks[[#This Row],[_LeafProgress]]&lt;1,OR(N(Tasks[[#This Row],[Finish Var]])&gt;0,Tasks[[#This Row],[Status]]="Late Start")),MAX(0,Tasks[[#This Row],[Finish Var]])+1-Tasks[[#This Row],[_Row]]/1000000,"")</f>
        <v/>
      </c>
      <c r="GM178" s="42">
        <f>IF(AND(Tasks[[#This Row],[_IsLeaf]]=1,N(Tasks[[#This Row],[Actual Start]])=0,Tasks[[#This Row],[_ShownFcstStart]]&gt;=StatusDate,Tasks[[#This Row],[_ShownFcstStart]]&lt;=LookaheadEnd),Tasks[[#This Row],[_ShownFcstStart]]+Tasks[[#This Row],[_Row]]/100000,"")</f>
        <v/>
      </c>
      <c r="GN178" s="42">
        <f>IF(AND(Tasks[[#This Row],[_IsLeaf]]=1,Tasks[[#This Row],[_LeafProgress]]&lt;1,Tasks[[#This Row],[_ShownFcstFinish]]&gt;=StatusDate,Tasks[[#This Row],[_ShownFcstFinish]]&lt;=LookaheadEnd),Tasks[[#This Row],[_ShownFcstFinish]]+Tasks[[#This Row],[_Row]]/100000,"")</f>
        <v/>
      </c>
      <c r="GO178" s="42">
        <f>IF(Tasks[[#This Row],[_LeafCritical]],Tasks[[#This Row],[_ShownFcstStart]]+Tasks[[#This Row],[_Row]]/100000,"")</f>
        <v/>
      </c>
      <c r="GP178" s="42">
        <f>Tasks[[#This Row],[_LeafWork]]*Tasks[[#This Row],[_LeafProgress]]</f>
        <v/>
      </c>
      <c r="GQ178" s="88">
        <f>IF(AND(Tasks[[#This Row],[_IsLeaf]]=1,Tasks[[#This Row],[_LeafProgress]]&gt;=1),IF(N(Tasks[[#This Row],[Actual Finish]])&gt;0,Tasks[[#This Row],[Actual Finish]],Tasks[[#This Row],[_ShownFcstFinish]]),"")</f>
        <v/>
      </c>
      <c r="GR178" s="42">
        <f>IF(Tasks[[#This Row],[_IsLeaf]]=1,N(Tasks[[#This Row],[Story Points]]),0)</f>
        <v/>
      </c>
      <c r="GS178" s="42">
        <f>""</f>
        <v/>
      </c>
      <c r="GT178" s="42">
        <f>IF(Tasks[[#This Row],[Task Name]]="",FALSE(),AND(Tasks[[#This Row],[_IsLeaf]]=1,N(Tasks[[#This Row],[_Days]])=0))</f>
        <v/>
      </c>
      <c r="GU178" s="88">
        <f>IF(Tasks[[#This Row],[Task Name]]="",0,IF(AND(Tasks[[#This Row],[_IsLeaf]]=1,NOT(Tasks[[#This Row],[_IsMilestone]]),N(Tasks[[#This Row],[Progress]])&gt;0),Tasks[[#This Row],[Start]],0))</f>
        <v/>
      </c>
      <c r="GV178" s="88">
        <f>IF(Tasks[[#This Row],[_DoneFrom]]=0,0,IF(Tasks[[#This Row],[Progress]]&gt;=1,Tasks[[#This Row],[Finish]],MAX(Tasks[[#This Row],[_DoneFrom]],Tasks[[#This Row],[Start]]+ROUND((Tasks[[#This Row],[Finish]]-Tasks[[#This Row],[Start]]+1)*Tasks[[#This Row],[Progress]],0)-1)))</f>
        <v/>
      </c>
      <c r="GW178" s="88">
        <f>IF(Tasks[[#This Row],[Task Name]]="",0,IF(OR(NOT(Tasks[[#This Row],[_IsLeaf]]=1),Tasks[[#This Row],[_IsMilestone]],N(Tasks[[#This Row],[Progress]])&gt;=1),0,IF(Tasks[[#This Row],[_DoneTo]]&gt;0,Tasks[[#This Row],[_DoneTo]]+1,Tasks[[#This Row],[Start]])))</f>
        <v/>
      </c>
      <c r="GX178" s="88">
        <f>IF(Tasks[[#This Row],[_RemFrom]]=0,0,Tasks[[#This Row],[Finish]])</f>
        <v/>
      </c>
      <c r="GY178" s="42">
        <f>IF(Tasks[[#This Row],[Task Name]]="",FALSE(),OR(NOT(BaselineSet),N(Tasks[[#This Row],[Baseline Start]])&gt;0))</f>
        <v/>
      </c>
      <c r="GZ178" s="42">
        <f>IF(AND(Sandbox="Yes",L_PARSE_DURATION(Tasks[[#This Row],[Sandbox Duration]])&lt;&gt;""),L_PARSE_DURATION(Tasks[[#This Row],[Sandbox Duration]]),L_PARSE_DURATION(Tasks[[#This Row],[Duration]]))</f>
        <v/>
      </c>
      <c r="HA17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8" s="42">
        <f>IF(Tasks[[#This Row],[_IsLeaf]]=1,Tasks[[#This Row],[_Row]],"")</f>
        <v/>
      </c>
      <c r="HD178" s="42">
        <f>IFERROR(INDEX(Tasks[UID],SMALL(Tasks[_PickKey],Tasks[[#This Row],[_Row]]))&amp;" "&amp;INDEX(Tasks[Task Name],SMALL(Tasks[_PickKey],Tasks[[#This Row],[_Row]])),"")</f>
        <v/>
      </c>
      <c r="HE178" s="42">
        <f>IF(Tasks[[#This Row],[Task Name]]="","",IF(Tasks[[#This Row],[_IsSummary]],NETWORKDAYS.INTL(Tasks[[#This Row],[Start]],Tasks[[#This Row],[Finish]],WorkWeek,Holidays),N(Tasks[[#This Row],[_Days]])))</f>
        <v/>
      </c>
      <c r="HF178" s="42">
        <f>IF(Tasks[[#This Row],[Expected]]="",0,((Tasks[[#This Row],[Pessimistic]]-Tasks[[#This Row],[Optimistic]])/6)^2)</f>
        <v/>
      </c>
      <c r="HG178" s="42">
        <f>IF(Tasks[[#This Row],[Expected]]="",0,Tasks[[#This Row],[Expected]]-N(Tasks[[#This Row],[_Days]]))</f>
        <v/>
      </c>
    </row>
    <row r="179">
      <c r="A179" s="21">
        <f>IF(Tasks[[#This Row],[Task Name]]="","",COUNTA(Tasks[[#Headers],[Task Name]]:Tasks[[#This Row],[Task Name]])-1)</f>
        <v/>
      </c>
      <c r="B179" s="22" t="n">
        <v>187</v>
      </c>
      <c r="C179" s="22" t="n"/>
      <c r="D179" s="23" t="n"/>
      <c r="E179" s="22" t="n"/>
      <c r="F179" s="23" t="n"/>
      <c r="G179" s="22" t="n"/>
      <c r="H179" s="22" t="n"/>
      <c r="I179" s="23" t="n"/>
      <c r="J179" s="22" t="n"/>
      <c r="K179" s="22" t="n"/>
      <c r="L179" s="23" t="n"/>
      <c r="M179" s="22" t="n"/>
      <c r="N179" s="22" t="n"/>
      <c r="O179" s="23" t="n"/>
      <c r="P179" s="22" t="n"/>
      <c r="Q179" s="22" t="n"/>
      <c r="R179" s="23" t="n"/>
      <c r="S179" s="23" t="n"/>
      <c r="T179" s="82" t="n"/>
      <c r="U179" s="23" t="n"/>
      <c r="V179" s="82" t="n"/>
      <c r="W179" s="23" t="n"/>
      <c r="X179" s="82" t="n"/>
      <c r="Y179" s="23" t="n"/>
      <c r="Z179" s="82" t="n"/>
      <c r="AA179" s="23" t="n"/>
      <c r="AB179" s="23" t="n"/>
      <c r="AC179" s="7" t="n"/>
      <c r="AD179" s="7" t="n"/>
      <c r="AE179" s="61">
        <f>IF(Tasks[[#This Row],[Task Name]]="","",IF(Tasks[[#This Row],[_IsSummary]],MIN(INDEX(Tasks[_ShownFcstStart],Tasks[[#This Row],[_Row]]+1):INDEX(Tasks[_ShownFcstStart],Tasks[[#This Row],[_Row]]+Tasks[[#This Row],[_Descendants]])),Tasks[[#This Row],[_ShownFcstStart]]))</f>
        <v/>
      </c>
      <c r="AF179" s="61">
        <f>IF(Tasks[[#This Row],[Task Name]]="","",IF(Tasks[[#This Row],[_IsSummary]],MAX(INDEX(Tasks[_ShownFcstFinish],Tasks[[#This Row],[_Row]]+1):INDEX(Tasks[_ShownFcstFinish],Tasks[[#This Row],[_Row]]+Tasks[[#This Row],[_Descendants]])),Tasks[[#This Row],[_ShownFcstFinish]]))</f>
        <v/>
      </c>
      <c r="AG179" s="21">
        <f>""</f>
        <v/>
      </c>
      <c r="AH179" s="23" t="n"/>
      <c r="AI17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79" s="7" t="n"/>
      <c r="AK179" s="22" t="n"/>
      <c r="AL179" s="23" t="n"/>
      <c r="AM179" s="7" t="n"/>
      <c r="AN179" s="21">
        <f>IF(Tasks[[#This Row],[Task Name]]="","",IF(Tasks[[#This Row],[Finish]]&gt;=Tasks[[#This Row],[Planned Finish]],NETWORKDAYS.INTL(Tasks[[#This Row],[Planned Finish]],Tasks[[#This Row],[Finish]],WorkWeek,Holidays)-1,1-NETWORKDAYS.INTL(Tasks[[#This Row],[Finish]],Tasks[[#This Row],[Planned Finish]],WorkWeek,Holidays)))</f>
        <v/>
      </c>
      <c r="AO179" s="21">
        <f>IF(Tasks[[#This Row],[Task Name]]="","",IF(Tasks[[#This Row],[Progress]]&gt;=1,"Complete",IF(OR(N(Tasks[[#This Row],[Actual Start]])&gt;0,Tasks[[#This Row],[Progress]]&gt;0),IF(Tasks[[#This Row],[Finish Var]]&gt;0,"Behind","In Progress"),IF(Tasks[[#This Row],[Planned Start]]&lt;StatusDate,"Late Start","Not Started"))))</f>
        <v/>
      </c>
      <c r="AP179" s="21">
        <f>IF(Tasks[[#This Row],[Task Name]]="","",IF(IF(Tasks[[#This Row],[_IsSummary]],COUNTIF(INDEX(Tasks[_LeafCritical],Tasks[[#This Row],[_Row]]+1):INDEX(Tasks[_LeafCritical],Tasks[[#This Row],[_Row]]+Tasks[[#This Row],[_Descendants]]),TRUE())&gt;0,Tasks[[#This Row],[_LeafCritical]]),"Yes",""))</f>
        <v/>
      </c>
      <c r="AQ179" s="61">
        <f>IF(Tasks[[#This Row],[Task Name]]="","",IF(N(Tasks[[#This Row],[Baseline Start]])&gt;0,Tasks[[#This Row],[Baseline Start]],Tasks[[#This Row],[_CalcStart]]))</f>
        <v/>
      </c>
      <c r="AR179" s="61">
        <f>IF(Tasks[[#This Row],[Task Name]]="","",IF(N(Tasks[[#This Row],[Baseline Finish]])&gt;0,Tasks[[#This Row],[Baseline Finish]],Tasks[[#This Row],[_CalcFinish]]))</f>
        <v/>
      </c>
      <c r="AS179" s="21">
        <f>IF(Tasks[[#This Row],[Task Name]]="","",IF(Tasks[[#This Row],[Start]]&gt;=Tasks[[#This Row],[Planned Start]],NETWORKDAYS.INTL(Tasks[[#This Row],[Planned Start]],Tasks[[#This Row],[Start]],WorkWeek,Holidays)-1,1-NETWORKDAYS.INTL(Tasks[[#This Row],[Start]],Tasks[[#This Row],[Planned Start]],WorkWeek,Holidays)))</f>
        <v/>
      </c>
      <c r="AT179" s="61">
        <f>IF(Tasks[[#This Row],[Task Name]]="","",IF(Tasks[[#This Row],[_IsSummary]],MIN(INDEX(Tasks[_LeafLateStart],Tasks[[#This Row],[_Row]]+1):INDEX(Tasks[_LeafLateStart],Tasks[[#This Row],[_Row]]+Tasks[[#This Row],[_Descendants]])),Tasks[[#This Row],[_LeafLateStart]]))</f>
        <v/>
      </c>
      <c r="AU179" s="61">
        <f>IF(Tasks[[#This Row],[Task Name]]="","",IF(Tasks[[#This Row],[_IsSummary]],MAX(INDEX(Tasks[_LeafLateFinish],Tasks[[#This Row],[_Row]]+1):INDEX(Tasks[_LeafLateFinish],Tasks[[#This Row],[_Row]]+Tasks[[#This Row],[_Descendants]])),Tasks[[#This Row],[_LeafLateFinish]]))</f>
        <v/>
      </c>
      <c r="AV179" s="21">
        <f>IF(Tasks[[#This Row],[Task Name]]="","",IF(Tasks[[#This Row],[_IsSummary]],MIN(INDEX(Tasks[_LeafTotalSlack],Tasks[[#This Row],[_Row]]+1):INDEX(Tasks[_LeafTotalSlack],Tasks[[#This Row],[_Row]]+Tasks[[#This Row],[_Descendants]])),Tasks[[#This Row],[_LeafTotalSlack]]))</f>
        <v/>
      </c>
      <c r="AW17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3" t="n"/>
      <c r="BA17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f>IF(Tasks[[#This Row],[Task Name]]="","",IF(Tasks[[#This Row],[_Level]]&lt;=OutlineShowLevel,"Yes","No"))</f>
        <v/>
      </c>
      <c r="BE179" s="84">
        <f>IF(Tasks[[#This Row],[Task Name]]="","",IF(Tasks[[#This Row],[_IsSummary]],SUM(INDEX(Tasks[_LeafTotalWork],Tasks[[#This Row],[_Row]]+1):INDEX(Tasks[_LeafTotalWork],Tasks[[#This Row],[_Row]]+Tasks[[#This Row],[_Descendants]])),Tasks[[#This Row],[_LeafTotalWork]]))</f>
        <v/>
      </c>
      <c r="BF179" s="23" t="n"/>
      <c r="BG17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f>""</f>
        <v/>
      </c>
      <c r="BI179" s="85" t="n"/>
      <c r="BJ179" s="22" t="n"/>
      <c r="BK179" s="21">
        <f>IF(OR(Tasks[[#This Row],[Task Name]]="",Tasks[[#This Row],[Baseline Duration]]=""),"",Tasks[[#This Row],[_SpanDays]]-N(Tasks[[#This Row],[Baseline Duration]]))</f>
        <v/>
      </c>
      <c r="BL179" s="84">
        <f>IF(OR(Tasks[[#This Row],[Task Name]]="",Tasks[[#This Row],[Baseline Work]]=""),"",Tasks[[#This Row],[Work]]-N(Tasks[[#This Row],[Baseline Work]]))</f>
        <v/>
      </c>
      <c r="BM179" s="61">
        <f>IF(Tasks[[#This Row],[Task Name]]="","",IF(OR(TakeBaseline="Yes",N(Tasks[[#This Row],[Baseline Start]])=0),Tasks[[#This Row],[Start]],Tasks[[#This Row],[Baseline Start]]))</f>
        <v/>
      </c>
      <c r="BN179" s="61">
        <f>IF(Tasks[[#This Row],[Task Name]]="","",IF(OR(TakeBaseline="Yes",N(Tasks[[#This Row],[Baseline Finish]])=0),Tasks[[#This Row],[Finish]],Tasks[[#This Row],[Baseline Finish]]))</f>
        <v/>
      </c>
      <c r="BO179" s="21">
        <f>IF(Tasks[[#This Row],[Task Name]]="","",IF(OR(TakeBaseline="Yes",N(Tasks[[#This Row],[Baseline Duration]])=0),Tasks[[#This Row],[_SpanDays]],Tasks[[#This Row],[Baseline Duration]]))</f>
        <v/>
      </c>
      <c r="BP179" s="84">
        <f>IF(Tasks[[#This Row],[Task Name]]="","",IF(OR(TakeBaseline="Yes",N(Tasks[[#This Row],[Baseline Work]])=0),Tasks[[#This Row],[Work]],Tasks[[#This Row],[Baseline Work]]))</f>
        <v/>
      </c>
      <c r="BQ179" s="7" t="n"/>
      <c r="BR179" s="7" t="n"/>
      <c r="BS179" s="22" t="n"/>
      <c r="BT179" s="86" t="n"/>
      <c r="BU179" s="23" t="n"/>
      <c r="BV179" s="23" t="n"/>
      <c r="BW179" s="23" t="n"/>
      <c r="BX179" s="87">
        <f>IF(AND(Tasks[[#This Row],[_IsLeaf]]=1,ISNUMBER(Tasks[[#This Row],[Optimistic]]),ISNUMBER(Tasks[[#This Row],[Pessimistic]])),ROUND((Tasks[[#This Row],[Optimistic]]+4*N(Tasks[[#This Row],[_Days]])+Tasks[[#This Row],[Pessimistic]])/6,1),"")</f>
        <v/>
      </c>
      <c r="BY179" s="85" t="n"/>
      <c r="BZ179" s="85" t="n"/>
      <c r="CA179" s="22" t="n"/>
      <c r="CB179" s="42">
        <f>IF(Tasks[[#This Row],[Task Name]]="","",MAX(1,N(Tasks[[#This Row],[Level]])))</f>
        <v/>
      </c>
      <c r="CC179" s="42">
        <f>ROW()-ROW(Tasks[[#Headers],[ID]])</f>
        <v/>
      </c>
      <c r="CD179" s="42">
        <f>IF(OR(Tasks[[#This Row],[Task Name]]="",Tasks[[#This Row],[_Level]]&lt;=1),0,IFERROR(LOOKUP(2,1/(Tasks[[#Headers],[_Level]]:Tasks[[#This Row],[_Level]]=Tasks[[#This Row],[_Level]]-1),ROW(Tasks[[#Headers],[_Level]]:Tasks[[#This Row],[_Level]])),0))</f>
        <v/>
      </c>
      <c r="CE179" s="42">
        <f>IFERROR(N(INDEX(Tasks[_Level],Tasks[[#This Row],[_Row]]+1)),0)</f>
        <v/>
      </c>
      <c r="CF179" s="42">
        <f>AND(Tasks[[#This Row],[Task Name]]&lt;&gt;"",Tasks[[#This Row],[_NextLevel]]&gt;Tasks[[#This Row],[_Level]])</f>
        <v/>
      </c>
      <c r="CG179" s="42">
        <f>IF(Tasks[[#This Row],[_IsSummary]],COUNTIF(Tasks[WBS],Tasks[[#This Row],[WBS]]&amp;".*"),0)</f>
        <v/>
      </c>
      <c r="CH179" s="42">
        <f>IF(AND(Tasks[[#This Row],[Task Name]]&lt;&gt;"",NOT(Tasks[[#This Row],[_IsSummary]])),1,0)</f>
        <v/>
      </c>
      <c r="CI179" s="42">
        <f>IF(N(Tasks[[#This Row],[_Pred1UID]])=0,0,IFERROR(MATCH(Tasks[[#This Row],[_Pred1UID]],Tasks[UID],0),-1))</f>
        <v/>
      </c>
      <c r="CJ179" s="42">
        <f>IF(N(Tasks[[#This Row],[_Pred2UID]])=0,0,IFERROR(MATCH(Tasks[[#This Row],[_Pred2UID]],Tasks[UID],0),-1))</f>
        <v/>
      </c>
      <c r="CK179" s="42">
        <f>IF(N(Tasks[[#This Row],[_Pred3UID]])=0,0,IFERROR(MATCH(Tasks[[#This Row],[_Pred3UID]],Tasks[UID],0),-1))</f>
        <v/>
      </c>
      <c r="CL179" s="42">
        <f>IF(N(Tasks[[#This Row],[_Pred4UID]])=0,0,IFERROR(MATCH(Tasks[[#This Row],[_Pred4UID]],Tasks[UID],0),-1))</f>
        <v/>
      </c>
      <c r="CM17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9" s="88">
        <f>IF(N(Tasks[[#This Row],[Constraint Date]])=0,0,IF(AND(OR(Tasks[[#This Row],[_ConstraintCode]]=3,Tasks[[#This Row],[_ConstraintCode]]=6,Tasks[[#This Row],[_ConstraintCode]]=7),N(Tasks[[#This Row],[_Days]])&gt;1),WORKDAY.INTL(N(Tasks[[#This Row],[Constraint Date]]),-(N(Tasks[[#This Row],[_Days]])-1),WorkWeek,Holidays),N(Tasks[[#This Row],[Constraint Date]])))</f>
        <v/>
      </c>
      <c r="CO179" s="88">
        <f>IF(OR(Tasks[[#This Row],[_ConstraintCode]]=2,Tasks[[#This Row],[_ConstraintCode]]=3,Tasks[[#This Row],[_ConstraintCode]]=4,Tasks[[#This Row],[_ConstraintCode]]=6),Tasks[[#This Row],[_ConstraintStart]],0)</f>
        <v/>
      </c>
      <c r="CP179" s="88">
        <f>IF(OR(Tasks[[#This Row],[_ConstraintCode]]=2,Tasks[[#This Row],[_ConstraintCode]]=3,Tasks[[#This Row],[_ConstraintCode]]=5,Tasks[[#This Row],[_ConstraintCode]]=7),Tasks[[#This Row],[_ConstraintStart]],2958465)</f>
        <v/>
      </c>
      <c r="CQ17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9" s="88">
        <f>IF(NOT(Tasks[[#This Row],[_IsLeaf]]=1),"",IF(N(Tasks[[#This Row],[_Days]])&lt;=0,Tasks[[#This Row],[_LeafCalcStart]],WORKDAY.INTL(Tasks[[#This Row],[_LeafCalcStart]],Tasks[[#This Row],[_Days]]-1,WorkWeek,Holidays)))</f>
        <v/>
      </c>
      <c r="CS17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9" s="42">
        <f>IF(Tasks[[#This Row],[_Predecessors]]="","",TRIM(MID(SUBSTITUTE(SUBSTITUTE(SUBSTITUTE(UPPER(Tasks[[#This Row],[_Predecessors]]),";",",")," ",""),",",REPT(" ",99)),1,99)))</f>
        <v/>
      </c>
      <c r="CV179" s="42">
        <f>IF(Tasks[[#This Row],[_Pred1Text]]="","",IFERROR(VALUE(LEFT(Tasks[[#This Row],[_Pred1Text]],MIN(FIND("F",Tasks[[#This Row],[_Pred1Text]]&amp;"F"),FIND("S",Tasks[[#This Row],[_Pred1Text]]&amp;"S"),FIND("+",Tasks[[#This Row],[_Pred1Text]]&amp;"+"),FIND("-",Tasks[[#This Row],[_Pred1Text]]&amp;"-"))-1)),""))</f>
        <v/>
      </c>
      <c r="CW17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9" s="42">
        <f>IF(Tasks[[#This Row],[_Pred1Text]]="","",TRIM(MID(SUBSTITUTE(SUBSTITUTE(SUBSTITUTE(UPPER(Tasks[[#This Row],[_Predecessors]]),";",",")," ",""),",",REPT(" ",99)),100,99)))</f>
        <v/>
      </c>
      <c r="CZ179" s="42">
        <f>IF(Tasks[[#This Row],[_Pred2Text]]="","",IFERROR(VALUE(LEFT(Tasks[[#This Row],[_Pred2Text]],MIN(FIND("F",Tasks[[#This Row],[_Pred2Text]]&amp;"F"),FIND("S",Tasks[[#This Row],[_Pred2Text]]&amp;"S"),FIND("+",Tasks[[#This Row],[_Pred2Text]]&amp;"+"),FIND("-",Tasks[[#This Row],[_Pred2Text]]&amp;"-"))-1)),""))</f>
        <v/>
      </c>
      <c r="DA17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9" s="42">
        <f>IF(Tasks[[#This Row],[_Pred2Text]]="","",TRIM(MID(SUBSTITUTE(SUBSTITUTE(SUBSTITUTE(UPPER(Tasks[[#This Row],[_Predecessors]]),";",",")," ",""),",",REPT(" ",99)),199,99)))</f>
        <v/>
      </c>
      <c r="DD179" s="42">
        <f>IF(Tasks[[#This Row],[_Pred3Text]]="","",IFERROR(VALUE(LEFT(Tasks[[#This Row],[_Pred3Text]],MIN(FIND("F",Tasks[[#This Row],[_Pred3Text]]&amp;"F"),FIND("S",Tasks[[#This Row],[_Pred3Text]]&amp;"S"),FIND("+",Tasks[[#This Row],[_Pred3Text]]&amp;"+"),FIND("-",Tasks[[#This Row],[_Pred3Text]]&amp;"-"))-1)),""))</f>
        <v/>
      </c>
      <c r="DE17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9" s="42">
        <f>IF(Tasks[[#This Row],[_Pred3Text]]="","",TRIM(MID(SUBSTITUTE(SUBSTITUTE(SUBSTITUTE(UPPER(Tasks[[#This Row],[_Predecessors]]),";",",")," ",""),",",REPT(" ",99)),298,99)))</f>
        <v/>
      </c>
      <c r="DH179" s="42">
        <f>IF(Tasks[[#This Row],[_Pred4Text]]="","",IFERROR(VALUE(LEFT(Tasks[[#This Row],[_Pred4Text]],MIN(FIND("F",Tasks[[#This Row],[_Pred4Text]]&amp;"F"),FIND("S",Tasks[[#This Row],[_Pred4Text]]&amp;"S"),FIND("+",Tasks[[#This Row],[_Pred4Text]]&amp;"+"),FIND("-",Tasks[[#This Row],[_Pred4Text]]&amp;"-"))-1)),""))</f>
        <v/>
      </c>
      <c r="DI17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9" s="42">
        <f>IF(OR(Tasks[[#This Row],[Task Name]]="",Tasks[[#This Row],[_Resources]]=""),"",TRIM(MID(SUBSTITUTE(Tasks[[#This Row],[_Resources]],",",REPT(" ",99)),1,99)))</f>
        <v/>
      </c>
      <c r="DL179" s="42">
        <f>IF(Tasks[[#This Row],[_Res1Text]]="","",TRIM(MID(SUBSTITUTE(Tasks[[#This Row],[_Resources]],",",REPT(" ",99)),100,99)))</f>
        <v/>
      </c>
      <c r="DM179" s="42">
        <f>IF(Tasks[[#This Row],[_Res2Text]]="","",TRIM(MID(SUBSTITUTE(Tasks[[#This Row],[_Resources]],",",REPT(" ",99)),199,99)))</f>
        <v/>
      </c>
      <c r="DN179" s="42">
        <f>IF(Tasks[[#This Row],[_Res3Text]]="","",TRIM(MID(SUBSTITUTE(Tasks[[#This Row],[_Resources]],",",REPT(" ",99)),298,99)))</f>
        <v/>
      </c>
      <c r="DO179" s="42">
        <f>IF(Tasks[[#This Row],[_Res1Text]]="",0,IFERROR(MATCH(TRIM(LEFT(Tasks[[#This Row],[_Res1Text]],FIND("[",Tasks[[#This Row],[_Res1Text]]&amp;"[")-1)),res_Name,0),IFERROR(MATCH(TRIM(LEFT(Tasks[[#This Row],[_Res1Text]],FIND("[",Tasks[[#This Row],[_Res1Text]]&amp;"[")-1)),res_Initials,0),0)))</f>
        <v/>
      </c>
      <c r="DP179" s="42">
        <f>IF(Tasks[[#This Row],[_Res2Text]]="",0,IFERROR(MATCH(TRIM(LEFT(Tasks[[#This Row],[_Res2Text]],FIND("[",Tasks[[#This Row],[_Res2Text]]&amp;"[")-1)),res_Name,0),IFERROR(MATCH(TRIM(LEFT(Tasks[[#This Row],[_Res2Text]],FIND("[",Tasks[[#This Row],[_Res2Text]]&amp;"[")-1)),res_Initials,0),0)))</f>
        <v/>
      </c>
      <c r="DQ179" s="42">
        <f>IF(Tasks[[#This Row],[_Res3Text]]="",0,IFERROR(MATCH(TRIM(LEFT(Tasks[[#This Row],[_Res3Text]],FIND("[",Tasks[[#This Row],[_Res3Text]]&amp;"[")-1)),res_Name,0),IFERROR(MATCH(TRIM(LEFT(Tasks[[#This Row],[_Res3Text]],FIND("[",Tasks[[#This Row],[_Res3Text]]&amp;"[")-1)),res_Initials,0),0)))</f>
        <v/>
      </c>
      <c r="DR179" s="42">
        <f>IF(Tasks[[#This Row],[_Res4Text]]="",0,IFERROR(MATCH(TRIM(LEFT(Tasks[[#This Row],[_Res4Text]],FIND("[",Tasks[[#This Row],[_Res4Text]]&amp;"[")-1)),res_Name,0),IFERROR(MATCH(TRIM(LEFT(Tasks[[#This Row],[_Res4Text]],FIND("[",Tasks[[#This Row],[_Res4Text]]&amp;"[")-1)),res_Initials,0),0)))</f>
        <v/>
      </c>
      <c r="DS179" s="42">
        <f>IF(Tasks[[#This Row],[_Res1Text]]="","",IF(Tasks[[#This Row],[_Res1Row]]&gt;0,INDEX(res_Name,Tasks[[#This Row],[_Res1Row]]),TRIM(LEFT(Tasks[[#This Row],[_Res1Text]],FIND("[",Tasks[[#This Row],[_Res1Text]]&amp;"[")-1))))</f>
        <v/>
      </c>
      <c r="DT17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9" s="42">
        <f>IF(NOT(Tasks[[#This Row],[_IsLeaf]]=1),0,(Tasks[[#This Row],[_Resource1]]&lt;&gt;"")+(Tasks[[#This Row],[_Res2]]&lt;&gt;"")+(Tasks[[#This Row],[_Res3]]&lt;&gt;"")+(Tasks[[#This Row],[_Res4]]&lt;&gt;""))</f>
        <v/>
      </c>
      <c r="DV179" s="42">
        <f>IF(Tasks[[#This Row],[_Res2Text]]="","",IF(Tasks[[#This Row],[_Res2Row]]&gt;0,INDEX(res_Name,Tasks[[#This Row],[_Res2Row]]),TRIM(LEFT(Tasks[[#This Row],[_Res2Text]],FIND("[",Tasks[[#This Row],[_Res2Text]]&amp;"[")-1))))</f>
        <v/>
      </c>
      <c r="DW17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9" s="42">
        <f>IF(OR(NOT(Tasks[[#This Row],[_IsLeaf]]=1),Tasks[[#This Row],[_Res2Row]]=0),0,N(Tasks[[#This Row],[_Days]])*HoursPerDay*IF(Tasks[[#This Row],[_Res2Units]]="",DefaultUnits,Tasks[[#This Row],[_Res2Units]]))</f>
        <v/>
      </c>
      <c r="DY179" s="42">
        <f>IF(AND(AND(Tasks[[#This Row],[_IsLeaf]]=1,Tasks[[#This Row],[_LeafTotalWork]]&gt;0),Tasks[[#This Row],[_Res2Work]]&gt;0),Tasks[[#This Row],[_Res2Work]]/(Tasks[[#This Row],[_FinishWorkday]]-Tasks[[#This Row],[_StartWorkday]]+1),0)</f>
        <v/>
      </c>
      <c r="DZ179" s="42">
        <f>Tasks[[#This Row],[_Res2WorkPerWD]]*MAX(0,Tasks[[#This Row],[_StartWorkday]]-1)</f>
        <v/>
      </c>
      <c r="EA179" s="42">
        <f>Tasks[[#This Row],[_Res2Work]]*Tasks[[#This Row],[_LeafProgress]]</f>
        <v/>
      </c>
      <c r="EB179" s="42">
        <f>IF(Tasks[[#This Row],[_Res3Text]]="","",IF(Tasks[[#This Row],[_Res3Row]]&gt;0,INDEX(res_Name,Tasks[[#This Row],[_Res3Row]]),TRIM(LEFT(Tasks[[#This Row],[_Res3Text]],FIND("[",Tasks[[#This Row],[_Res3Text]]&amp;"[")-1))))</f>
        <v/>
      </c>
      <c r="EC17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9" s="42">
        <f>IF(OR(NOT(Tasks[[#This Row],[_IsLeaf]]=1),Tasks[[#This Row],[_Res3Row]]=0),0,N(Tasks[[#This Row],[_Days]])*HoursPerDay*IF(Tasks[[#This Row],[_Res3Units]]="",DefaultUnits,Tasks[[#This Row],[_Res3Units]]))</f>
        <v/>
      </c>
      <c r="EE179" s="42">
        <f>IF(AND(AND(Tasks[[#This Row],[_IsLeaf]]=1,Tasks[[#This Row],[_LeafTotalWork]]&gt;0),Tasks[[#This Row],[_Res3Work]]&gt;0),Tasks[[#This Row],[_Res3Work]]/(Tasks[[#This Row],[_FinishWorkday]]-Tasks[[#This Row],[_StartWorkday]]+1),0)</f>
        <v/>
      </c>
      <c r="EF179" s="42">
        <f>Tasks[[#This Row],[_Res3WorkPerWD]]*MAX(0,Tasks[[#This Row],[_StartWorkday]]-1)</f>
        <v/>
      </c>
      <c r="EG179" s="42">
        <f>Tasks[[#This Row],[_Res3Work]]*Tasks[[#This Row],[_LeafProgress]]</f>
        <v/>
      </c>
      <c r="EH179" s="42">
        <f>IF(Tasks[[#This Row],[_Res4Text]]="","",IF(Tasks[[#This Row],[_Res4Row]]&gt;0,INDEX(res_Name,Tasks[[#This Row],[_Res4Row]]),TRIM(LEFT(Tasks[[#This Row],[_Res4Text]],FIND("[",Tasks[[#This Row],[_Res4Text]]&amp;"[")-1))))</f>
        <v/>
      </c>
      <c r="EI17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9" s="42">
        <f>IF(OR(NOT(Tasks[[#This Row],[_IsLeaf]]=1),Tasks[[#This Row],[_Res4Row]]=0),0,N(Tasks[[#This Row],[_Days]])*HoursPerDay*IF(Tasks[[#This Row],[_Res4Units]]="",DefaultUnits,Tasks[[#This Row],[_Res4Units]]))</f>
        <v/>
      </c>
      <c r="EK179" s="42">
        <f>IF(AND(AND(Tasks[[#This Row],[_IsLeaf]]=1,Tasks[[#This Row],[_LeafTotalWork]]&gt;0),Tasks[[#This Row],[_Res4Work]]&gt;0),Tasks[[#This Row],[_Res4Work]]/(Tasks[[#This Row],[_FinishWorkday]]-Tasks[[#This Row],[_StartWorkday]]+1),0)</f>
        <v/>
      </c>
      <c r="EL179" s="42">
        <f>Tasks[[#This Row],[_Res4WorkPerWD]]*MAX(0,Tasks[[#This Row],[_StartWorkday]]-1)</f>
        <v/>
      </c>
      <c r="EM179" s="42">
        <f>Tasks[[#This Row],[_Res4Work]]*Tasks[[#This Row],[_LeafProgress]]</f>
        <v/>
      </c>
      <c r="EN179" s="42">
        <f>IF(ISNUMBER(Tasks[[#This Row],[% Complete]]),Tasks[[#This Row],[% Complete]],IF(Tasks[[#This Row],[Stage]]="",0,IFERROR(INDEX(stg_Pct,MATCH(Tasks[[#This Row],[Stage]],stg_Name,0)),0)))</f>
        <v/>
      </c>
      <c r="EO179" s="42">
        <f>IF(NOT(Tasks[[#This Row],[_IsLeaf]]=1),0,IF(N(Tasks[[#This Row],[Actual Finish]])&gt;0,1,MIN(1,Tasks[[#This Row],[_Pct]])))</f>
        <v/>
      </c>
      <c r="EP179" s="42">
        <f>IF(OR(NOT(Tasks[[#This Row],[_IsLeaf]]=1),Tasks[[#This Row],[_Res1Row]]=0),0,N(Tasks[[#This Row],[_Days]])*HoursPerDay*IF(Tasks[[#This Row],[_Units1]]="",DefaultUnits,Tasks[[#This Row],[_Units1]]))</f>
        <v/>
      </c>
      <c r="EQ179" s="42">
        <f>Tasks[[#This Row],[_LeafWork]]+Tasks[[#This Row],[_Res2Work]]+Tasks[[#This Row],[_Res3Work]]+Tasks[[#This Row],[_Res4Work]]</f>
        <v/>
      </c>
      <c r="ER17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9" s="42">
        <f>IF(NOT(Tasks[[#This Row],[_IsLeaf]]=1),0,MAX(_xlfn.MAXIFS(Tasks[_Row],Tasks[_Pred1UID],Tasks[[#This Row],[UID]]),_xlfn.MAXIFS(Tasks[_Row],Tasks[_Pred2UID],Tasks[[#This Row],[UID]]),_xlfn.MAXIFS(Tasks[_Row],Tasks[_Pred3UID],Tasks[[#This Row],[UID]]),_xlfn.MAXIFS(Tasks[_Row],Tasks[_Pred4UID],Tasks[[#This Row],[UID]])))</f>
        <v/>
      </c>
      <c r="FA17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9" s="88">
        <f>IF(NOT(Tasks[[#This Row],[_IsLeaf]]=1),"",IF(N(Tasks[[#This Row],[_Days]])&lt;=0,Tasks[[#This Row],[_LeafLateFinish]],WORKDAY.INTL(Tasks[[#This Row],[_LeafLateFinish]],-(Tasks[[#This Row],[_Days]]-1),WorkWeek,Holidays)))</f>
        <v/>
      </c>
      <c r="FD17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9" s="42">
        <f>AND(Tasks[[#This Row],[_IsLeaf]]=1,Tasks[[#This Row],[_LeafProgress]]&lt;1,N(Tasks[[#This Row],[_LeafTotalSlack]])&lt;=CriticalSlackDays)</f>
        <v/>
      </c>
      <c r="FF179" s="42">
        <f>IF(AND(Tasks[[#This Row],[_IsLeaf]]=1,Tasks[[#This Row],[_ConstraintCode]]=1,Tasks[[#This Row],[Mode]]&lt;&gt;"Manual",N(Tasks[[#This Row],[Actual Start]])=0),MAX(0,N(Tasks[[#This Row],[Free Slack]])),0)</f>
        <v/>
      </c>
      <c r="FG179" s="88">
        <f>IF(NOT(Tasks[[#This Row],[_IsLeaf]]=1),"",IF(Tasks[[#This Row],[_AlapShift]]=0,Tasks[[#This Row],[_LeafCalcStart]],WORKDAY.INTL(Tasks[[#This Row],[_LeafCalcStart]],Tasks[[#This Row],[_AlapShift]],WorkWeek,Holidays)))</f>
        <v/>
      </c>
      <c r="FH179" s="88">
        <f>IF(NOT(Tasks[[#This Row],[_IsLeaf]]=1),"",IF(Tasks[[#This Row],[_AlapShift]]=0,Tasks[[#This Row],[_LeafCalcFinish]],WORKDAY.INTL(Tasks[[#This Row],[_LeafCalcFinish]],Tasks[[#This Row],[_AlapShift]],WorkWeek,Holidays)))</f>
        <v/>
      </c>
      <c r="FI179" s="88">
        <f>IF(NOT(Tasks[[#This Row],[_IsLeaf]]=1),"",IF(Tasks[[#This Row],[_AlapShift]]=0,Tasks[[#This Row],[_LeafFcstStart]],WORKDAY.INTL(Tasks[[#This Row],[_LeafFcstStart]],Tasks[[#This Row],[_AlapShift]],WorkWeek,Holidays)))</f>
        <v/>
      </c>
      <c r="FJ179" s="88">
        <f>IF(NOT(Tasks[[#This Row],[_IsLeaf]]=1),"",IF(Tasks[[#This Row],[_AlapShift]]=0,Tasks[[#This Row],[_LeafFcstFinish]],WORKDAY.INTL(Tasks[[#This Row],[_LeafFcstFinish]],Tasks[[#This Row],[_AlapShift]],WorkWeek,Holidays)))</f>
        <v/>
      </c>
      <c r="FK179" s="88">
        <f>IF(Tasks[[#This Row],[Task Name]]="","",IF(Tasks[[#This Row],[_IsSummary]],MIN(INDEX(Tasks[_ShownCalcStart],Tasks[[#This Row],[_Row]]+1):INDEX(Tasks[_ShownCalcStart],Tasks[[#This Row],[_Row]]+Tasks[[#This Row],[_Descendants]])),Tasks[[#This Row],[_ShownCalcStart]]))</f>
        <v/>
      </c>
      <c r="FL179" s="88">
        <f>IF(Tasks[[#This Row],[Task Name]]="","",IF(Tasks[[#This Row],[_IsSummary]],MAX(INDEX(Tasks[_ShownCalcFinish],Tasks[[#This Row],[_Row]]+1):INDEX(Tasks[_ShownCalcFinish],Tasks[[#This Row],[_Row]]+Tasks[[#This Row],[_Descendants]])),Tasks[[#This Row],[_ShownCalcFinish]]))</f>
        <v/>
      </c>
      <c r="FM17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9" s="42">
        <f>IF(AND(Tasks[[#This Row],[_IsLeaf]]=1,Tasks[[#This Row],[_LeafTotalWork]]&gt;0),NETWORKDAYS.INTL(ProjectStart,Tasks[[#This Row],[_ShownFcstStart]],WorkWeek,Holidays),0)</f>
        <v/>
      </c>
      <c r="FZ179" s="42">
        <f>IF(AND(Tasks[[#This Row],[_IsLeaf]]=1,Tasks[[#This Row],[_LeafTotalWork]]&gt;0),MAX(Tasks[[#This Row],[_StartWorkday]],NETWORKDAYS.INTL(ProjectStart,Tasks[[#This Row],[_ShownFcstFinish]],WorkWeek,Holidays)),0)</f>
        <v/>
      </c>
      <c r="GA179" s="42">
        <f>IF(AND(Tasks[[#This Row],[_IsLeaf]]=1,Tasks[[#This Row],[_LeafTotalWork]]&gt;0),Tasks[[#This Row],[_LeafWork]]/(Tasks[[#This Row],[_FinishWorkday]]-Tasks[[#This Row],[_StartWorkday]]+1),0)</f>
        <v/>
      </c>
      <c r="GB179" s="42">
        <f>Tasks[[#This Row],[_WorkPerWorkday]]*(Tasks[[#This Row],[_StartWorkday]]-1)</f>
        <v/>
      </c>
      <c r="GC179" s="42">
        <f>IF(Tasks[[#This Row],[_IsLeaf]]=1,MAX(N(Tasks[[#This Row],[_Days]]),0.1),0)</f>
        <v/>
      </c>
      <c r="GD179" s="42">
        <f>Tasks[[#This Row],[_WeightDur]]*Tasks[[#This Row],[_LeafProgress]]</f>
        <v/>
      </c>
      <c r="GE179" s="42">
        <f>Tasks[[#This Row],[_WeightDur]]*Tasks[[#This Row],[_PlannedPct]]</f>
        <v/>
      </c>
      <c r="GF17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9" s="42">
        <f>IF(AND(Tasks[[#This Row],[_IsLeaf]]=1,N(Tasks[[#This Row],[_Days]])=0,Tasks[[#This Row],[_LeafProgress]]&lt;1),Tasks[[#This Row],[_ShownFcstFinish]]+Tasks[[#This Row],[_Row]]/100000,"")</f>
        <v/>
      </c>
      <c r="GH17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9" s="42">
        <f>IF(Tasks[[#This Row],[Task Name]]="","",LEFT(Tasks[[#This Row],[WBS]],FIND(".",Tasks[[#This Row],[WBS]]&amp;".")-1))</f>
        <v/>
      </c>
      <c r="GJ179" s="42">
        <f>IF(AND(Tasks[[#This Row],[Task Name]]&lt;&gt;"",Tasks[[#This Row],[_Level]]=1),Tasks[[#This Row],[_Row]],"")</f>
        <v/>
      </c>
      <c r="GK179" s="42">
        <f>IF(AND(Tasks[[#This Row],[_IsLeaf]]=1,N(Tasks[[#This Row],[_Days]])=0),Tasks[[#This Row],[Planned Finish]]+Tasks[[#This Row],[_Row]]/100000,"")</f>
        <v/>
      </c>
      <c r="GL179" s="42">
        <f>IF(AND(Tasks[[#This Row],[_IsLeaf]]=1,Tasks[[#This Row],[_LeafProgress]]&lt;1,OR(N(Tasks[[#This Row],[Finish Var]])&gt;0,Tasks[[#This Row],[Status]]="Late Start")),MAX(0,Tasks[[#This Row],[Finish Var]])+1-Tasks[[#This Row],[_Row]]/1000000,"")</f>
        <v/>
      </c>
      <c r="GM179" s="42">
        <f>IF(AND(Tasks[[#This Row],[_IsLeaf]]=1,N(Tasks[[#This Row],[Actual Start]])=0,Tasks[[#This Row],[_ShownFcstStart]]&gt;=StatusDate,Tasks[[#This Row],[_ShownFcstStart]]&lt;=LookaheadEnd),Tasks[[#This Row],[_ShownFcstStart]]+Tasks[[#This Row],[_Row]]/100000,"")</f>
        <v/>
      </c>
      <c r="GN179" s="42">
        <f>IF(AND(Tasks[[#This Row],[_IsLeaf]]=1,Tasks[[#This Row],[_LeafProgress]]&lt;1,Tasks[[#This Row],[_ShownFcstFinish]]&gt;=StatusDate,Tasks[[#This Row],[_ShownFcstFinish]]&lt;=LookaheadEnd),Tasks[[#This Row],[_ShownFcstFinish]]+Tasks[[#This Row],[_Row]]/100000,"")</f>
        <v/>
      </c>
      <c r="GO179" s="42">
        <f>IF(Tasks[[#This Row],[_LeafCritical]],Tasks[[#This Row],[_ShownFcstStart]]+Tasks[[#This Row],[_Row]]/100000,"")</f>
        <v/>
      </c>
      <c r="GP179" s="42">
        <f>Tasks[[#This Row],[_LeafWork]]*Tasks[[#This Row],[_LeafProgress]]</f>
        <v/>
      </c>
      <c r="GQ179" s="88">
        <f>IF(AND(Tasks[[#This Row],[_IsLeaf]]=1,Tasks[[#This Row],[_LeafProgress]]&gt;=1),IF(N(Tasks[[#This Row],[Actual Finish]])&gt;0,Tasks[[#This Row],[Actual Finish]],Tasks[[#This Row],[_ShownFcstFinish]]),"")</f>
        <v/>
      </c>
      <c r="GR179" s="42">
        <f>IF(Tasks[[#This Row],[_IsLeaf]]=1,N(Tasks[[#This Row],[Story Points]]),0)</f>
        <v/>
      </c>
      <c r="GS179" s="42">
        <f>""</f>
        <v/>
      </c>
      <c r="GT179" s="42">
        <f>IF(Tasks[[#This Row],[Task Name]]="",FALSE(),AND(Tasks[[#This Row],[_IsLeaf]]=1,N(Tasks[[#This Row],[_Days]])=0))</f>
        <v/>
      </c>
      <c r="GU179" s="88">
        <f>IF(Tasks[[#This Row],[Task Name]]="",0,IF(AND(Tasks[[#This Row],[_IsLeaf]]=1,NOT(Tasks[[#This Row],[_IsMilestone]]),N(Tasks[[#This Row],[Progress]])&gt;0),Tasks[[#This Row],[Start]],0))</f>
        <v/>
      </c>
      <c r="GV179" s="88">
        <f>IF(Tasks[[#This Row],[_DoneFrom]]=0,0,IF(Tasks[[#This Row],[Progress]]&gt;=1,Tasks[[#This Row],[Finish]],MAX(Tasks[[#This Row],[_DoneFrom]],Tasks[[#This Row],[Start]]+ROUND((Tasks[[#This Row],[Finish]]-Tasks[[#This Row],[Start]]+1)*Tasks[[#This Row],[Progress]],0)-1)))</f>
        <v/>
      </c>
      <c r="GW179" s="88">
        <f>IF(Tasks[[#This Row],[Task Name]]="",0,IF(OR(NOT(Tasks[[#This Row],[_IsLeaf]]=1),Tasks[[#This Row],[_IsMilestone]],N(Tasks[[#This Row],[Progress]])&gt;=1),0,IF(Tasks[[#This Row],[_DoneTo]]&gt;0,Tasks[[#This Row],[_DoneTo]]+1,Tasks[[#This Row],[Start]])))</f>
        <v/>
      </c>
      <c r="GX179" s="88">
        <f>IF(Tasks[[#This Row],[_RemFrom]]=0,0,Tasks[[#This Row],[Finish]])</f>
        <v/>
      </c>
      <c r="GY179" s="42">
        <f>IF(Tasks[[#This Row],[Task Name]]="",FALSE(),OR(NOT(BaselineSet),N(Tasks[[#This Row],[Baseline Start]])&gt;0))</f>
        <v/>
      </c>
      <c r="GZ179" s="42">
        <f>IF(AND(Sandbox="Yes",L_PARSE_DURATION(Tasks[[#This Row],[Sandbox Duration]])&lt;&gt;""),L_PARSE_DURATION(Tasks[[#This Row],[Sandbox Duration]]),L_PARSE_DURATION(Tasks[[#This Row],[Duration]]))</f>
        <v/>
      </c>
      <c r="HA17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7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9" s="42">
        <f>IF(Tasks[[#This Row],[_IsLeaf]]=1,Tasks[[#This Row],[_Row]],"")</f>
        <v/>
      </c>
      <c r="HD179" s="42">
        <f>IFERROR(INDEX(Tasks[UID],SMALL(Tasks[_PickKey],Tasks[[#This Row],[_Row]]))&amp;" "&amp;INDEX(Tasks[Task Name],SMALL(Tasks[_PickKey],Tasks[[#This Row],[_Row]])),"")</f>
        <v/>
      </c>
      <c r="HE179" s="42">
        <f>IF(Tasks[[#This Row],[Task Name]]="","",IF(Tasks[[#This Row],[_IsSummary]],NETWORKDAYS.INTL(Tasks[[#This Row],[Start]],Tasks[[#This Row],[Finish]],WorkWeek,Holidays),N(Tasks[[#This Row],[_Days]])))</f>
        <v/>
      </c>
      <c r="HF179" s="42">
        <f>IF(Tasks[[#This Row],[Expected]]="",0,((Tasks[[#This Row],[Pessimistic]]-Tasks[[#This Row],[Optimistic]])/6)^2)</f>
        <v/>
      </c>
      <c r="HG179" s="42">
        <f>IF(Tasks[[#This Row],[Expected]]="",0,Tasks[[#This Row],[Expected]]-N(Tasks[[#This Row],[_Days]]))</f>
        <v/>
      </c>
    </row>
    <row r="180">
      <c r="A180" s="21">
        <f>IF(Tasks[[#This Row],[Task Name]]="","",COUNTA(Tasks[[#Headers],[Task Name]]:Tasks[[#This Row],[Task Name]])-1)</f>
        <v/>
      </c>
      <c r="B180" s="22" t="n">
        <v>188</v>
      </c>
      <c r="C180" s="22" t="n"/>
      <c r="D180" s="23" t="n"/>
      <c r="E180" s="22" t="n"/>
      <c r="F180" s="23" t="n"/>
      <c r="G180" s="22" t="n"/>
      <c r="H180" s="22" t="n"/>
      <c r="I180" s="23" t="n"/>
      <c r="J180" s="22" t="n"/>
      <c r="K180" s="22" t="n"/>
      <c r="L180" s="23" t="n"/>
      <c r="M180" s="22" t="n"/>
      <c r="N180" s="22" t="n"/>
      <c r="O180" s="23" t="n"/>
      <c r="P180" s="22" t="n"/>
      <c r="Q180" s="22" t="n"/>
      <c r="R180" s="23" t="n"/>
      <c r="S180" s="23" t="n"/>
      <c r="T180" s="82" t="n"/>
      <c r="U180" s="23" t="n"/>
      <c r="V180" s="82" t="n"/>
      <c r="W180" s="23" t="n"/>
      <c r="X180" s="82" t="n"/>
      <c r="Y180" s="23" t="n"/>
      <c r="Z180" s="82" t="n"/>
      <c r="AA180" s="23" t="n"/>
      <c r="AB180" s="23" t="n"/>
      <c r="AC180" s="7" t="n"/>
      <c r="AD180" s="7" t="n"/>
      <c r="AE180" s="61">
        <f>IF(Tasks[[#This Row],[Task Name]]="","",IF(Tasks[[#This Row],[_IsSummary]],MIN(INDEX(Tasks[_ShownFcstStart],Tasks[[#This Row],[_Row]]+1):INDEX(Tasks[_ShownFcstStart],Tasks[[#This Row],[_Row]]+Tasks[[#This Row],[_Descendants]])),Tasks[[#This Row],[_ShownFcstStart]]))</f>
        <v/>
      </c>
      <c r="AF180" s="61">
        <f>IF(Tasks[[#This Row],[Task Name]]="","",IF(Tasks[[#This Row],[_IsSummary]],MAX(INDEX(Tasks[_ShownFcstFinish],Tasks[[#This Row],[_Row]]+1):INDEX(Tasks[_ShownFcstFinish],Tasks[[#This Row],[_Row]]+Tasks[[#This Row],[_Descendants]])),Tasks[[#This Row],[_ShownFcstFinish]]))</f>
        <v/>
      </c>
      <c r="AG180" s="21">
        <f>""</f>
        <v/>
      </c>
      <c r="AH180" s="23" t="n"/>
      <c r="AI18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0" s="7" t="n"/>
      <c r="AK180" s="22" t="n"/>
      <c r="AL180" s="23" t="n"/>
      <c r="AM180" s="7" t="n"/>
      <c r="AN180" s="21">
        <f>IF(Tasks[[#This Row],[Task Name]]="","",IF(Tasks[[#This Row],[Finish]]&gt;=Tasks[[#This Row],[Planned Finish]],NETWORKDAYS.INTL(Tasks[[#This Row],[Planned Finish]],Tasks[[#This Row],[Finish]],WorkWeek,Holidays)-1,1-NETWORKDAYS.INTL(Tasks[[#This Row],[Finish]],Tasks[[#This Row],[Planned Finish]],WorkWeek,Holidays)))</f>
        <v/>
      </c>
      <c r="AO180" s="21">
        <f>IF(Tasks[[#This Row],[Task Name]]="","",IF(Tasks[[#This Row],[Progress]]&gt;=1,"Complete",IF(OR(N(Tasks[[#This Row],[Actual Start]])&gt;0,Tasks[[#This Row],[Progress]]&gt;0),IF(Tasks[[#This Row],[Finish Var]]&gt;0,"Behind","In Progress"),IF(Tasks[[#This Row],[Planned Start]]&lt;StatusDate,"Late Start","Not Started"))))</f>
        <v/>
      </c>
      <c r="AP180" s="21">
        <f>IF(Tasks[[#This Row],[Task Name]]="","",IF(IF(Tasks[[#This Row],[_IsSummary]],COUNTIF(INDEX(Tasks[_LeafCritical],Tasks[[#This Row],[_Row]]+1):INDEX(Tasks[_LeafCritical],Tasks[[#This Row],[_Row]]+Tasks[[#This Row],[_Descendants]]),TRUE())&gt;0,Tasks[[#This Row],[_LeafCritical]]),"Yes",""))</f>
        <v/>
      </c>
      <c r="AQ180" s="61">
        <f>IF(Tasks[[#This Row],[Task Name]]="","",IF(N(Tasks[[#This Row],[Baseline Start]])&gt;0,Tasks[[#This Row],[Baseline Start]],Tasks[[#This Row],[_CalcStart]]))</f>
        <v/>
      </c>
      <c r="AR180" s="61">
        <f>IF(Tasks[[#This Row],[Task Name]]="","",IF(N(Tasks[[#This Row],[Baseline Finish]])&gt;0,Tasks[[#This Row],[Baseline Finish]],Tasks[[#This Row],[_CalcFinish]]))</f>
        <v/>
      </c>
      <c r="AS180" s="21">
        <f>IF(Tasks[[#This Row],[Task Name]]="","",IF(Tasks[[#This Row],[Start]]&gt;=Tasks[[#This Row],[Planned Start]],NETWORKDAYS.INTL(Tasks[[#This Row],[Planned Start]],Tasks[[#This Row],[Start]],WorkWeek,Holidays)-1,1-NETWORKDAYS.INTL(Tasks[[#This Row],[Start]],Tasks[[#This Row],[Planned Start]],WorkWeek,Holidays)))</f>
        <v/>
      </c>
      <c r="AT180" s="61">
        <f>IF(Tasks[[#This Row],[Task Name]]="","",IF(Tasks[[#This Row],[_IsSummary]],MIN(INDEX(Tasks[_LeafLateStart],Tasks[[#This Row],[_Row]]+1):INDEX(Tasks[_LeafLateStart],Tasks[[#This Row],[_Row]]+Tasks[[#This Row],[_Descendants]])),Tasks[[#This Row],[_LeafLateStart]]))</f>
        <v/>
      </c>
      <c r="AU180" s="61">
        <f>IF(Tasks[[#This Row],[Task Name]]="","",IF(Tasks[[#This Row],[_IsSummary]],MAX(INDEX(Tasks[_LeafLateFinish],Tasks[[#This Row],[_Row]]+1):INDEX(Tasks[_LeafLateFinish],Tasks[[#This Row],[_Row]]+Tasks[[#This Row],[_Descendants]])),Tasks[[#This Row],[_LeafLateFinish]]))</f>
        <v/>
      </c>
      <c r="AV180" s="21">
        <f>IF(Tasks[[#This Row],[Task Name]]="","",IF(Tasks[[#This Row],[_IsSummary]],MIN(INDEX(Tasks[_LeafTotalSlack],Tasks[[#This Row],[_Row]]+1):INDEX(Tasks[_LeafTotalSlack],Tasks[[#This Row],[_Row]]+Tasks[[#This Row],[_Descendants]])),Tasks[[#This Row],[_LeafTotalSlack]]))</f>
        <v/>
      </c>
      <c r="AW18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3" t="n"/>
      <c r="BA18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f>IF(Tasks[[#This Row],[Task Name]]="","",IF(Tasks[[#This Row],[_Level]]&lt;=OutlineShowLevel,"Yes","No"))</f>
        <v/>
      </c>
      <c r="BE180" s="84">
        <f>IF(Tasks[[#This Row],[Task Name]]="","",IF(Tasks[[#This Row],[_IsSummary]],SUM(INDEX(Tasks[_LeafTotalWork],Tasks[[#This Row],[_Row]]+1):INDEX(Tasks[_LeafTotalWork],Tasks[[#This Row],[_Row]]+Tasks[[#This Row],[_Descendants]])),Tasks[[#This Row],[_LeafTotalWork]]))</f>
        <v/>
      </c>
      <c r="BF180" s="23" t="n"/>
      <c r="BG18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f>""</f>
        <v/>
      </c>
      <c r="BI180" s="85" t="n"/>
      <c r="BJ180" s="22" t="n"/>
      <c r="BK180" s="21">
        <f>IF(OR(Tasks[[#This Row],[Task Name]]="",Tasks[[#This Row],[Baseline Duration]]=""),"",Tasks[[#This Row],[_SpanDays]]-N(Tasks[[#This Row],[Baseline Duration]]))</f>
        <v/>
      </c>
      <c r="BL180" s="84">
        <f>IF(OR(Tasks[[#This Row],[Task Name]]="",Tasks[[#This Row],[Baseline Work]]=""),"",Tasks[[#This Row],[Work]]-N(Tasks[[#This Row],[Baseline Work]]))</f>
        <v/>
      </c>
      <c r="BM180" s="61">
        <f>IF(Tasks[[#This Row],[Task Name]]="","",IF(OR(TakeBaseline="Yes",N(Tasks[[#This Row],[Baseline Start]])=0),Tasks[[#This Row],[Start]],Tasks[[#This Row],[Baseline Start]]))</f>
        <v/>
      </c>
      <c r="BN180" s="61">
        <f>IF(Tasks[[#This Row],[Task Name]]="","",IF(OR(TakeBaseline="Yes",N(Tasks[[#This Row],[Baseline Finish]])=0),Tasks[[#This Row],[Finish]],Tasks[[#This Row],[Baseline Finish]]))</f>
        <v/>
      </c>
      <c r="BO180" s="21">
        <f>IF(Tasks[[#This Row],[Task Name]]="","",IF(OR(TakeBaseline="Yes",N(Tasks[[#This Row],[Baseline Duration]])=0),Tasks[[#This Row],[_SpanDays]],Tasks[[#This Row],[Baseline Duration]]))</f>
        <v/>
      </c>
      <c r="BP180" s="84">
        <f>IF(Tasks[[#This Row],[Task Name]]="","",IF(OR(TakeBaseline="Yes",N(Tasks[[#This Row],[Baseline Work]])=0),Tasks[[#This Row],[Work]],Tasks[[#This Row],[Baseline Work]]))</f>
        <v/>
      </c>
      <c r="BQ180" s="7" t="n"/>
      <c r="BR180" s="7" t="n"/>
      <c r="BS180" s="22" t="n"/>
      <c r="BT180" s="86" t="n"/>
      <c r="BU180" s="23" t="n"/>
      <c r="BV180" s="23" t="n"/>
      <c r="BW180" s="23" t="n"/>
      <c r="BX180" s="87">
        <f>IF(AND(Tasks[[#This Row],[_IsLeaf]]=1,ISNUMBER(Tasks[[#This Row],[Optimistic]]),ISNUMBER(Tasks[[#This Row],[Pessimistic]])),ROUND((Tasks[[#This Row],[Optimistic]]+4*N(Tasks[[#This Row],[_Days]])+Tasks[[#This Row],[Pessimistic]])/6,1),"")</f>
        <v/>
      </c>
      <c r="BY180" s="85" t="n"/>
      <c r="BZ180" s="85" t="n"/>
      <c r="CA180" s="22" t="n"/>
      <c r="CB180" s="42">
        <f>IF(Tasks[[#This Row],[Task Name]]="","",MAX(1,N(Tasks[[#This Row],[Level]])))</f>
        <v/>
      </c>
      <c r="CC180" s="42">
        <f>ROW()-ROW(Tasks[[#Headers],[ID]])</f>
        <v/>
      </c>
      <c r="CD180" s="42">
        <f>IF(OR(Tasks[[#This Row],[Task Name]]="",Tasks[[#This Row],[_Level]]&lt;=1),0,IFERROR(LOOKUP(2,1/(Tasks[[#Headers],[_Level]]:Tasks[[#This Row],[_Level]]=Tasks[[#This Row],[_Level]]-1),ROW(Tasks[[#Headers],[_Level]]:Tasks[[#This Row],[_Level]])),0))</f>
        <v/>
      </c>
      <c r="CE180" s="42">
        <f>IFERROR(N(INDEX(Tasks[_Level],Tasks[[#This Row],[_Row]]+1)),0)</f>
        <v/>
      </c>
      <c r="CF180" s="42">
        <f>AND(Tasks[[#This Row],[Task Name]]&lt;&gt;"",Tasks[[#This Row],[_NextLevel]]&gt;Tasks[[#This Row],[_Level]])</f>
        <v/>
      </c>
      <c r="CG180" s="42">
        <f>IF(Tasks[[#This Row],[_IsSummary]],COUNTIF(Tasks[WBS],Tasks[[#This Row],[WBS]]&amp;".*"),0)</f>
        <v/>
      </c>
      <c r="CH180" s="42">
        <f>IF(AND(Tasks[[#This Row],[Task Name]]&lt;&gt;"",NOT(Tasks[[#This Row],[_IsSummary]])),1,0)</f>
        <v/>
      </c>
      <c r="CI180" s="42">
        <f>IF(N(Tasks[[#This Row],[_Pred1UID]])=0,0,IFERROR(MATCH(Tasks[[#This Row],[_Pred1UID]],Tasks[UID],0),-1))</f>
        <v/>
      </c>
      <c r="CJ180" s="42">
        <f>IF(N(Tasks[[#This Row],[_Pred2UID]])=0,0,IFERROR(MATCH(Tasks[[#This Row],[_Pred2UID]],Tasks[UID],0),-1))</f>
        <v/>
      </c>
      <c r="CK180" s="42">
        <f>IF(N(Tasks[[#This Row],[_Pred3UID]])=0,0,IFERROR(MATCH(Tasks[[#This Row],[_Pred3UID]],Tasks[UID],0),-1))</f>
        <v/>
      </c>
      <c r="CL180" s="42">
        <f>IF(N(Tasks[[#This Row],[_Pred4UID]])=0,0,IFERROR(MATCH(Tasks[[#This Row],[_Pred4UID]],Tasks[UID],0),-1))</f>
        <v/>
      </c>
      <c r="CM18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0" s="88">
        <f>IF(N(Tasks[[#This Row],[Constraint Date]])=0,0,IF(AND(OR(Tasks[[#This Row],[_ConstraintCode]]=3,Tasks[[#This Row],[_ConstraintCode]]=6,Tasks[[#This Row],[_ConstraintCode]]=7),N(Tasks[[#This Row],[_Days]])&gt;1),WORKDAY.INTL(N(Tasks[[#This Row],[Constraint Date]]),-(N(Tasks[[#This Row],[_Days]])-1),WorkWeek,Holidays),N(Tasks[[#This Row],[Constraint Date]])))</f>
        <v/>
      </c>
      <c r="CO180" s="88">
        <f>IF(OR(Tasks[[#This Row],[_ConstraintCode]]=2,Tasks[[#This Row],[_ConstraintCode]]=3,Tasks[[#This Row],[_ConstraintCode]]=4,Tasks[[#This Row],[_ConstraintCode]]=6),Tasks[[#This Row],[_ConstraintStart]],0)</f>
        <v/>
      </c>
      <c r="CP180" s="88">
        <f>IF(OR(Tasks[[#This Row],[_ConstraintCode]]=2,Tasks[[#This Row],[_ConstraintCode]]=3,Tasks[[#This Row],[_ConstraintCode]]=5,Tasks[[#This Row],[_ConstraintCode]]=7),Tasks[[#This Row],[_ConstraintStart]],2958465)</f>
        <v/>
      </c>
      <c r="CQ18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0" s="88">
        <f>IF(NOT(Tasks[[#This Row],[_IsLeaf]]=1),"",IF(N(Tasks[[#This Row],[_Days]])&lt;=0,Tasks[[#This Row],[_LeafCalcStart]],WORKDAY.INTL(Tasks[[#This Row],[_LeafCalcStart]],Tasks[[#This Row],[_Days]]-1,WorkWeek,Holidays)))</f>
        <v/>
      </c>
      <c r="CS18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0" s="42">
        <f>IF(Tasks[[#This Row],[_Predecessors]]="","",TRIM(MID(SUBSTITUTE(SUBSTITUTE(SUBSTITUTE(UPPER(Tasks[[#This Row],[_Predecessors]]),";",",")," ",""),",",REPT(" ",99)),1,99)))</f>
        <v/>
      </c>
      <c r="CV180" s="42">
        <f>IF(Tasks[[#This Row],[_Pred1Text]]="","",IFERROR(VALUE(LEFT(Tasks[[#This Row],[_Pred1Text]],MIN(FIND("F",Tasks[[#This Row],[_Pred1Text]]&amp;"F"),FIND("S",Tasks[[#This Row],[_Pred1Text]]&amp;"S"),FIND("+",Tasks[[#This Row],[_Pred1Text]]&amp;"+"),FIND("-",Tasks[[#This Row],[_Pred1Text]]&amp;"-"))-1)),""))</f>
        <v/>
      </c>
      <c r="CW18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0" s="42">
        <f>IF(Tasks[[#This Row],[_Pred1Text]]="","",TRIM(MID(SUBSTITUTE(SUBSTITUTE(SUBSTITUTE(UPPER(Tasks[[#This Row],[_Predecessors]]),";",",")," ",""),",",REPT(" ",99)),100,99)))</f>
        <v/>
      </c>
      <c r="CZ180" s="42">
        <f>IF(Tasks[[#This Row],[_Pred2Text]]="","",IFERROR(VALUE(LEFT(Tasks[[#This Row],[_Pred2Text]],MIN(FIND("F",Tasks[[#This Row],[_Pred2Text]]&amp;"F"),FIND("S",Tasks[[#This Row],[_Pred2Text]]&amp;"S"),FIND("+",Tasks[[#This Row],[_Pred2Text]]&amp;"+"),FIND("-",Tasks[[#This Row],[_Pred2Text]]&amp;"-"))-1)),""))</f>
        <v/>
      </c>
      <c r="DA18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0" s="42">
        <f>IF(Tasks[[#This Row],[_Pred2Text]]="","",TRIM(MID(SUBSTITUTE(SUBSTITUTE(SUBSTITUTE(UPPER(Tasks[[#This Row],[_Predecessors]]),";",",")," ",""),",",REPT(" ",99)),199,99)))</f>
        <v/>
      </c>
      <c r="DD180" s="42">
        <f>IF(Tasks[[#This Row],[_Pred3Text]]="","",IFERROR(VALUE(LEFT(Tasks[[#This Row],[_Pred3Text]],MIN(FIND("F",Tasks[[#This Row],[_Pred3Text]]&amp;"F"),FIND("S",Tasks[[#This Row],[_Pred3Text]]&amp;"S"),FIND("+",Tasks[[#This Row],[_Pred3Text]]&amp;"+"),FIND("-",Tasks[[#This Row],[_Pred3Text]]&amp;"-"))-1)),""))</f>
        <v/>
      </c>
      <c r="DE18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0" s="42">
        <f>IF(Tasks[[#This Row],[_Pred3Text]]="","",TRIM(MID(SUBSTITUTE(SUBSTITUTE(SUBSTITUTE(UPPER(Tasks[[#This Row],[_Predecessors]]),";",",")," ",""),",",REPT(" ",99)),298,99)))</f>
        <v/>
      </c>
      <c r="DH180" s="42">
        <f>IF(Tasks[[#This Row],[_Pred4Text]]="","",IFERROR(VALUE(LEFT(Tasks[[#This Row],[_Pred4Text]],MIN(FIND("F",Tasks[[#This Row],[_Pred4Text]]&amp;"F"),FIND("S",Tasks[[#This Row],[_Pred4Text]]&amp;"S"),FIND("+",Tasks[[#This Row],[_Pred4Text]]&amp;"+"),FIND("-",Tasks[[#This Row],[_Pred4Text]]&amp;"-"))-1)),""))</f>
        <v/>
      </c>
      <c r="DI18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0" s="42">
        <f>IF(OR(Tasks[[#This Row],[Task Name]]="",Tasks[[#This Row],[_Resources]]=""),"",TRIM(MID(SUBSTITUTE(Tasks[[#This Row],[_Resources]],",",REPT(" ",99)),1,99)))</f>
        <v/>
      </c>
      <c r="DL180" s="42">
        <f>IF(Tasks[[#This Row],[_Res1Text]]="","",TRIM(MID(SUBSTITUTE(Tasks[[#This Row],[_Resources]],",",REPT(" ",99)),100,99)))</f>
        <v/>
      </c>
      <c r="DM180" s="42">
        <f>IF(Tasks[[#This Row],[_Res2Text]]="","",TRIM(MID(SUBSTITUTE(Tasks[[#This Row],[_Resources]],",",REPT(" ",99)),199,99)))</f>
        <v/>
      </c>
      <c r="DN180" s="42">
        <f>IF(Tasks[[#This Row],[_Res3Text]]="","",TRIM(MID(SUBSTITUTE(Tasks[[#This Row],[_Resources]],",",REPT(" ",99)),298,99)))</f>
        <v/>
      </c>
      <c r="DO180" s="42">
        <f>IF(Tasks[[#This Row],[_Res1Text]]="",0,IFERROR(MATCH(TRIM(LEFT(Tasks[[#This Row],[_Res1Text]],FIND("[",Tasks[[#This Row],[_Res1Text]]&amp;"[")-1)),res_Name,0),IFERROR(MATCH(TRIM(LEFT(Tasks[[#This Row],[_Res1Text]],FIND("[",Tasks[[#This Row],[_Res1Text]]&amp;"[")-1)),res_Initials,0),0)))</f>
        <v/>
      </c>
      <c r="DP180" s="42">
        <f>IF(Tasks[[#This Row],[_Res2Text]]="",0,IFERROR(MATCH(TRIM(LEFT(Tasks[[#This Row],[_Res2Text]],FIND("[",Tasks[[#This Row],[_Res2Text]]&amp;"[")-1)),res_Name,0),IFERROR(MATCH(TRIM(LEFT(Tasks[[#This Row],[_Res2Text]],FIND("[",Tasks[[#This Row],[_Res2Text]]&amp;"[")-1)),res_Initials,0),0)))</f>
        <v/>
      </c>
      <c r="DQ180" s="42">
        <f>IF(Tasks[[#This Row],[_Res3Text]]="",0,IFERROR(MATCH(TRIM(LEFT(Tasks[[#This Row],[_Res3Text]],FIND("[",Tasks[[#This Row],[_Res3Text]]&amp;"[")-1)),res_Name,0),IFERROR(MATCH(TRIM(LEFT(Tasks[[#This Row],[_Res3Text]],FIND("[",Tasks[[#This Row],[_Res3Text]]&amp;"[")-1)),res_Initials,0),0)))</f>
        <v/>
      </c>
      <c r="DR180" s="42">
        <f>IF(Tasks[[#This Row],[_Res4Text]]="",0,IFERROR(MATCH(TRIM(LEFT(Tasks[[#This Row],[_Res4Text]],FIND("[",Tasks[[#This Row],[_Res4Text]]&amp;"[")-1)),res_Name,0),IFERROR(MATCH(TRIM(LEFT(Tasks[[#This Row],[_Res4Text]],FIND("[",Tasks[[#This Row],[_Res4Text]]&amp;"[")-1)),res_Initials,0),0)))</f>
        <v/>
      </c>
      <c r="DS180" s="42">
        <f>IF(Tasks[[#This Row],[_Res1Text]]="","",IF(Tasks[[#This Row],[_Res1Row]]&gt;0,INDEX(res_Name,Tasks[[#This Row],[_Res1Row]]),TRIM(LEFT(Tasks[[#This Row],[_Res1Text]],FIND("[",Tasks[[#This Row],[_Res1Text]]&amp;"[")-1))))</f>
        <v/>
      </c>
      <c r="DT18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0" s="42">
        <f>IF(NOT(Tasks[[#This Row],[_IsLeaf]]=1),0,(Tasks[[#This Row],[_Resource1]]&lt;&gt;"")+(Tasks[[#This Row],[_Res2]]&lt;&gt;"")+(Tasks[[#This Row],[_Res3]]&lt;&gt;"")+(Tasks[[#This Row],[_Res4]]&lt;&gt;""))</f>
        <v/>
      </c>
      <c r="DV180" s="42">
        <f>IF(Tasks[[#This Row],[_Res2Text]]="","",IF(Tasks[[#This Row],[_Res2Row]]&gt;0,INDEX(res_Name,Tasks[[#This Row],[_Res2Row]]),TRIM(LEFT(Tasks[[#This Row],[_Res2Text]],FIND("[",Tasks[[#This Row],[_Res2Text]]&amp;"[")-1))))</f>
        <v/>
      </c>
      <c r="DW18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0" s="42">
        <f>IF(OR(NOT(Tasks[[#This Row],[_IsLeaf]]=1),Tasks[[#This Row],[_Res2Row]]=0),0,N(Tasks[[#This Row],[_Days]])*HoursPerDay*IF(Tasks[[#This Row],[_Res2Units]]="",DefaultUnits,Tasks[[#This Row],[_Res2Units]]))</f>
        <v/>
      </c>
      <c r="DY180" s="42">
        <f>IF(AND(AND(Tasks[[#This Row],[_IsLeaf]]=1,Tasks[[#This Row],[_LeafTotalWork]]&gt;0),Tasks[[#This Row],[_Res2Work]]&gt;0),Tasks[[#This Row],[_Res2Work]]/(Tasks[[#This Row],[_FinishWorkday]]-Tasks[[#This Row],[_StartWorkday]]+1),0)</f>
        <v/>
      </c>
      <c r="DZ180" s="42">
        <f>Tasks[[#This Row],[_Res2WorkPerWD]]*MAX(0,Tasks[[#This Row],[_StartWorkday]]-1)</f>
        <v/>
      </c>
      <c r="EA180" s="42">
        <f>Tasks[[#This Row],[_Res2Work]]*Tasks[[#This Row],[_LeafProgress]]</f>
        <v/>
      </c>
      <c r="EB180" s="42">
        <f>IF(Tasks[[#This Row],[_Res3Text]]="","",IF(Tasks[[#This Row],[_Res3Row]]&gt;0,INDEX(res_Name,Tasks[[#This Row],[_Res3Row]]),TRIM(LEFT(Tasks[[#This Row],[_Res3Text]],FIND("[",Tasks[[#This Row],[_Res3Text]]&amp;"[")-1))))</f>
        <v/>
      </c>
      <c r="EC18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0" s="42">
        <f>IF(OR(NOT(Tasks[[#This Row],[_IsLeaf]]=1),Tasks[[#This Row],[_Res3Row]]=0),0,N(Tasks[[#This Row],[_Days]])*HoursPerDay*IF(Tasks[[#This Row],[_Res3Units]]="",DefaultUnits,Tasks[[#This Row],[_Res3Units]]))</f>
        <v/>
      </c>
      <c r="EE180" s="42">
        <f>IF(AND(AND(Tasks[[#This Row],[_IsLeaf]]=1,Tasks[[#This Row],[_LeafTotalWork]]&gt;0),Tasks[[#This Row],[_Res3Work]]&gt;0),Tasks[[#This Row],[_Res3Work]]/(Tasks[[#This Row],[_FinishWorkday]]-Tasks[[#This Row],[_StartWorkday]]+1),0)</f>
        <v/>
      </c>
      <c r="EF180" s="42">
        <f>Tasks[[#This Row],[_Res3WorkPerWD]]*MAX(0,Tasks[[#This Row],[_StartWorkday]]-1)</f>
        <v/>
      </c>
      <c r="EG180" s="42">
        <f>Tasks[[#This Row],[_Res3Work]]*Tasks[[#This Row],[_LeafProgress]]</f>
        <v/>
      </c>
      <c r="EH180" s="42">
        <f>IF(Tasks[[#This Row],[_Res4Text]]="","",IF(Tasks[[#This Row],[_Res4Row]]&gt;0,INDEX(res_Name,Tasks[[#This Row],[_Res4Row]]),TRIM(LEFT(Tasks[[#This Row],[_Res4Text]],FIND("[",Tasks[[#This Row],[_Res4Text]]&amp;"[")-1))))</f>
        <v/>
      </c>
      <c r="EI18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0" s="42">
        <f>IF(OR(NOT(Tasks[[#This Row],[_IsLeaf]]=1),Tasks[[#This Row],[_Res4Row]]=0),0,N(Tasks[[#This Row],[_Days]])*HoursPerDay*IF(Tasks[[#This Row],[_Res4Units]]="",DefaultUnits,Tasks[[#This Row],[_Res4Units]]))</f>
        <v/>
      </c>
      <c r="EK180" s="42">
        <f>IF(AND(AND(Tasks[[#This Row],[_IsLeaf]]=1,Tasks[[#This Row],[_LeafTotalWork]]&gt;0),Tasks[[#This Row],[_Res4Work]]&gt;0),Tasks[[#This Row],[_Res4Work]]/(Tasks[[#This Row],[_FinishWorkday]]-Tasks[[#This Row],[_StartWorkday]]+1),0)</f>
        <v/>
      </c>
      <c r="EL180" s="42">
        <f>Tasks[[#This Row],[_Res4WorkPerWD]]*MAX(0,Tasks[[#This Row],[_StartWorkday]]-1)</f>
        <v/>
      </c>
      <c r="EM180" s="42">
        <f>Tasks[[#This Row],[_Res4Work]]*Tasks[[#This Row],[_LeafProgress]]</f>
        <v/>
      </c>
      <c r="EN180" s="42">
        <f>IF(ISNUMBER(Tasks[[#This Row],[% Complete]]),Tasks[[#This Row],[% Complete]],IF(Tasks[[#This Row],[Stage]]="",0,IFERROR(INDEX(stg_Pct,MATCH(Tasks[[#This Row],[Stage]],stg_Name,0)),0)))</f>
        <v/>
      </c>
      <c r="EO180" s="42">
        <f>IF(NOT(Tasks[[#This Row],[_IsLeaf]]=1),0,IF(N(Tasks[[#This Row],[Actual Finish]])&gt;0,1,MIN(1,Tasks[[#This Row],[_Pct]])))</f>
        <v/>
      </c>
      <c r="EP180" s="42">
        <f>IF(OR(NOT(Tasks[[#This Row],[_IsLeaf]]=1),Tasks[[#This Row],[_Res1Row]]=0),0,N(Tasks[[#This Row],[_Days]])*HoursPerDay*IF(Tasks[[#This Row],[_Units1]]="",DefaultUnits,Tasks[[#This Row],[_Units1]]))</f>
        <v/>
      </c>
      <c r="EQ180" s="42">
        <f>Tasks[[#This Row],[_LeafWork]]+Tasks[[#This Row],[_Res2Work]]+Tasks[[#This Row],[_Res3Work]]+Tasks[[#This Row],[_Res4Work]]</f>
        <v/>
      </c>
      <c r="ER18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0" s="42">
        <f>IF(NOT(Tasks[[#This Row],[_IsLeaf]]=1),0,MAX(_xlfn.MAXIFS(Tasks[_Row],Tasks[_Pred1UID],Tasks[[#This Row],[UID]]),_xlfn.MAXIFS(Tasks[_Row],Tasks[_Pred2UID],Tasks[[#This Row],[UID]]),_xlfn.MAXIFS(Tasks[_Row],Tasks[_Pred3UID],Tasks[[#This Row],[UID]]),_xlfn.MAXIFS(Tasks[_Row],Tasks[_Pred4UID],Tasks[[#This Row],[UID]])))</f>
        <v/>
      </c>
      <c r="FA18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0" s="88">
        <f>IF(NOT(Tasks[[#This Row],[_IsLeaf]]=1),"",IF(N(Tasks[[#This Row],[_Days]])&lt;=0,Tasks[[#This Row],[_LeafLateFinish]],WORKDAY.INTL(Tasks[[#This Row],[_LeafLateFinish]],-(Tasks[[#This Row],[_Days]]-1),WorkWeek,Holidays)))</f>
        <v/>
      </c>
      <c r="FD18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0" s="42">
        <f>AND(Tasks[[#This Row],[_IsLeaf]]=1,Tasks[[#This Row],[_LeafProgress]]&lt;1,N(Tasks[[#This Row],[_LeafTotalSlack]])&lt;=CriticalSlackDays)</f>
        <v/>
      </c>
      <c r="FF180" s="42">
        <f>IF(AND(Tasks[[#This Row],[_IsLeaf]]=1,Tasks[[#This Row],[_ConstraintCode]]=1,Tasks[[#This Row],[Mode]]&lt;&gt;"Manual",N(Tasks[[#This Row],[Actual Start]])=0),MAX(0,N(Tasks[[#This Row],[Free Slack]])),0)</f>
        <v/>
      </c>
      <c r="FG180" s="88">
        <f>IF(NOT(Tasks[[#This Row],[_IsLeaf]]=1),"",IF(Tasks[[#This Row],[_AlapShift]]=0,Tasks[[#This Row],[_LeafCalcStart]],WORKDAY.INTL(Tasks[[#This Row],[_LeafCalcStart]],Tasks[[#This Row],[_AlapShift]],WorkWeek,Holidays)))</f>
        <v/>
      </c>
      <c r="FH180" s="88">
        <f>IF(NOT(Tasks[[#This Row],[_IsLeaf]]=1),"",IF(Tasks[[#This Row],[_AlapShift]]=0,Tasks[[#This Row],[_LeafCalcFinish]],WORKDAY.INTL(Tasks[[#This Row],[_LeafCalcFinish]],Tasks[[#This Row],[_AlapShift]],WorkWeek,Holidays)))</f>
        <v/>
      </c>
      <c r="FI180" s="88">
        <f>IF(NOT(Tasks[[#This Row],[_IsLeaf]]=1),"",IF(Tasks[[#This Row],[_AlapShift]]=0,Tasks[[#This Row],[_LeafFcstStart]],WORKDAY.INTL(Tasks[[#This Row],[_LeafFcstStart]],Tasks[[#This Row],[_AlapShift]],WorkWeek,Holidays)))</f>
        <v/>
      </c>
      <c r="FJ180" s="88">
        <f>IF(NOT(Tasks[[#This Row],[_IsLeaf]]=1),"",IF(Tasks[[#This Row],[_AlapShift]]=0,Tasks[[#This Row],[_LeafFcstFinish]],WORKDAY.INTL(Tasks[[#This Row],[_LeafFcstFinish]],Tasks[[#This Row],[_AlapShift]],WorkWeek,Holidays)))</f>
        <v/>
      </c>
      <c r="FK180" s="88">
        <f>IF(Tasks[[#This Row],[Task Name]]="","",IF(Tasks[[#This Row],[_IsSummary]],MIN(INDEX(Tasks[_ShownCalcStart],Tasks[[#This Row],[_Row]]+1):INDEX(Tasks[_ShownCalcStart],Tasks[[#This Row],[_Row]]+Tasks[[#This Row],[_Descendants]])),Tasks[[#This Row],[_ShownCalcStart]]))</f>
        <v/>
      </c>
      <c r="FL180" s="88">
        <f>IF(Tasks[[#This Row],[Task Name]]="","",IF(Tasks[[#This Row],[_IsSummary]],MAX(INDEX(Tasks[_ShownCalcFinish],Tasks[[#This Row],[_Row]]+1):INDEX(Tasks[_ShownCalcFinish],Tasks[[#This Row],[_Row]]+Tasks[[#This Row],[_Descendants]])),Tasks[[#This Row],[_ShownCalcFinish]]))</f>
        <v/>
      </c>
      <c r="FM18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0" s="42">
        <f>IF(AND(Tasks[[#This Row],[_IsLeaf]]=1,Tasks[[#This Row],[_LeafTotalWork]]&gt;0),NETWORKDAYS.INTL(ProjectStart,Tasks[[#This Row],[_ShownFcstStart]],WorkWeek,Holidays),0)</f>
        <v/>
      </c>
      <c r="FZ180" s="42">
        <f>IF(AND(Tasks[[#This Row],[_IsLeaf]]=1,Tasks[[#This Row],[_LeafTotalWork]]&gt;0),MAX(Tasks[[#This Row],[_StartWorkday]],NETWORKDAYS.INTL(ProjectStart,Tasks[[#This Row],[_ShownFcstFinish]],WorkWeek,Holidays)),0)</f>
        <v/>
      </c>
      <c r="GA180" s="42">
        <f>IF(AND(Tasks[[#This Row],[_IsLeaf]]=1,Tasks[[#This Row],[_LeafTotalWork]]&gt;0),Tasks[[#This Row],[_LeafWork]]/(Tasks[[#This Row],[_FinishWorkday]]-Tasks[[#This Row],[_StartWorkday]]+1),0)</f>
        <v/>
      </c>
      <c r="GB180" s="42">
        <f>Tasks[[#This Row],[_WorkPerWorkday]]*(Tasks[[#This Row],[_StartWorkday]]-1)</f>
        <v/>
      </c>
      <c r="GC180" s="42">
        <f>IF(Tasks[[#This Row],[_IsLeaf]]=1,MAX(N(Tasks[[#This Row],[_Days]]),0.1),0)</f>
        <v/>
      </c>
      <c r="GD180" s="42">
        <f>Tasks[[#This Row],[_WeightDur]]*Tasks[[#This Row],[_LeafProgress]]</f>
        <v/>
      </c>
      <c r="GE180" s="42">
        <f>Tasks[[#This Row],[_WeightDur]]*Tasks[[#This Row],[_PlannedPct]]</f>
        <v/>
      </c>
      <c r="GF18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0" s="42">
        <f>IF(AND(Tasks[[#This Row],[_IsLeaf]]=1,N(Tasks[[#This Row],[_Days]])=0,Tasks[[#This Row],[_LeafProgress]]&lt;1),Tasks[[#This Row],[_ShownFcstFinish]]+Tasks[[#This Row],[_Row]]/100000,"")</f>
        <v/>
      </c>
      <c r="GH18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0" s="42">
        <f>IF(Tasks[[#This Row],[Task Name]]="","",LEFT(Tasks[[#This Row],[WBS]],FIND(".",Tasks[[#This Row],[WBS]]&amp;".")-1))</f>
        <v/>
      </c>
      <c r="GJ180" s="42">
        <f>IF(AND(Tasks[[#This Row],[Task Name]]&lt;&gt;"",Tasks[[#This Row],[_Level]]=1),Tasks[[#This Row],[_Row]],"")</f>
        <v/>
      </c>
      <c r="GK180" s="42">
        <f>IF(AND(Tasks[[#This Row],[_IsLeaf]]=1,N(Tasks[[#This Row],[_Days]])=0),Tasks[[#This Row],[Planned Finish]]+Tasks[[#This Row],[_Row]]/100000,"")</f>
        <v/>
      </c>
      <c r="GL180" s="42">
        <f>IF(AND(Tasks[[#This Row],[_IsLeaf]]=1,Tasks[[#This Row],[_LeafProgress]]&lt;1,OR(N(Tasks[[#This Row],[Finish Var]])&gt;0,Tasks[[#This Row],[Status]]="Late Start")),MAX(0,Tasks[[#This Row],[Finish Var]])+1-Tasks[[#This Row],[_Row]]/1000000,"")</f>
        <v/>
      </c>
      <c r="GM180" s="42">
        <f>IF(AND(Tasks[[#This Row],[_IsLeaf]]=1,N(Tasks[[#This Row],[Actual Start]])=0,Tasks[[#This Row],[_ShownFcstStart]]&gt;=StatusDate,Tasks[[#This Row],[_ShownFcstStart]]&lt;=LookaheadEnd),Tasks[[#This Row],[_ShownFcstStart]]+Tasks[[#This Row],[_Row]]/100000,"")</f>
        <v/>
      </c>
      <c r="GN180" s="42">
        <f>IF(AND(Tasks[[#This Row],[_IsLeaf]]=1,Tasks[[#This Row],[_LeafProgress]]&lt;1,Tasks[[#This Row],[_ShownFcstFinish]]&gt;=StatusDate,Tasks[[#This Row],[_ShownFcstFinish]]&lt;=LookaheadEnd),Tasks[[#This Row],[_ShownFcstFinish]]+Tasks[[#This Row],[_Row]]/100000,"")</f>
        <v/>
      </c>
      <c r="GO180" s="42">
        <f>IF(Tasks[[#This Row],[_LeafCritical]],Tasks[[#This Row],[_ShownFcstStart]]+Tasks[[#This Row],[_Row]]/100000,"")</f>
        <v/>
      </c>
      <c r="GP180" s="42">
        <f>Tasks[[#This Row],[_LeafWork]]*Tasks[[#This Row],[_LeafProgress]]</f>
        <v/>
      </c>
      <c r="GQ180" s="88">
        <f>IF(AND(Tasks[[#This Row],[_IsLeaf]]=1,Tasks[[#This Row],[_LeafProgress]]&gt;=1),IF(N(Tasks[[#This Row],[Actual Finish]])&gt;0,Tasks[[#This Row],[Actual Finish]],Tasks[[#This Row],[_ShownFcstFinish]]),"")</f>
        <v/>
      </c>
      <c r="GR180" s="42">
        <f>IF(Tasks[[#This Row],[_IsLeaf]]=1,N(Tasks[[#This Row],[Story Points]]),0)</f>
        <v/>
      </c>
      <c r="GS180" s="42">
        <f>""</f>
        <v/>
      </c>
      <c r="GT180" s="42">
        <f>IF(Tasks[[#This Row],[Task Name]]="",FALSE(),AND(Tasks[[#This Row],[_IsLeaf]]=1,N(Tasks[[#This Row],[_Days]])=0))</f>
        <v/>
      </c>
      <c r="GU180" s="88">
        <f>IF(Tasks[[#This Row],[Task Name]]="",0,IF(AND(Tasks[[#This Row],[_IsLeaf]]=1,NOT(Tasks[[#This Row],[_IsMilestone]]),N(Tasks[[#This Row],[Progress]])&gt;0),Tasks[[#This Row],[Start]],0))</f>
        <v/>
      </c>
      <c r="GV180" s="88">
        <f>IF(Tasks[[#This Row],[_DoneFrom]]=0,0,IF(Tasks[[#This Row],[Progress]]&gt;=1,Tasks[[#This Row],[Finish]],MAX(Tasks[[#This Row],[_DoneFrom]],Tasks[[#This Row],[Start]]+ROUND((Tasks[[#This Row],[Finish]]-Tasks[[#This Row],[Start]]+1)*Tasks[[#This Row],[Progress]],0)-1)))</f>
        <v/>
      </c>
      <c r="GW180" s="88">
        <f>IF(Tasks[[#This Row],[Task Name]]="",0,IF(OR(NOT(Tasks[[#This Row],[_IsLeaf]]=1),Tasks[[#This Row],[_IsMilestone]],N(Tasks[[#This Row],[Progress]])&gt;=1),0,IF(Tasks[[#This Row],[_DoneTo]]&gt;0,Tasks[[#This Row],[_DoneTo]]+1,Tasks[[#This Row],[Start]])))</f>
        <v/>
      </c>
      <c r="GX180" s="88">
        <f>IF(Tasks[[#This Row],[_RemFrom]]=0,0,Tasks[[#This Row],[Finish]])</f>
        <v/>
      </c>
      <c r="GY180" s="42">
        <f>IF(Tasks[[#This Row],[Task Name]]="",FALSE(),OR(NOT(BaselineSet),N(Tasks[[#This Row],[Baseline Start]])&gt;0))</f>
        <v/>
      </c>
      <c r="GZ180" s="42">
        <f>IF(AND(Sandbox="Yes",L_PARSE_DURATION(Tasks[[#This Row],[Sandbox Duration]])&lt;&gt;""),L_PARSE_DURATION(Tasks[[#This Row],[Sandbox Duration]]),L_PARSE_DURATION(Tasks[[#This Row],[Duration]]))</f>
        <v/>
      </c>
      <c r="HA18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0" s="42">
        <f>IF(Tasks[[#This Row],[_IsLeaf]]=1,Tasks[[#This Row],[_Row]],"")</f>
        <v/>
      </c>
      <c r="HD180" s="42">
        <f>IFERROR(INDEX(Tasks[UID],SMALL(Tasks[_PickKey],Tasks[[#This Row],[_Row]]))&amp;" "&amp;INDEX(Tasks[Task Name],SMALL(Tasks[_PickKey],Tasks[[#This Row],[_Row]])),"")</f>
        <v/>
      </c>
      <c r="HE180" s="42">
        <f>IF(Tasks[[#This Row],[Task Name]]="","",IF(Tasks[[#This Row],[_IsSummary]],NETWORKDAYS.INTL(Tasks[[#This Row],[Start]],Tasks[[#This Row],[Finish]],WorkWeek,Holidays),N(Tasks[[#This Row],[_Days]])))</f>
        <v/>
      </c>
      <c r="HF180" s="42">
        <f>IF(Tasks[[#This Row],[Expected]]="",0,((Tasks[[#This Row],[Pessimistic]]-Tasks[[#This Row],[Optimistic]])/6)^2)</f>
        <v/>
      </c>
      <c r="HG180" s="42">
        <f>IF(Tasks[[#This Row],[Expected]]="",0,Tasks[[#This Row],[Expected]]-N(Tasks[[#This Row],[_Days]]))</f>
        <v/>
      </c>
    </row>
    <row r="181">
      <c r="A181" s="21">
        <f>IF(Tasks[[#This Row],[Task Name]]="","",COUNTA(Tasks[[#Headers],[Task Name]]:Tasks[[#This Row],[Task Name]])-1)</f>
        <v/>
      </c>
      <c r="B181" s="22" t="n">
        <v>189</v>
      </c>
      <c r="C181" s="22" t="n"/>
      <c r="D181" s="23" t="n"/>
      <c r="E181" s="22" t="n"/>
      <c r="F181" s="23" t="n"/>
      <c r="G181" s="22" t="n"/>
      <c r="H181" s="22" t="n"/>
      <c r="I181" s="23" t="n"/>
      <c r="J181" s="22" t="n"/>
      <c r="K181" s="22" t="n"/>
      <c r="L181" s="23" t="n"/>
      <c r="M181" s="22" t="n"/>
      <c r="N181" s="22" t="n"/>
      <c r="O181" s="23" t="n"/>
      <c r="P181" s="22" t="n"/>
      <c r="Q181" s="22" t="n"/>
      <c r="R181" s="23" t="n"/>
      <c r="S181" s="23" t="n"/>
      <c r="T181" s="82" t="n"/>
      <c r="U181" s="23" t="n"/>
      <c r="V181" s="82" t="n"/>
      <c r="W181" s="23" t="n"/>
      <c r="X181" s="82" t="n"/>
      <c r="Y181" s="23" t="n"/>
      <c r="Z181" s="82" t="n"/>
      <c r="AA181" s="23" t="n"/>
      <c r="AB181" s="23" t="n"/>
      <c r="AC181" s="7" t="n"/>
      <c r="AD181" s="7" t="n"/>
      <c r="AE181" s="61">
        <f>IF(Tasks[[#This Row],[Task Name]]="","",IF(Tasks[[#This Row],[_IsSummary]],MIN(INDEX(Tasks[_ShownFcstStart],Tasks[[#This Row],[_Row]]+1):INDEX(Tasks[_ShownFcstStart],Tasks[[#This Row],[_Row]]+Tasks[[#This Row],[_Descendants]])),Tasks[[#This Row],[_ShownFcstStart]]))</f>
        <v/>
      </c>
      <c r="AF181" s="61">
        <f>IF(Tasks[[#This Row],[Task Name]]="","",IF(Tasks[[#This Row],[_IsSummary]],MAX(INDEX(Tasks[_ShownFcstFinish],Tasks[[#This Row],[_Row]]+1):INDEX(Tasks[_ShownFcstFinish],Tasks[[#This Row],[_Row]]+Tasks[[#This Row],[_Descendants]])),Tasks[[#This Row],[_ShownFcstFinish]]))</f>
        <v/>
      </c>
      <c r="AG181" s="21">
        <f>""</f>
        <v/>
      </c>
      <c r="AH181" s="23" t="n"/>
      <c r="AI18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1" s="7" t="n"/>
      <c r="AK181" s="22" t="n"/>
      <c r="AL181" s="23" t="n"/>
      <c r="AM181" s="7" t="n"/>
      <c r="AN181" s="21">
        <f>IF(Tasks[[#This Row],[Task Name]]="","",IF(Tasks[[#This Row],[Finish]]&gt;=Tasks[[#This Row],[Planned Finish]],NETWORKDAYS.INTL(Tasks[[#This Row],[Planned Finish]],Tasks[[#This Row],[Finish]],WorkWeek,Holidays)-1,1-NETWORKDAYS.INTL(Tasks[[#This Row],[Finish]],Tasks[[#This Row],[Planned Finish]],WorkWeek,Holidays)))</f>
        <v/>
      </c>
      <c r="AO181" s="21">
        <f>IF(Tasks[[#This Row],[Task Name]]="","",IF(Tasks[[#This Row],[Progress]]&gt;=1,"Complete",IF(OR(N(Tasks[[#This Row],[Actual Start]])&gt;0,Tasks[[#This Row],[Progress]]&gt;0),IF(Tasks[[#This Row],[Finish Var]]&gt;0,"Behind","In Progress"),IF(Tasks[[#This Row],[Planned Start]]&lt;StatusDate,"Late Start","Not Started"))))</f>
        <v/>
      </c>
      <c r="AP181" s="21">
        <f>IF(Tasks[[#This Row],[Task Name]]="","",IF(IF(Tasks[[#This Row],[_IsSummary]],COUNTIF(INDEX(Tasks[_LeafCritical],Tasks[[#This Row],[_Row]]+1):INDEX(Tasks[_LeafCritical],Tasks[[#This Row],[_Row]]+Tasks[[#This Row],[_Descendants]]),TRUE())&gt;0,Tasks[[#This Row],[_LeafCritical]]),"Yes",""))</f>
        <v/>
      </c>
      <c r="AQ181" s="61">
        <f>IF(Tasks[[#This Row],[Task Name]]="","",IF(N(Tasks[[#This Row],[Baseline Start]])&gt;0,Tasks[[#This Row],[Baseline Start]],Tasks[[#This Row],[_CalcStart]]))</f>
        <v/>
      </c>
      <c r="AR181" s="61">
        <f>IF(Tasks[[#This Row],[Task Name]]="","",IF(N(Tasks[[#This Row],[Baseline Finish]])&gt;0,Tasks[[#This Row],[Baseline Finish]],Tasks[[#This Row],[_CalcFinish]]))</f>
        <v/>
      </c>
      <c r="AS181" s="21">
        <f>IF(Tasks[[#This Row],[Task Name]]="","",IF(Tasks[[#This Row],[Start]]&gt;=Tasks[[#This Row],[Planned Start]],NETWORKDAYS.INTL(Tasks[[#This Row],[Planned Start]],Tasks[[#This Row],[Start]],WorkWeek,Holidays)-1,1-NETWORKDAYS.INTL(Tasks[[#This Row],[Start]],Tasks[[#This Row],[Planned Start]],WorkWeek,Holidays)))</f>
        <v/>
      </c>
      <c r="AT181" s="61">
        <f>IF(Tasks[[#This Row],[Task Name]]="","",IF(Tasks[[#This Row],[_IsSummary]],MIN(INDEX(Tasks[_LeafLateStart],Tasks[[#This Row],[_Row]]+1):INDEX(Tasks[_LeafLateStart],Tasks[[#This Row],[_Row]]+Tasks[[#This Row],[_Descendants]])),Tasks[[#This Row],[_LeafLateStart]]))</f>
        <v/>
      </c>
      <c r="AU181" s="61">
        <f>IF(Tasks[[#This Row],[Task Name]]="","",IF(Tasks[[#This Row],[_IsSummary]],MAX(INDEX(Tasks[_LeafLateFinish],Tasks[[#This Row],[_Row]]+1):INDEX(Tasks[_LeafLateFinish],Tasks[[#This Row],[_Row]]+Tasks[[#This Row],[_Descendants]])),Tasks[[#This Row],[_LeafLateFinish]]))</f>
        <v/>
      </c>
      <c r="AV181" s="21">
        <f>IF(Tasks[[#This Row],[Task Name]]="","",IF(Tasks[[#This Row],[_IsSummary]],MIN(INDEX(Tasks[_LeafTotalSlack],Tasks[[#This Row],[_Row]]+1):INDEX(Tasks[_LeafTotalSlack],Tasks[[#This Row],[_Row]]+Tasks[[#This Row],[_Descendants]])),Tasks[[#This Row],[_LeafTotalSlack]]))</f>
        <v/>
      </c>
      <c r="AW18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3" t="n"/>
      <c r="BA18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f>IF(Tasks[[#This Row],[Task Name]]="","",IF(Tasks[[#This Row],[_Level]]&lt;=OutlineShowLevel,"Yes","No"))</f>
        <v/>
      </c>
      <c r="BE181" s="84">
        <f>IF(Tasks[[#This Row],[Task Name]]="","",IF(Tasks[[#This Row],[_IsSummary]],SUM(INDEX(Tasks[_LeafTotalWork],Tasks[[#This Row],[_Row]]+1):INDEX(Tasks[_LeafTotalWork],Tasks[[#This Row],[_Row]]+Tasks[[#This Row],[_Descendants]])),Tasks[[#This Row],[_LeafTotalWork]]))</f>
        <v/>
      </c>
      <c r="BF181" s="23" t="n"/>
      <c r="BG18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f>""</f>
        <v/>
      </c>
      <c r="BI181" s="85" t="n"/>
      <c r="BJ181" s="22" t="n"/>
      <c r="BK181" s="21">
        <f>IF(OR(Tasks[[#This Row],[Task Name]]="",Tasks[[#This Row],[Baseline Duration]]=""),"",Tasks[[#This Row],[_SpanDays]]-N(Tasks[[#This Row],[Baseline Duration]]))</f>
        <v/>
      </c>
      <c r="BL181" s="84">
        <f>IF(OR(Tasks[[#This Row],[Task Name]]="",Tasks[[#This Row],[Baseline Work]]=""),"",Tasks[[#This Row],[Work]]-N(Tasks[[#This Row],[Baseline Work]]))</f>
        <v/>
      </c>
      <c r="BM181" s="61">
        <f>IF(Tasks[[#This Row],[Task Name]]="","",IF(OR(TakeBaseline="Yes",N(Tasks[[#This Row],[Baseline Start]])=0),Tasks[[#This Row],[Start]],Tasks[[#This Row],[Baseline Start]]))</f>
        <v/>
      </c>
      <c r="BN181" s="61">
        <f>IF(Tasks[[#This Row],[Task Name]]="","",IF(OR(TakeBaseline="Yes",N(Tasks[[#This Row],[Baseline Finish]])=0),Tasks[[#This Row],[Finish]],Tasks[[#This Row],[Baseline Finish]]))</f>
        <v/>
      </c>
      <c r="BO181" s="21">
        <f>IF(Tasks[[#This Row],[Task Name]]="","",IF(OR(TakeBaseline="Yes",N(Tasks[[#This Row],[Baseline Duration]])=0),Tasks[[#This Row],[_SpanDays]],Tasks[[#This Row],[Baseline Duration]]))</f>
        <v/>
      </c>
      <c r="BP181" s="84">
        <f>IF(Tasks[[#This Row],[Task Name]]="","",IF(OR(TakeBaseline="Yes",N(Tasks[[#This Row],[Baseline Work]])=0),Tasks[[#This Row],[Work]],Tasks[[#This Row],[Baseline Work]]))</f>
        <v/>
      </c>
      <c r="BQ181" s="7" t="n"/>
      <c r="BR181" s="7" t="n"/>
      <c r="BS181" s="22" t="n"/>
      <c r="BT181" s="86" t="n"/>
      <c r="BU181" s="23" t="n"/>
      <c r="BV181" s="23" t="n"/>
      <c r="BW181" s="23" t="n"/>
      <c r="BX181" s="87">
        <f>IF(AND(Tasks[[#This Row],[_IsLeaf]]=1,ISNUMBER(Tasks[[#This Row],[Optimistic]]),ISNUMBER(Tasks[[#This Row],[Pessimistic]])),ROUND((Tasks[[#This Row],[Optimistic]]+4*N(Tasks[[#This Row],[_Days]])+Tasks[[#This Row],[Pessimistic]])/6,1),"")</f>
        <v/>
      </c>
      <c r="BY181" s="85" t="n"/>
      <c r="BZ181" s="85" t="n"/>
      <c r="CA181" s="22" t="n"/>
      <c r="CB181" s="42">
        <f>IF(Tasks[[#This Row],[Task Name]]="","",MAX(1,N(Tasks[[#This Row],[Level]])))</f>
        <v/>
      </c>
      <c r="CC181" s="42">
        <f>ROW()-ROW(Tasks[[#Headers],[ID]])</f>
        <v/>
      </c>
      <c r="CD181" s="42">
        <f>IF(OR(Tasks[[#This Row],[Task Name]]="",Tasks[[#This Row],[_Level]]&lt;=1),0,IFERROR(LOOKUP(2,1/(Tasks[[#Headers],[_Level]]:Tasks[[#This Row],[_Level]]=Tasks[[#This Row],[_Level]]-1),ROW(Tasks[[#Headers],[_Level]]:Tasks[[#This Row],[_Level]])),0))</f>
        <v/>
      </c>
      <c r="CE181" s="42">
        <f>IFERROR(N(INDEX(Tasks[_Level],Tasks[[#This Row],[_Row]]+1)),0)</f>
        <v/>
      </c>
      <c r="CF181" s="42">
        <f>AND(Tasks[[#This Row],[Task Name]]&lt;&gt;"",Tasks[[#This Row],[_NextLevel]]&gt;Tasks[[#This Row],[_Level]])</f>
        <v/>
      </c>
      <c r="CG181" s="42">
        <f>IF(Tasks[[#This Row],[_IsSummary]],COUNTIF(Tasks[WBS],Tasks[[#This Row],[WBS]]&amp;".*"),0)</f>
        <v/>
      </c>
      <c r="CH181" s="42">
        <f>IF(AND(Tasks[[#This Row],[Task Name]]&lt;&gt;"",NOT(Tasks[[#This Row],[_IsSummary]])),1,0)</f>
        <v/>
      </c>
      <c r="CI181" s="42">
        <f>IF(N(Tasks[[#This Row],[_Pred1UID]])=0,0,IFERROR(MATCH(Tasks[[#This Row],[_Pred1UID]],Tasks[UID],0),-1))</f>
        <v/>
      </c>
      <c r="CJ181" s="42">
        <f>IF(N(Tasks[[#This Row],[_Pred2UID]])=0,0,IFERROR(MATCH(Tasks[[#This Row],[_Pred2UID]],Tasks[UID],0),-1))</f>
        <v/>
      </c>
      <c r="CK181" s="42">
        <f>IF(N(Tasks[[#This Row],[_Pred3UID]])=0,0,IFERROR(MATCH(Tasks[[#This Row],[_Pred3UID]],Tasks[UID],0),-1))</f>
        <v/>
      </c>
      <c r="CL181" s="42">
        <f>IF(N(Tasks[[#This Row],[_Pred4UID]])=0,0,IFERROR(MATCH(Tasks[[#This Row],[_Pred4UID]],Tasks[UID],0),-1))</f>
        <v/>
      </c>
      <c r="CM18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1" s="88">
        <f>IF(N(Tasks[[#This Row],[Constraint Date]])=0,0,IF(AND(OR(Tasks[[#This Row],[_ConstraintCode]]=3,Tasks[[#This Row],[_ConstraintCode]]=6,Tasks[[#This Row],[_ConstraintCode]]=7),N(Tasks[[#This Row],[_Days]])&gt;1),WORKDAY.INTL(N(Tasks[[#This Row],[Constraint Date]]),-(N(Tasks[[#This Row],[_Days]])-1),WorkWeek,Holidays),N(Tasks[[#This Row],[Constraint Date]])))</f>
        <v/>
      </c>
      <c r="CO181" s="88">
        <f>IF(OR(Tasks[[#This Row],[_ConstraintCode]]=2,Tasks[[#This Row],[_ConstraintCode]]=3,Tasks[[#This Row],[_ConstraintCode]]=4,Tasks[[#This Row],[_ConstraintCode]]=6),Tasks[[#This Row],[_ConstraintStart]],0)</f>
        <v/>
      </c>
      <c r="CP181" s="88">
        <f>IF(OR(Tasks[[#This Row],[_ConstraintCode]]=2,Tasks[[#This Row],[_ConstraintCode]]=3,Tasks[[#This Row],[_ConstraintCode]]=5,Tasks[[#This Row],[_ConstraintCode]]=7),Tasks[[#This Row],[_ConstraintStart]],2958465)</f>
        <v/>
      </c>
      <c r="CQ18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1" s="88">
        <f>IF(NOT(Tasks[[#This Row],[_IsLeaf]]=1),"",IF(N(Tasks[[#This Row],[_Days]])&lt;=0,Tasks[[#This Row],[_LeafCalcStart]],WORKDAY.INTL(Tasks[[#This Row],[_LeafCalcStart]],Tasks[[#This Row],[_Days]]-1,WorkWeek,Holidays)))</f>
        <v/>
      </c>
      <c r="CS18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1" s="42">
        <f>IF(Tasks[[#This Row],[_Predecessors]]="","",TRIM(MID(SUBSTITUTE(SUBSTITUTE(SUBSTITUTE(UPPER(Tasks[[#This Row],[_Predecessors]]),";",",")," ",""),",",REPT(" ",99)),1,99)))</f>
        <v/>
      </c>
      <c r="CV181" s="42">
        <f>IF(Tasks[[#This Row],[_Pred1Text]]="","",IFERROR(VALUE(LEFT(Tasks[[#This Row],[_Pred1Text]],MIN(FIND("F",Tasks[[#This Row],[_Pred1Text]]&amp;"F"),FIND("S",Tasks[[#This Row],[_Pred1Text]]&amp;"S"),FIND("+",Tasks[[#This Row],[_Pred1Text]]&amp;"+"),FIND("-",Tasks[[#This Row],[_Pred1Text]]&amp;"-"))-1)),""))</f>
        <v/>
      </c>
      <c r="CW18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1" s="42">
        <f>IF(Tasks[[#This Row],[_Pred1Text]]="","",TRIM(MID(SUBSTITUTE(SUBSTITUTE(SUBSTITUTE(UPPER(Tasks[[#This Row],[_Predecessors]]),";",",")," ",""),",",REPT(" ",99)),100,99)))</f>
        <v/>
      </c>
      <c r="CZ181" s="42">
        <f>IF(Tasks[[#This Row],[_Pred2Text]]="","",IFERROR(VALUE(LEFT(Tasks[[#This Row],[_Pred2Text]],MIN(FIND("F",Tasks[[#This Row],[_Pred2Text]]&amp;"F"),FIND("S",Tasks[[#This Row],[_Pred2Text]]&amp;"S"),FIND("+",Tasks[[#This Row],[_Pred2Text]]&amp;"+"),FIND("-",Tasks[[#This Row],[_Pred2Text]]&amp;"-"))-1)),""))</f>
        <v/>
      </c>
      <c r="DA18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1" s="42">
        <f>IF(Tasks[[#This Row],[_Pred2Text]]="","",TRIM(MID(SUBSTITUTE(SUBSTITUTE(SUBSTITUTE(UPPER(Tasks[[#This Row],[_Predecessors]]),";",",")," ",""),",",REPT(" ",99)),199,99)))</f>
        <v/>
      </c>
      <c r="DD181" s="42">
        <f>IF(Tasks[[#This Row],[_Pred3Text]]="","",IFERROR(VALUE(LEFT(Tasks[[#This Row],[_Pred3Text]],MIN(FIND("F",Tasks[[#This Row],[_Pred3Text]]&amp;"F"),FIND("S",Tasks[[#This Row],[_Pred3Text]]&amp;"S"),FIND("+",Tasks[[#This Row],[_Pred3Text]]&amp;"+"),FIND("-",Tasks[[#This Row],[_Pred3Text]]&amp;"-"))-1)),""))</f>
        <v/>
      </c>
      <c r="DE18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1" s="42">
        <f>IF(Tasks[[#This Row],[_Pred3Text]]="","",TRIM(MID(SUBSTITUTE(SUBSTITUTE(SUBSTITUTE(UPPER(Tasks[[#This Row],[_Predecessors]]),";",",")," ",""),",",REPT(" ",99)),298,99)))</f>
        <v/>
      </c>
      <c r="DH181" s="42">
        <f>IF(Tasks[[#This Row],[_Pred4Text]]="","",IFERROR(VALUE(LEFT(Tasks[[#This Row],[_Pred4Text]],MIN(FIND("F",Tasks[[#This Row],[_Pred4Text]]&amp;"F"),FIND("S",Tasks[[#This Row],[_Pred4Text]]&amp;"S"),FIND("+",Tasks[[#This Row],[_Pred4Text]]&amp;"+"),FIND("-",Tasks[[#This Row],[_Pred4Text]]&amp;"-"))-1)),""))</f>
        <v/>
      </c>
      <c r="DI18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1" s="42">
        <f>IF(OR(Tasks[[#This Row],[Task Name]]="",Tasks[[#This Row],[_Resources]]=""),"",TRIM(MID(SUBSTITUTE(Tasks[[#This Row],[_Resources]],",",REPT(" ",99)),1,99)))</f>
        <v/>
      </c>
      <c r="DL181" s="42">
        <f>IF(Tasks[[#This Row],[_Res1Text]]="","",TRIM(MID(SUBSTITUTE(Tasks[[#This Row],[_Resources]],",",REPT(" ",99)),100,99)))</f>
        <v/>
      </c>
      <c r="DM181" s="42">
        <f>IF(Tasks[[#This Row],[_Res2Text]]="","",TRIM(MID(SUBSTITUTE(Tasks[[#This Row],[_Resources]],",",REPT(" ",99)),199,99)))</f>
        <v/>
      </c>
      <c r="DN181" s="42">
        <f>IF(Tasks[[#This Row],[_Res3Text]]="","",TRIM(MID(SUBSTITUTE(Tasks[[#This Row],[_Resources]],",",REPT(" ",99)),298,99)))</f>
        <v/>
      </c>
      <c r="DO181" s="42">
        <f>IF(Tasks[[#This Row],[_Res1Text]]="",0,IFERROR(MATCH(TRIM(LEFT(Tasks[[#This Row],[_Res1Text]],FIND("[",Tasks[[#This Row],[_Res1Text]]&amp;"[")-1)),res_Name,0),IFERROR(MATCH(TRIM(LEFT(Tasks[[#This Row],[_Res1Text]],FIND("[",Tasks[[#This Row],[_Res1Text]]&amp;"[")-1)),res_Initials,0),0)))</f>
        <v/>
      </c>
      <c r="DP181" s="42">
        <f>IF(Tasks[[#This Row],[_Res2Text]]="",0,IFERROR(MATCH(TRIM(LEFT(Tasks[[#This Row],[_Res2Text]],FIND("[",Tasks[[#This Row],[_Res2Text]]&amp;"[")-1)),res_Name,0),IFERROR(MATCH(TRIM(LEFT(Tasks[[#This Row],[_Res2Text]],FIND("[",Tasks[[#This Row],[_Res2Text]]&amp;"[")-1)),res_Initials,0),0)))</f>
        <v/>
      </c>
      <c r="DQ181" s="42">
        <f>IF(Tasks[[#This Row],[_Res3Text]]="",0,IFERROR(MATCH(TRIM(LEFT(Tasks[[#This Row],[_Res3Text]],FIND("[",Tasks[[#This Row],[_Res3Text]]&amp;"[")-1)),res_Name,0),IFERROR(MATCH(TRIM(LEFT(Tasks[[#This Row],[_Res3Text]],FIND("[",Tasks[[#This Row],[_Res3Text]]&amp;"[")-1)),res_Initials,0),0)))</f>
        <v/>
      </c>
      <c r="DR181" s="42">
        <f>IF(Tasks[[#This Row],[_Res4Text]]="",0,IFERROR(MATCH(TRIM(LEFT(Tasks[[#This Row],[_Res4Text]],FIND("[",Tasks[[#This Row],[_Res4Text]]&amp;"[")-1)),res_Name,0),IFERROR(MATCH(TRIM(LEFT(Tasks[[#This Row],[_Res4Text]],FIND("[",Tasks[[#This Row],[_Res4Text]]&amp;"[")-1)),res_Initials,0),0)))</f>
        <v/>
      </c>
      <c r="DS181" s="42">
        <f>IF(Tasks[[#This Row],[_Res1Text]]="","",IF(Tasks[[#This Row],[_Res1Row]]&gt;0,INDEX(res_Name,Tasks[[#This Row],[_Res1Row]]),TRIM(LEFT(Tasks[[#This Row],[_Res1Text]],FIND("[",Tasks[[#This Row],[_Res1Text]]&amp;"[")-1))))</f>
        <v/>
      </c>
      <c r="DT18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1" s="42">
        <f>IF(NOT(Tasks[[#This Row],[_IsLeaf]]=1),0,(Tasks[[#This Row],[_Resource1]]&lt;&gt;"")+(Tasks[[#This Row],[_Res2]]&lt;&gt;"")+(Tasks[[#This Row],[_Res3]]&lt;&gt;"")+(Tasks[[#This Row],[_Res4]]&lt;&gt;""))</f>
        <v/>
      </c>
      <c r="DV181" s="42">
        <f>IF(Tasks[[#This Row],[_Res2Text]]="","",IF(Tasks[[#This Row],[_Res2Row]]&gt;0,INDEX(res_Name,Tasks[[#This Row],[_Res2Row]]),TRIM(LEFT(Tasks[[#This Row],[_Res2Text]],FIND("[",Tasks[[#This Row],[_Res2Text]]&amp;"[")-1))))</f>
        <v/>
      </c>
      <c r="DW18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1" s="42">
        <f>IF(OR(NOT(Tasks[[#This Row],[_IsLeaf]]=1),Tasks[[#This Row],[_Res2Row]]=0),0,N(Tasks[[#This Row],[_Days]])*HoursPerDay*IF(Tasks[[#This Row],[_Res2Units]]="",DefaultUnits,Tasks[[#This Row],[_Res2Units]]))</f>
        <v/>
      </c>
      <c r="DY181" s="42">
        <f>IF(AND(AND(Tasks[[#This Row],[_IsLeaf]]=1,Tasks[[#This Row],[_LeafTotalWork]]&gt;0),Tasks[[#This Row],[_Res2Work]]&gt;0),Tasks[[#This Row],[_Res2Work]]/(Tasks[[#This Row],[_FinishWorkday]]-Tasks[[#This Row],[_StartWorkday]]+1),0)</f>
        <v/>
      </c>
      <c r="DZ181" s="42">
        <f>Tasks[[#This Row],[_Res2WorkPerWD]]*MAX(0,Tasks[[#This Row],[_StartWorkday]]-1)</f>
        <v/>
      </c>
      <c r="EA181" s="42">
        <f>Tasks[[#This Row],[_Res2Work]]*Tasks[[#This Row],[_LeafProgress]]</f>
        <v/>
      </c>
      <c r="EB181" s="42">
        <f>IF(Tasks[[#This Row],[_Res3Text]]="","",IF(Tasks[[#This Row],[_Res3Row]]&gt;0,INDEX(res_Name,Tasks[[#This Row],[_Res3Row]]),TRIM(LEFT(Tasks[[#This Row],[_Res3Text]],FIND("[",Tasks[[#This Row],[_Res3Text]]&amp;"[")-1))))</f>
        <v/>
      </c>
      <c r="EC18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1" s="42">
        <f>IF(OR(NOT(Tasks[[#This Row],[_IsLeaf]]=1),Tasks[[#This Row],[_Res3Row]]=0),0,N(Tasks[[#This Row],[_Days]])*HoursPerDay*IF(Tasks[[#This Row],[_Res3Units]]="",DefaultUnits,Tasks[[#This Row],[_Res3Units]]))</f>
        <v/>
      </c>
      <c r="EE181" s="42">
        <f>IF(AND(AND(Tasks[[#This Row],[_IsLeaf]]=1,Tasks[[#This Row],[_LeafTotalWork]]&gt;0),Tasks[[#This Row],[_Res3Work]]&gt;0),Tasks[[#This Row],[_Res3Work]]/(Tasks[[#This Row],[_FinishWorkday]]-Tasks[[#This Row],[_StartWorkday]]+1),0)</f>
        <v/>
      </c>
      <c r="EF181" s="42">
        <f>Tasks[[#This Row],[_Res3WorkPerWD]]*MAX(0,Tasks[[#This Row],[_StartWorkday]]-1)</f>
        <v/>
      </c>
      <c r="EG181" s="42">
        <f>Tasks[[#This Row],[_Res3Work]]*Tasks[[#This Row],[_LeafProgress]]</f>
        <v/>
      </c>
      <c r="EH181" s="42">
        <f>IF(Tasks[[#This Row],[_Res4Text]]="","",IF(Tasks[[#This Row],[_Res4Row]]&gt;0,INDEX(res_Name,Tasks[[#This Row],[_Res4Row]]),TRIM(LEFT(Tasks[[#This Row],[_Res4Text]],FIND("[",Tasks[[#This Row],[_Res4Text]]&amp;"[")-1))))</f>
        <v/>
      </c>
      <c r="EI18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1" s="42">
        <f>IF(OR(NOT(Tasks[[#This Row],[_IsLeaf]]=1),Tasks[[#This Row],[_Res4Row]]=0),0,N(Tasks[[#This Row],[_Days]])*HoursPerDay*IF(Tasks[[#This Row],[_Res4Units]]="",DefaultUnits,Tasks[[#This Row],[_Res4Units]]))</f>
        <v/>
      </c>
      <c r="EK181" s="42">
        <f>IF(AND(AND(Tasks[[#This Row],[_IsLeaf]]=1,Tasks[[#This Row],[_LeafTotalWork]]&gt;0),Tasks[[#This Row],[_Res4Work]]&gt;0),Tasks[[#This Row],[_Res4Work]]/(Tasks[[#This Row],[_FinishWorkday]]-Tasks[[#This Row],[_StartWorkday]]+1),0)</f>
        <v/>
      </c>
      <c r="EL181" s="42">
        <f>Tasks[[#This Row],[_Res4WorkPerWD]]*MAX(0,Tasks[[#This Row],[_StartWorkday]]-1)</f>
        <v/>
      </c>
      <c r="EM181" s="42">
        <f>Tasks[[#This Row],[_Res4Work]]*Tasks[[#This Row],[_LeafProgress]]</f>
        <v/>
      </c>
      <c r="EN181" s="42">
        <f>IF(ISNUMBER(Tasks[[#This Row],[% Complete]]),Tasks[[#This Row],[% Complete]],IF(Tasks[[#This Row],[Stage]]="",0,IFERROR(INDEX(stg_Pct,MATCH(Tasks[[#This Row],[Stage]],stg_Name,0)),0)))</f>
        <v/>
      </c>
      <c r="EO181" s="42">
        <f>IF(NOT(Tasks[[#This Row],[_IsLeaf]]=1),0,IF(N(Tasks[[#This Row],[Actual Finish]])&gt;0,1,MIN(1,Tasks[[#This Row],[_Pct]])))</f>
        <v/>
      </c>
      <c r="EP181" s="42">
        <f>IF(OR(NOT(Tasks[[#This Row],[_IsLeaf]]=1),Tasks[[#This Row],[_Res1Row]]=0),0,N(Tasks[[#This Row],[_Days]])*HoursPerDay*IF(Tasks[[#This Row],[_Units1]]="",DefaultUnits,Tasks[[#This Row],[_Units1]]))</f>
        <v/>
      </c>
      <c r="EQ181" s="42">
        <f>Tasks[[#This Row],[_LeafWork]]+Tasks[[#This Row],[_Res2Work]]+Tasks[[#This Row],[_Res3Work]]+Tasks[[#This Row],[_Res4Work]]</f>
        <v/>
      </c>
      <c r="ER18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1" s="42">
        <f>IF(NOT(Tasks[[#This Row],[_IsLeaf]]=1),0,MAX(_xlfn.MAXIFS(Tasks[_Row],Tasks[_Pred1UID],Tasks[[#This Row],[UID]]),_xlfn.MAXIFS(Tasks[_Row],Tasks[_Pred2UID],Tasks[[#This Row],[UID]]),_xlfn.MAXIFS(Tasks[_Row],Tasks[_Pred3UID],Tasks[[#This Row],[UID]]),_xlfn.MAXIFS(Tasks[_Row],Tasks[_Pred4UID],Tasks[[#This Row],[UID]])))</f>
        <v/>
      </c>
      <c r="FA18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1" s="88">
        <f>IF(NOT(Tasks[[#This Row],[_IsLeaf]]=1),"",IF(N(Tasks[[#This Row],[_Days]])&lt;=0,Tasks[[#This Row],[_LeafLateFinish]],WORKDAY.INTL(Tasks[[#This Row],[_LeafLateFinish]],-(Tasks[[#This Row],[_Days]]-1),WorkWeek,Holidays)))</f>
        <v/>
      </c>
      <c r="FD18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1" s="42">
        <f>AND(Tasks[[#This Row],[_IsLeaf]]=1,Tasks[[#This Row],[_LeafProgress]]&lt;1,N(Tasks[[#This Row],[_LeafTotalSlack]])&lt;=CriticalSlackDays)</f>
        <v/>
      </c>
      <c r="FF181" s="42">
        <f>IF(AND(Tasks[[#This Row],[_IsLeaf]]=1,Tasks[[#This Row],[_ConstraintCode]]=1,Tasks[[#This Row],[Mode]]&lt;&gt;"Manual",N(Tasks[[#This Row],[Actual Start]])=0),MAX(0,N(Tasks[[#This Row],[Free Slack]])),0)</f>
        <v/>
      </c>
      <c r="FG181" s="88">
        <f>IF(NOT(Tasks[[#This Row],[_IsLeaf]]=1),"",IF(Tasks[[#This Row],[_AlapShift]]=0,Tasks[[#This Row],[_LeafCalcStart]],WORKDAY.INTL(Tasks[[#This Row],[_LeafCalcStart]],Tasks[[#This Row],[_AlapShift]],WorkWeek,Holidays)))</f>
        <v/>
      </c>
      <c r="FH181" s="88">
        <f>IF(NOT(Tasks[[#This Row],[_IsLeaf]]=1),"",IF(Tasks[[#This Row],[_AlapShift]]=0,Tasks[[#This Row],[_LeafCalcFinish]],WORKDAY.INTL(Tasks[[#This Row],[_LeafCalcFinish]],Tasks[[#This Row],[_AlapShift]],WorkWeek,Holidays)))</f>
        <v/>
      </c>
      <c r="FI181" s="88">
        <f>IF(NOT(Tasks[[#This Row],[_IsLeaf]]=1),"",IF(Tasks[[#This Row],[_AlapShift]]=0,Tasks[[#This Row],[_LeafFcstStart]],WORKDAY.INTL(Tasks[[#This Row],[_LeafFcstStart]],Tasks[[#This Row],[_AlapShift]],WorkWeek,Holidays)))</f>
        <v/>
      </c>
      <c r="FJ181" s="88">
        <f>IF(NOT(Tasks[[#This Row],[_IsLeaf]]=1),"",IF(Tasks[[#This Row],[_AlapShift]]=0,Tasks[[#This Row],[_LeafFcstFinish]],WORKDAY.INTL(Tasks[[#This Row],[_LeafFcstFinish]],Tasks[[#This Row],[_AlapShift]],WorkWeek,Holidays)))</f>
        <v/>
      </c>
      <c r="FK181" s="88">
        <f>IF(Tasks[[#This Row],[Task Name]]="","",IF(Tasks[[#This Row],[_IsSummary]],MIN(INDEX(Tasks[_ShownCalcStart],Tasks[[#This Row],[_Row]]+1):INDEX(Tasks[_ShownCalcStart],Tasks[[#This Row],[_Row]]+Tasks[[#This Row],[_Descendants]])),Tasks[[#This Row],[_ShownCalcStart]]))</f>
        <v/>
      </c>
      <c r="FL181" s="88">
        <f>IF(Tasks[[#This Row],[Task Name]]="","",IF(Tasks[[#This Row],[_IsSummary]],MAX(INDEX(Tasks[_ShownCalcFinish],Tasks[[#This Row],[_Row]]+1):INDEX(Tasks[_ShownCalcFinish],Tasks[[#This Row],[_Row]]+Tasks[[#This Row],[_Descendants]])),Tasks[[#This Row],[_ShownCalcFinish]]))</f>
        <v/>
      </c>
      <c r="FM18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1" s="42">
        <f>IF(AND(Tasks[[#This Row],[_IsLeaf]]=1,Tasks[[#This Row],[_LeafTotalWork]]&gt;0),NETWORKDAYS.INTL(ProjectStart,Tasks[[#This Row],[_ShownFcstStart]],WorkWeek,Holidays),0)</f>
        <v/>
      </c>
      <c r="FZ181" s="42">
        <f>IF(AND(Tasks[[#This Row],[_IsLeaf]]=1,Tasks[[#This Row],[_LeafTotalWork]]&gt;0),MAX(Tasks[[#This Row],[_StartWorkday]],NETWORKDAYS.INTL(ProjectStart,Tasks[[#This Row],[_ShownFcstFinish]],WorkWeek,Holidays)),0)</f>
        <v/>
      </c>
      <c r="GA181" s="42">
        <f>IF(AND(Tasks[[#This Row],[_IsLeaf]]=1,Tasks[[#This Row],[_LeafTotalWork]]&gt;0),Tasks[[#This Row],[_LeafWork]]/(Tasks[[#This Row],[_FinishWorkday]]-Tasks[[#This Row],[_StartWorkday]]+1),0)</f>
        <v/>
      </c>
      <c r="GB181" s="42">
        <f>Tasks[[#This Row],[_WorkPerWorkday]]*(Tasks[[#This Row],[_StartWorkday]]-1)</f>
        <v/>
      </c>
      <c r="GC181" s="42">
        <f>IF(Tasks[[#This Row],[_IsLeaf]]=1,MAX(N(Tasks[[#This Row],[_Days]]),0.1),0)</f>
        <v/>
      </c>
      <c r="GD181" s="42">
        <f>Tasks[[#This Row],[_WeightDur]]*Tasks[[#This Row],[_LeafProgress]]</f>
        <v/>
      </c>
      <c r="GE181" s="42">
        <f>Tasks[[#This Row],[_WeightDur]]*Tasks[[#This Row],[_PlannedPct]]</f>
        <v/>
      </c>
      <c r="GF18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1" s="42">
        <f>IF(AND(Tasks[[#This Row],[_IsLeaf]]=1,N(Tasks[[#This Row],[_Days]])=0,Tasks[[#This Row],[_LeafProgress]]&lt;1),Tasks[[#This Row],[_ShownFcstFinish]]+Tasks[[#This Row],[_Row]]/100000,"")</f>
        <v/>
      </c>
      <c r="GH18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1" s="42">
        <f>IF(Tasks[[#This Row],[Task Name]]="","",LEFT(Tasks[[#This Row],[WBS]],FIND(".",Tasks[[#This Row],[WBS]]&amp;".")-1))</f>
        <v/>
      </c>
      <c r="GJ181" s="42">
        <f>IF(AND(Tasks[[#This Row],[Task Name]]&lt;&gt;"",Tasks[[#This Row],[_Level]]=1),Tasks[[#This Row],[_Row]],"")</f>
        <v/>
      </c>
      <c r="GK181" s="42">
        <f>IF(AND(Tasks[[#This Row],[_IsLeaf]]=1,N(Tasks[[#This Row],[_Days]])=0),Tasks[[#This Row],[Planned Finish]]+Tasks[[#This Row],[_Row]]/100000,"")</f>
        <v/>
      </c>
      <c r="GL181" s="42">
        <f>IF(AND(Tasks[[#This Row],[_IsLeaf]]=1,Tasks[[#This Row],[_LeafProgress]]&lt;1,OR(N(Tasks[[#This Row],[Finish Var]])&gt;0,Tasks[[#This Row],[Status]]="Late Start")),MAX(0,Tasks[[#This Row],[Finish Var]])+1-Tasks[[#This Row],[_Row]]/1000000,"")</f>
        <v/>
      </c>
      <c r="GM181" s="42">
        <f>IF(AND(Tasks[[#This Row],[_IsLeaf]]=1,N(Tasks[[#This Row],[Actual Start]])=0,Tasks[[#This Row],[_ShownFcstStart]]&gt;=StatusDate,Tasks[[#This Row],[_ShownFcstStart]]&lt;=LookaheadEnd),Tasks[[#This Row],[_ShownFcstStart]]+Tasks[[#This Row],[_Row]]/100000,"")</f>
        <v/>
      </c>
      <c r="GN181" s="42">
        <f>IF(AND(Tasks[[#This Row],[_IsLeaf]]=1,Tasks[[#This Row],[_LeafProgress]]&lt;1,Tasks[[#This Row],[_ShownFcstFinish]]&gt;=StatusDate,Tasks[[#This Row],[_ShownFcstFinish]]&lt;=LookaheadEnd),Tasks[[#This Row],[_ShownFcstFinish]]+Tasks[[#This Row],[_Row]]/100000,"")</f>
        <v/>
      </c>
      <c r="GO181" s="42">
        <f>IF(Tasks[[#This Row],[_LeafCritical]],Tasks[[#This Row],[_ShownFcstStart]]+Tasks[[#This Row],[_Row]]/100000,"")</f>
        <v/>
      </c>
      <c r="GP181" s="42">
        <f>Tasks[[#This Row],[_LeafWork]]*Tasks[[#This Row],[_LeafProgress]]</f>
        <v/>
      </c>
      <c r="GQ181" s="88">
        <f>IF(AND(Tasks[[#This Row],[_IsLeaf]]=1,Tasks[[#This Row],[_LeafProgress]]&gt;=1),IF(N(Tasks[[#This Row],[Actual Finish]])&gt;0,Tasks[[#This Row],[Actual Finish]],Tasks[[#This Row],[_ShownFcstFinish]]),"")</f>
        <v/>
      </c>
      <c r="GR181" s="42">
        <f>IF(Tasks[[#This Row],[_IsLeaf]]=1,N(Tasks[[#This Row],[Story Points]]),0)</f>
        <v/>
      </c>
      <c r="GS181" s="42">
        <f>""</f>
        <v/>
      </c>
      <c r="GT181" s="42">
        <f>IF(Tasks[[#This Row],[Task Name]]="",FALSE(),AND(Tasks[[#This Row],[_IsLeaf]]=1,N(Tasks[[#This Row],[_Days]])=0))</f>
        <v/>
      </c>
      <c r="GU181" s="88">
        <f>IF(Tasks[[#This Row],[Task Name]]="",0,IF(AND(Tasks[[#This Row],[_IsLeaf]]=1,NOT(Tasks[[#This Row],[_IsMilestone]]),N(Tasks[[#This Row],[Progress]])&gt;0),Tasks[[#This Row],[Start]],0))</f>
        <v/>
      </c>
      <c r="GV181" s="88">
        <f>IF(Tasks[[#This Row],[_DoneFrom]]=0,0,IF(Tasks[[#This Row],[Progress]]&gt;=1,Tasks[[#This Row],[Finish]],MAX(Tasks[[#This Row],[_DoneFrom]],Tasks[[#This Row],[Start]]+ROUND((Tasks[[#This Row],[Finish]]-Tasks[[#This Row],[Start]]+1)*Tasks[[#This Row],[Progress]],0)-1)))</f>
        <v/>
      </c>
      <c r="GW181" s="88">
        <f>IF(Tasks[[#This Row],[Task Name]]="",0,IF(OR(NOT(Tasks[[#This Row],[_IsLeaf]]=1),Tasks[[#This Row],[_IsMilestone]],N(Tasks[[#This Row],[Progress]])&gt;=1),0,IF(Tasks[[#This Row],[_DoneTo]]&gt;0,Tasks[[#This Row],[_DoneTo]]+1,Tasks[[#This Row],[Start]])))</f>
        <v/>
      </c>
      <c r="GX181" s="88">
        <f>IF(Tasks[[#This Row],[_RemFrom]]=0,0,Tasks[[#This Row],[Finish]])</f>
        <v/>
      </c>
      <c r="GY181" s="42">
        <f>IF(Tasks[[#This Row],[Task Name]]="",FALSE(),OR(NOT(BaselineSet),N(Tasks[[#This Row],[Baseline Start]])&gt;0))</f>
        <v/>
      </c>
      <c r="GZ181" s="42">
        <f>IF(AND(Sandbox="Yes",L_PARSE_DURATION(Tasks[[#This Row],[Sandbox Duration]])&lt;&gt;""),L_PARSE_DURATION(Tasks[[#This Row],[Sandbox Duration]]),L_PARSE_DURATION(Tasks[[#This Row],[Duration]]))</f>
        <v/>
      </c>
      <c r="HA18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1" s="42">
        <f>IF(Tasks[[#This Row],[_IsLeaf]]=1,Tasks[[#This Row],[_Row]],"")</f>
        <v/>
      </c>
      <c r="HD181" s="42">
        <f>IFERROR(INDEX(Tasks[UID],SMALL(Tasks[_PickKey],Tasks[[#This Row],[_Row]]))&amp;" "&amp;INDEX(Tasks[Task Name],SMALL(Tasks[_PickKey],Tasks[[#This Row],[_Row]])),"")</f>
        <v/>
      </c>
      <c r="HE181" s="42">
        <f>IF(Tasks[[#This Row],[Task Name]]="","",IF(Tasks[[#This Row],[_IsSummary]],NETWORKDAYS.INTL(Tasks[[#This Row],[Start]],Tasks[[#This Row],[Finish]],WorkWeek,Holidays),N(Tasks[[#This Row],[_Days]])))</f>
        <v/>
      </c>
      <c r="HF181" s="42">
        <f>IF(Tasks[[#This Row],[Expected]]="",0,((Tasks[[#This Row],[Pessimistic]]-Tasks[[#This Row],[Optimistic]])/6)^2)</f>
        <v/>
      </c>
      <c r="HG181" s="42">
        <f>IF(Tasks[[#This Row],[Expected]]="",0,Tasks[[#This Row],[Expected]]-N(Tasks[[#This Row],[_Days]]))</f>
        <v/>
      </c>
    </row>
    <row r="182">
      <c r="A182" s="21">
        <f>IF(Tasks[[#This Row],[Task Name]]="","",COUNTA(Tasks[[#Headers],[Task Name]]:Tasks[[#This Row],[Task Name]])-1)</f>
        <v/>
      </c>
      <c r="B182" s="22" t="n">
        <v>190</v>
      </c>
      <c r="C182" s="22" t="n"/>
      <c r="D182" s="23" t="n"/>
      <c r="E182" s="22" t="n"/>
      <c r="F182" s="23" t="n"/>
      <c r="G182" s="22" t="n"/>
      <c r="H182" s="22" t="n"/>
      <c r="I182" s="23" t="n"/>
      <c r="J182" s="22" t="n"/>
      <c r="K182" s="22" t="n"/>
      <c r="L182" s="23" t="n"/>
      <c r="M182" s="22" t="n"/>
      <c r="N182" s="22" t="n"/>
      <c r="O182" s="23" t="n"/>
      <c r="P182" s="22" t="n"/>
      <c r="Q182" s="22" t="n"/>
      <c r="R182" s="23" t="n"/>
      <c r="S182" s="23" t="n"/>
      <c r="T182" s="82" t="n"/>
      <c r="U182" s="23" t="n"/>
      <c r="V182" s="82" t="n"/>
      <c r="W182" s="23" t="n"/>
      <c r="X182" s="82" t="n"/>
      <c r="Y182" s="23" t="n"/>
      <c r="Z182" s="82" t="n"/>
      <c r="AA182" s="23" t="n"/>
      <c r="AB182" s="23" t="n"/>
      <c r="AC182" s="7" t="n"/>
      <c r="AD182" s="7" t="n"/>
      <c r="AE182" s="61">
        <f>IF(Tasks[[#This Row],[Task Name]]="","",IF(Tasks[[#This Row],[_IsSummary]],MIN(INDEX(Tasks[_ShownFcstStart],Tasks[[#This Row],[_Row]]+1):INDEX(Tasks[_ShownFcstStart],Tasks[[#This Row],[_Row]]+Tasks[[#This Row],[_Descendants]])),Tasks[[#This Row],[_ShownFcstStart]]))</f>
        <v/>
      </c>
      <c r="AF182" s="61">
        <f>IF(Tasks[[#This Row],[Task Name]]="","",IF(Tasks[[#This Row],[_IsSummary]],MAX(INDEX(Tasks[_ShownFcstFinish],Tasks[[#This Row],[_Row]]+1):INDEX(Tasks[_ShownFcstFinish],Tasks[[#This Row],[_Row]]+Tasks[[#This Row],[_Descendants]])),Tasks[[#This Row],[_ShownFcstFinish]]))</f>
        <v/>
      </c>
      <c r="AG182" s="21">
        <f>""</f>
        <v/>
      </c>
      <c r="AH182" s="23" t="n"/>
      <c r="AI18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2" s="7" t="n"/>
      <c r="AK182" s="22" t="n"/>
      <c r="AL182" s="23" t="n"/>
      <c r="AM182" s="7" t="n"/>
      <c r="AN182" s="21">
        <f>IF(Tasks[[#This Row],[Task Name]]="","",IF(Tasks[[#This Row],[Finish]]&gt;=Tasks[[#This Row],[Planned Finish]],NETWORKDAYS.INTL(Tasks[[#This Row],[Planned Finish]],Tasks[[#This Row],[Finish]],WorkWeek,Holidays)-1,1-NETWORKDAYS.INTL(Tasks[[#This Row],[Finish]],Tasks[[#This Row],[Planned Finish]],WorkWeek,Holidays)))</f>
        <v/>
      </c>
      <c r="AO182" s="21">
        <f>IF(Tasks[[#This Row],[Task Name]]="","",IF(Tasks[[#This Row],[Progress]]&gt;=1,"Complete",IF(OR(N(Tasks[[#This Row],[Actual Start]])&gt;0,Tasks[[#This Row],[Progress]]&gt;0),IF(Tasks[[#This Row],[Finish Var]]&gt;0,"Behind","In Progress"),IF(Tasks[[#This Row],[Planned Start]]&lt;StatusDate,"Late Start","Not Started"))))</f>
        <v/>
      </c>
      <c r="AP182" s="21">
        <f>IF(Tasks[[#This Row],[Task Name]]="","",IF(IF(Tasks[[#This Row],[_IsSummary]],COUNTIF(INDEX(Tasks[_LeafCritical],Tasks[[#This Row],[_Row]]+1):INDEX(Tasks[_LeafCritical],Tasks[[#This Row],[_Row]]+Tasks[[#This Row],[_Descendants]]),TRUE())&gt;0,Tasks[[#This Row],[_LeafCritical]]),"Yes",""))</f>
        <v/>
      </c>
      <c r="AQ182" s="61">
        <f>IF(Tasks[[#This Row],[Task Name]]="","",IF(N(Tasks[[#This Row],[Baseline Start]])&gt;0,Tasks[[#This Row],[Baseline Start]],Tasks[[#This Row],[_CalcStart]]))</f>
        <v/>
      </c>
      <c r="AR182" s="61">
        <f>IF(Tasks[[#This Row],[Task Name]]="","",IF(N(Tasks[[#This Row],[Baseline Finish]])&gt;0,Tasks[[#This Row],[Baseline Finish]],Tasks[[#This Row],[_CalcFinish]]))</f>
        <v/>
      </c>
      <c r="AS182" s="21">
        <f>IF(Tasks[[#This Row],[Task Name]]="","",IF(Tasks[[#This Row],[Start]]&gt;=Tasks[[#This Row],[Planned Start]],NETWORKDAYS.INTL(Tasks[[#This Row],[Planned Start]],Tasks[[#This Row],[Start]],WorkWeek,Holidays)-1,1-NETWORKDAYS.INTL(Tasks[[#This Row],[Start]],Tasks[[#This Row],[Planned Start]],WorkWeek,Holidays)))</f>
        <v/>
      </c>
      <c r="AT182" s="61">
        <f>IF(Tasks[[#This Row],[Task Name]]="","",IF(Tasks[[#This Row],[_IsSummary]],MIN(INDEX(Tasks[_LeafLateStart],Tasks[[#This Row],[_Row]]+1):INDEX(Tasks[_LeafLateStart],Tasks[[#This Row],[_Row]]+Tasks[[#This Row],[_Descendants]])),Tasks[[#This Row],[_LeafLateStart]]))</f>
        <v/>
      </c>
      <c r="AU182" s="61">
        <f>IF(Tasks[[#This Row],[Task Name]]="","",IF(Tasks[[#This Row],[_IsSummary]],MAX(INDEX(Tasks[_LeafLateFinish],Tasks[[#This Row],[_Row]]+1):INDEX(Tasks[_LeafLateFinish],Tasks[[#This Row],[_Row]]+Tasks[[#This Row],[_Descendants]])),Tasks[[#This Row],[_LeafLateFinish]]))</f>
        <v/>
      </c>
      <c r="AV182" s="21">
        <f>IF(Tasks[[#This Row],[Task Name]]="","",IF(Tasks[[#This Row],[_IsSummary]],MIN(INDEX(Tasks[_LeafTotalSlack],Tasks[[#This Row],[_Row]]+1):INDEX(Tasks[_LeafTotalSlack],Tasks[[#This Row],[_Row]]+Tasks[[#This Row],[_Descendants]])),Tasks[[#This Row],[_LeafTotalSlack]]))</f>
        <v/>
      </c>
      <c r="AW18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3" t="n"/>
      <c r="BA18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f>IF(Tasks[[#This Row],[Task Name]]="","",IF(Tasks[[#This Row],[_Level]]&lt;=OutlineShowLevel,"Yes","No"))</f>
        <v/>
      </c>
      <c r="BE182" s="84">
        <f>IF(Tasks[[#This Row],[Task Name]]="","",IF(Tasks[[#This Row],[_IsSummary]],SUM(INDEX(Tasks[_LeafTotalWork],Tasks[[#This Row],[_Row]]+1):INDEX(Tasks[_LeafTotalWork],Tasks[[#This Row],[_Row]]+Tasks[[#This Row],[_Descendants]])),Tasks[[#This Row],[_LeafTotalWork]]))</f>
        <v/>
      </c>
      <c r="BF182" s="23" t="n"/>
      <c r="BG18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f>""</f>
        <v/>
      </c>
      <c r="BI182" s="85" t="n"/>
      <c r="BJ182" s="22" t="n"/>
      <c r="BK182" s="21">
        <f>IF(OR(Tasks[[#This Row],[Task Name]]="",Tasks[[#This Row],[Baseline Duration]]=""),"",Tasks[[#This Row],[_SpanDays]]-N(Tasks[[#This Row],[Baseline Duration]]))</f>
        <v/>
      </c>
      <c r="BL182" s="84">
        <f>IF(OR(Tasks[[#This Row],[Task Name]]="",Tasks[[#This Row],[Baseline Work]]=""),"",Tasks[[#This Row],[Work]]-N(Tasks[[#This Row],[Baseline Work]]))</f>
        <v/>
      </c>
      <c r="BM182" s="61">
        <f>IF(Tasks[[#This Row],[Task Name]]="","",IF(OR(TakeBaseline="Yes",N(Tasks[[#This Row],[Baseline Start]])=0),Tasks[[#This Row],[Start]],Tasks[[#This Row],[Baseline Start]]))</f>
        <v/>
      </c>
      <c r="BN182" s="61">
        <f>IF(Tasks[[#This Row],[Task Name]]="","",IF(OR(TakeBaseline="Yes",N(Tasks[[#This Row],[Baseline Finish]])=0),Tasks[[#This Row],[Finish]],Tasks[[#This Row],[Baseline Finish]]))</f>
        <v/>
      </c>
      <c r="BO182" s="21">
        <f>IF(Tasks[[#This Row],[Task Name]]="","",IF(OR(TakeBaseline="Yes",N(Tasks[[#This Row],[Baseline Duration]])=0),Tasks[[#This Row],[_SpanDays]],Tasks[[#This Row],[Baseline Duration]]))</f>
        <v/>
      </c>
      <c r="BP182" s="84">
        <f>IF(Tasks[[#This Row],[Task Name]]="","",IF(OR(TakeBaseline="Yes",N(Tasks[[#This Row],[Baseline Work]])=0),Tasks[[#This Row],[Work]],Tasks[[#This Row],[Baseline Work]]))</f>
        <v/>
      </c>
      <c r="BQ182" s="7" t="n"/>
      <c r="BR182" s="7" t="n"/>
      <c r="BS182" s="22" t="n"/>
      <c r="BT182" s="86" t="n"/>
      <c r="BU182" s="23" t="n"/>
      <c r="BV182" s="23" t="n"/>
      <c r="BW182" s="23" t="n"/>
      <c r="BX182" s="87">
        <f>IF(AND(Tasks[[#This Row],[_IsLeaf]]=1,ISNUMBER(Tasks[[#This Row],[Optimistic]]),ISNUMBER(Tasks[[#This Row],[Pessimistic]])),ROUND((Tasks[[#This Row],[Optimistic]]+4*N(Tasks[[#This Row],[_Days]])+Tasks[[#This Row],[Pessimistic]])/6,1),"")</f>
        <v/>
      </c>
      <c r="BY182" s="85" t="n"/>
      <c r="BZ182" s="85" t="n"/>
      <c r="CA182" s="22" t="n"/>
      <c r="CB182" s="42">
        <f>IF(Tasks[[#This Row],[Task Name]]="","",MAX(1,N(Tasks[[#This Row],[Level]])))</f>
        <v/>
      </c>
      <c r="CC182" s="42">
        <f>ROW()-ROW(Tasks[[#Headers],[ID]])</f>
        <v/>
      </c>
      <c r="CD182" s="42">
        <f>IF(OR(Tasks[[#This Row],[Task Name]]="",Tasks[[#This Row],[_Level]]&lt;=1),0,IFERROR(LOOKUP(2,1/(Tasks[[#Headers],[_Level]]:Tasks[[#This Row],[_Level]]=Tasks[[#This Row],[_Level]]-1),ROW(Tasks[[#Headers],[_Level]]:Tasks[[#This Row],[_Level]])),0))</f>
        <v/>
      </c>
      <c r="CE182" s="42">
        <f>IFERROR(N(INDEX(Tasks[_Level],Tasks[[#This Row],[_Row]]+1)),0)</f>
        <v/>
      </c>
      <c r="CF182" s="42">
        <f>AND(Tasks[[#This Row],[Task Name]]&lt;&gt;"",Tasks[[#This Row],[_NextLevel]]&gt;Tasks[[#This Row],[_Level]])</f>
        <v/>
      </c>
      <c r="CG182" s="42">
        <f>IF(Tasks[[#This Row],[_IsSummary]],COUNTIF(Tasks[WBS],Tasks[[#This Row],[WBS]]&amp;".*"),0)</f>
        <v/>
      </c>
      <c r="CH182" s="42">
        <f>IF(AND(Tasks[[#This Row],[Task Name]]&lt;&gt;"",NOT(Tasks[[#This Row],[_IsSummary]])),1,0)</f>
        <v/>
      </c>
      <c r="CI182" s="42">
        <f>IF(N(Tasks[[#This Row],[_Pred1UID]])=0,0,IFERROR(MATCH(Tasks[[#This Row],[_Pred1UID]],Tasks[UID],0),-1))</f>
        <v/>
      </c>
      <c r="CJ182" s="42">
        <f>IF(N(Tasks[[#This Row],[_Pred2UID]])=0,0,IFERROR(MATCH(Tasks[[#This Row],[_Pred2UID]],Tasks[UID],0),-1))</f>
        <v/>
      </c>
      <c r="CK182" s="42">
        <f>IF(N(Tasks[[#This Row],[_Pred3UID]])=0,0,IFERROR(MATCH(Tasks[[#This Row],[_Pred3UID]],Tasks[UID],0),-1))</f>
        <v/>
      </c>
      <c r="CL182" s="42">
        <f>IF(N(Tasks[[#This Row],[_Pred4UID]])=0,0,IFERROR(MATCH(Tasks[[#This Row],[_Pred4UID]],Tasks[UID],0),-1))</f>
        <v/>
      </c>
      <c r="CM18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2" s="88">
        <f>IF(N(Tasks[[#This Row],[Constraint Date]])=0,0,IF(AND(OR(Tasks[[#This Row],[_ConstraintCode]]=3,Tasks[[#This Row],[_ConstraintCode]]=6,Tasks[[#This Row],[_ConstraintCode]]=7),N(Tasks[[#This Row],[_Days]])&gt;1),WORKDAY.INTL(N(Tasks[[#This Row],[Constraint Date]]),-(N(Tasks[[#This Row],[_Days]])-1),WorkWeek,Holidays),N(Tasks[[#This Row],[Constraint Date]])))</f>
        <v/>
      </c>
      <c r="CO182" s="88">
        <f>IF(OR(Tasks[[#This Row],[_ConstraintCode]]=2,Tasks[[#This Row],[_ConstraintCode]]=3,Tasks[[#This Row],[_ConstraintCode]]=4,Tasks[[#This Row],[_ConstraintCode]]=6),Tasks[[#This Row],[_ConstraintStart]],0)</f>
        <v/>
      </c>
      <c r="CP182" s="88">
        <f>IF(OR(Tasks[[#This Row],[_ConstraintCode]]=2,Tasks[[#This Row],[_ConstraintCode]]=3,Tasks[[#This Row],[_ConstraintCode]]=5,Tasks[[#This Row],[_ConstraintCode]]=7),Tasks[[#This Row],[_ConstraintStart]],2958465)</f>
        <v/>
      </c>
      <c r="CQ18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2" s="88">
        <f>IF(NOT(Tasks[[#This Row],[_IsLeaf]]=1),"",IF(N(Tasks[[#This Row],[_Days]])&lt;=0,Tasks[[#This Row],[_LeafCalcStart]],WORKDAY.INTL(Tasks[[#This Row],[_LeafCalcStart]],Tasks[[#This Row],[_Days]]-1,WorkWeek,Holidays)))</f>
        <v/>
      </c>
      <c r="CS18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2" s="42">
        <f>IF(Tasks[[#This Row],[_Predecessors]]="","",TRIM(MID(SUBSTITUTE(SUBSTITUTE(SUBSTITUTE(UPPER(Tasks[[#This Row],[_Predecessors]]),";",",")," ",""),",",REPT(" ",99)),1,99)))</f>
        <v/>
      </c>
      <c r="CV182" s="42">
        <f>IF(Tasks[[#This Row],[_Pred1Text]]="","",IFERROR(VALUE(LEFT(Tasks[[#This Row],[_Pred1Text]],MIN(FIND("F",Tasks[[#This Row],[_Pred1Text]]&amp;"F"),FIND("S",Tasks[[#This Row],[_Pred1Text]]&amp;"S"),FIND("+",Tasks[[#This Row],[_Pred1Text]]&amp;"+"),FIND("-",Tasks[[#This Row],[_Pred1Text]]&amp;"-"))-1)),""))</f>
        <v/>
      </c>
      <c r="CW18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2" s="42">
        <f>IF(Tasks[[#This Row],[_Pred1Text]]="","",TRIM(MID(SUBSTITUTE(SUBSTITUTE(SUBSTITUTE(UPPER(Tasks[[#This Row],[_Predecessors]]),";",",")," ",""),",",REPT(" ",99)),100,99)))</f>
        <v/>
      </c>
      <c r="CZ182" s="42">
        <f>IF(Tasks[[#This Row],[_Pred2Text]]="","",IFERROR(VALUE(LEFT(Tasks[[#This Row],[_Pred2Text]],MIN(FIND("F",Tasks[[#This Row],[_Pred2Text]]&amp;"F"),FIND("S",Tasks[[#This Row],[_Pred2Text]]&amp;"S"),FIND("+",Tasks[[#This Row],[_Pred2Text]]&amp;"+"),FIND("-",Tasks[[#This Row],[_Pred2Text]]&amp;"-"))-1)),""))</f>
        <v/>
      </c>
      <c r="DA18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2" s="42">
        <f>IF(Tasks[[#This Row],[_Pred2Text]]="","",TRIM(MID(SUBSTITUTE(SUBSTITUTE(SUBSTITUTE(UPPER(Tasks[[#This Row],[_Predecessors]]),";",",")," ",""),",",REPT(" ",99)),199,99)))</f>
        <v/>
      </c>
      <c r="DD182" s="42">
        <f>IF(Tasks[[#This Row],[_Pred3Text]]="","",IFERROR(VALUE(LEFT(Tasks[[#This Row],[_Pred3Text]],MIN(FIND("F",Tasks[[#This Row],[_Pred3Text]]&amp;"F"),FIND("S",Tasks[[#This Row],[_Pred3Text]]&amp;"S"),FIND("+",Tasks[[#This Row],[_Pred3Text]]&amp;"+"),FIND("-",Tasks[[#This Row],[_Pred3Text]]&amp;"-"))-1)),""))</f>
        <v/>
      </c>
      <c r="DE18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2" s="42">
        <f>IF(Tasks[[#This Row],[_Pred3Text]]="","",TRIM(MID(SUBSTITUTE(SUBSTITUTE(SUBSTITUTE(UPPER(Tasks[[#This Row],[_Predecessors]]),";",",")," ",""),",",REPT(" ",99)),298,99)))</f>
        <v/>
      </c>
      <c r="DH182" s="42">
        <f>IF(Tasks[[#This Row],[_Pred4Text]]="","",IFERROR(VALUE(LEFT(Tasks[[#This Row],[_Pred4Text]],MIN(FIND("F",Tasks[[#This Row],[_Pred4Text]]&amp;"F"),FIND("S",Tasks[[#This Row],[_Pred4Text]]&amp;"S"),FIND("+",Tasks[[#This Row],[_Pred4Text]]&amp;"+"),FIND("-",Tasks[[#This Row],[_Pred4Text]]&amp;"-"))-1)),""))</f>
        <v/>
      </c>
      <c r="DI18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2" s="42">
        <f>IF(OR(Tasks[[#This Row],[Task Name]]="",Tasks[[#This Row],[_Resources]]=""),"",TRIM(MID(SUBSTITUTE(Tasks[[#This Row],[_Resources]],",",REPT(" ",99)),1,99)))</f>
        <v/>
      </c>
      <c r="DL182" s="42">
        <f>IF(Tasks[[#This Row],[_Res1Text]]="","",TRIM(MID(SUBSTITUTE(Tasks[[#This Row],[_Resources]],",",REPT(" ",99)),100,99)))</f>
        <v/>
      </c>
      <c r="DM182" s="42">
        <f>IF(Tasks[[#This Row],[_Res2Text]]="","",TRIM(MID(SUBSTITUTE(Tasks[[#This Row],[_Resources]],",",REPT(" ",99)),199,99)))</f>
        <v/>
      </c>
      <c r="DN182" s="42">
        <f>IF(Tasks[[#This Row],[_Res3Text]]="","",TRIM(MID(SUBSTITUTE(Tasks[[#This Row],[_Resources]],",",REPT(" ",99)),298,99)))</f>
        <v/>
      </c>
      <c r="DO182" s="42">
        <f>IF(Tasks[[#This Row],[_Res1Text]]="",0,IFERROR(MATCH(TRIM(LEFT(Tasks[[#This Row],[_Res1Text]],FIND("[",Tasks[[#This Row],[_Res1Text]]&amp;"[")-1)),res_Name,0),IFERROR(MATCH(TRIM(LEFT(Tasks[[#This Row],[_Res1Text]],FIND("[",Tasks[[#This Row],[_Res1Text]]&amp;"[")-1)),res_Initials,0),0)))</f>
        <v/>
      </c>
      <c r="DP182" s="42">
        <f>IF(Tasks[[#This Row],[_Res2Text]]="",0,IFERROR(MATCH(TRIM(LEFT(Tasks[[#This Row],[_Res2Text]],FIND("[",Tasks[[#This Row],[_Res2Text]]&amp;"[")-1)),res_Name,0),IFERROR(MATCH(TRIM(LEFT(Tasks[[#This Row],[_Res2Text]],FIND("[",Tasks[[#This Row],[_Res2Text]]&amp;"[")-1)),res_Initials,0),0)))</f>
        <v/>
      </c>
      <c r="DQ182" s="42">
        <f>IF(Tasks[[#This Row],[_Res3Text]]="",0,IFERROR(MATCH(TRIM(LEFT(Tasks[[#This Row],[_Res3Text]],FIND("[",Tasks[[#This Row],[_Res3Text]]&amp;"[")-1)),res_Name,0),IFERROR(MATCH(TRIM(LEFT(Tasks[[#This Row],[_Res3Text]],FIND("[",Tasks[[#This Row],[_Res3Text]]&amp;"[")-1)),res_Initials,0),0)))</f>
        <v/>
      </c>
      <c r="DR182" s="42">
        <f>IF(Tasks[[#This Row],[_Res4Text]]="",0,IFERROR(MATCH(TRIM(LEFT(Tasks[[#This Row],[_Res4Text]],FIND("[",Tasks[[#This Row],[_Res4Text]]&amp;"[")-1)),res_Name,0),IFERROR(MATCH(TRIM(LEFT(Tasks[[#This Row],[_Res4Text]],FIND("[",Tasks[[#This Row],[_Res4Text]]&amp;"[")-1)),res_Initials,0),0)))</f>
        <v/>
      </c>
      <c r="DS182" s="42">
        <f>IF(Tasks[[#This Row],[_Res1Text]]="","",IF(Tasks[[#This Row],[_Res1Row]]&gt;0,INDEX(res_Name,Tasks[[#This Row],[_Res1Row]]),TRIM(LEFT(Tasks[[#This Row],[_Res1Text]],FIND("[",Tasks[[#This Row],[_Res1Text]]&amp;"[")-1))))</f>
        <v/>
      </c>
      <c r="DT18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2" s="42">
        <f>IF(NOT(Tasks[[#This Row],[_IsLeaf]]=1),0,(Tasks[[#This Row],[_Resource1]]&lt;&gt;"")+(Tasks[[#This Row],[_Res2]]&lt;&gt;"")+(Tasks[[#This Row],[_Res3]]&lt;&gt;"")+(Tasks[[#This Row],[_Res4]]&lt;&gt;""))</f>
        <v/>
      </c>
      <c r="DV182" s="42">
        <f>IF(Tasks[[#This Row],[_Res2Text]]="","",IF(Tasks[[#This Row],[_Res2Row]]&gt;0,INDEX(res_Name,Tasks[[#This Row],[_Res2Row]]),TRIM(LEFT(Tasks[[#This Row],[_Res2Text]],FIND("[",Tasks[[#This Row],[_Res2Text]]&amp;"[")-1))))</f>
        <v/>
      </c>
      <c r="DW18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2" s="42">
        <f>IF(OR(NOT(Tasks[[#This Row],[_IsLeaf]]=1),Tasks[[#This Row],[_Res2Row]]=0),0,N(Tasks[[#This Row],[_Days]])*HoursPerDay*IF(Tasks[[#This Row],[_Res2Units]]="",DefaultUnits,Tasks[[#This Row],[_Res2Units]]))</f>
        <v/>
      </c>
      <c r="DY182" s="42">
        <f>IF(AND(AND(Tasks[[#This Row],[_IsLeaf]]=1,Tasks[[#This Row],[_LeafTotalWork]]&gt;0),Tasks[[#This Row],[_Res2Work]]&gt;0),Tasks[[#This Row],[_Res2Work]]/(Tasks[[#This Row],[_FinishWorkday]]-Tasks[[#This Row],[_StartWorkday]]+1),0)</f>
        <v/>
      </c>
      <c r="DZ182" s="42">
        <f>Tasks[[#This Row],[_Res2WorkPerWD]]*MAX(0,Tasks[[#This Row],[_StartWorkday]]-1)</f>
        <v/>
      </c>
      <c r="EA182" s="42">
        <f>Tasks[[#This Row],[_Res2Work]]*Tasks[[#This Row],[_LeafProgress]]</f>
        <v/>
      </c>
      <c r="EB182" s="42">
        <f>IF(Tasks[[#This Row],[_Res3Text]]="","",IF(Tasks[[#This Row],[_Res3Row]]&gt;0,INDEX(res_Name,Tasks[[#This Row],[_Res3Row]]),TRIM(LEFT(Tasks[[#This Row],[_Res3Text]],FIND("[",Tasks[[#This Row],[_Res3Text]]&amp;"[")-1))))</f>
        <v/>
      </c>
      <c r="EC18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2" s="42">
        <f>IF(OR(NOT(Tasks[[#This Row],[_IsLeaf]]=1),Tasks[[#This Row],[_Res3Row]]=0),0,N(Tasks[[#This Row],[_Days]])*HoursPerDay*IF(Tasks[[#This Row],[_Res3Units]]="",DefaultUnits,Tasks[[#This Row],[_Res3Units]]))</f>
        <v/>
      </c>
      <c r="EE182" s="42">
        <f>IF(AND(AND(Tasks[[#This Row],[_IsLeaf]]=1,Tasks[[#This Row],[_LeafTotalWork]]&gt;0),Tasks[[#This Row],[_Res3Work]]&gt;0),Tasks[[#This Row],[_Res3Work]]/(Tasks[[#This Row],[_FinishWorkday]]-Tasks[[#This Row],[_StartWorkday]]+1),0)</f>
        <v/>
      </c>
      <c r="EF182" s="42">
        <f>Tasks[[#This Row],[_Res3WorkPerWD]]*MAX(0,Tasks[[#This Row],[_StartWorkday]]-1)</f>
        <v/>
      </c>
      <c r="EG182" s="42">
        <f>Tasks[[#This Row],[_Res3Work]]*Tasks[[#This Row],[_LeafProgress]]</f>
        <v/>
      </c>
      <c r="EH182" s="42">
        <f>IF(Tasks[[#This Row],[_Res4Text]]="","",IF(Tasks[[#This Row],[_Res4Row]]&gt;0,INDEX(res_Name,Tasks[[#This Row],[_Res4Row]]),TRIM(LEFT(Tasks[[#This Row],[_Res4Text]],FIND("[",Tasks[[#This Row],[_Res4Text]]&amp;"[")-1))))</f>
        <v/>
      </c>
      <c r="EI18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2" s="42">
        <f>IF(OR(NOT(Tasks[[#This Row],[_IsLeaf]]=1),Tasks[[#This Row],[_Res4Row]]=0),0,N(Tasks[[#This Row],[_Days]])*HoursPerDay*IF(Tasks[[#This Row],[_Res4Units]]="",DefaultUnits,Tasks[[#This Row],[_Res4Units]]))</f>
        <v/>
      </c>
      <c r="EK182" s="42">
        <f>IF(AND(AND(Tasks[[#This Row],[_IsLeaf]]=1,Tasks[[#This Row],[_LeafTotalWork]]&gt;0),Tasks[[#This Row],[_Res4Work]]&gt;0),Tasks[[#This Row],[_Res4Work]]/(Tasks[[#This Row],[_FinishWorkday]]-Tasks[[#This Row],[_StartWorkday]]+1),0)</f>
        <v/>
      </c>
      <c r="EL182" s="42">
        <f>Tasks[[#This Row],[_Res4WorkPerWD]]*MAX(0,Tasks[[#This Row],[_StartWorkday]]-1)</f>
        <v/>
      </c>
      <c r="EM182" s="42">
        <f>Tasks[[#This Row],[_Res4Work]]*Tasks[[#This Row],[_LeafProgress]]</f>
        <v/>
      </c>
      <c r="EN182" s="42">
        <f>IF(ISNUMBER(Tasks[[#This Row],[% Complete]]),Tasks[[#This Row],[% Complete]],IF(Tasks[[#This Row],[Stage]]="",0,IFERROR(INDEX(stg_Pct,MATCH(Tasks[[#This Row],[Stage]],stg_Name,0)),0)))</f>
        <v/>
      </c>
      <c r="EO182" s="42">
        <f>IF(NOT(Tasks[[#This Row],[_IsLeaf]]=1),0,IF(N(Tasks[[#This Row],[Actual Finish]])&gt;0,1,MIN(1,Tasks[[#This Row],[_Pct]])))</f>
        <v/>
      </c>
      <c r="EP182" s="42">
        <f>IF(OR(NOT(Tasks[[#This Row],[_IsLeaf]]=1),Tasks[[#This Row],[_Res1Row]]=0),0,N(Tasks[[#This Row],[_Days]])*HoursPerDay*IF(Tasks[[#This Row],[_Units1]]="",DefaultUnits,Tasks[[#This Row],[_Units1]]))</f>
        <v/>
      </c>
      <c r="EQ182" s="42">
        <f>Tasks[[#This Row],[_LeafWork]]+Tasks[[#This Row],[_Res2Work]]+Tasks[[#This Row],[_Res3Work]]+Tasks[[#This Row],[_Res4Work]]</f>
        <v/>
      </c>
      <c r="ER18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2" s="42">
        <f>IF(NOT(Tasks[[#This Row],[_IsLeaf]]=1),0,MAX(_xlfn.MAXIFS(Tasks[_Row],Tasks[_Pred1UID],Tasks[[#This Row],[UID]]),_xlfn.MAXIFS(Tasks[_Row],Tasks[_Pred2UID],Tasks[[#This Row],[UID]]),_xlfn.MAXIFS(Tasks[_Row],Tasks[_Pred3UID],Tasks[[#This Row],[UID]]),_xlfn.MAXIFS(Tasks[_Row],Tasks[_Pred4UID],Tasks[[#This Row],[UID]])))</f>
        <v/>
      </c>
      <c r="FA18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2" s="88">
        <f>IF(NOT(Tasks[[#This Row],[_IsLeaf]]=1),"",IF(N(Tasks[[#This Row],[_Days]])&lt;=0,Tasks[[#This Row],[_LeafLateFinish]],WORKDAY.INTL(Tasks[[#This Row],[_LeafLateFinish]],-(Tasks[[#This Row],[_Days]]-1),WorkWeek,Holidays)))</f>
        <v/>
      </c>
      <c r="FD18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2" s="42">
        <f>AND(Tasks[[#This Row],[_IsLeaf]]=1,Tasks[[#This Row],[_LeafProgress]]&lt;1,N(Tasks[[#This Row],[_LeafTotalSlack]])&lt;=CriticalSlackDays)</f>
        <v/>
      </c>
      <c r="FF182" s="42">
        <f>IF(AND(Tasks[[#This Row],[_IsLeaf]]=1,Tasks[[#This Row],[_ConstraintCode]]=1,Tasks[[#This Row],[Mode]]&lt;&gt;"Manual",N(Tasks[[#This Row],[Actual Start]])=0),MAX(0,N(Tasks[[#This Row],[Free Slack]])),0)</f>
        <v/>
      </c>
      <c r="FG182" s="88">
        <f>IF(NOT(Tasks[[#This Row],[_IsLeaf]]=1),"",IF(Tasks[[#This Row],[_AlapShift]]=0,Tasks[[#This Row],[_LeafCalcStart]],WORKDAY.INTL(Tasks[[#This Row],[_LeafCalcStart]],Tasks[[#This Row],[_AlapShift]],WorkWeek,Holidays)))</f>
        <v/>
      </c>
      <c r="FH182" s="88">
        <f>IF(NOT(Tasks[[#This Row],[_IsLeaf]]=1),"",IF(Tasks[[#This Row],[_AlapShift]]=0,Tasks[[#This Row],[_LeafCalcFinish]],WORKDAY.INTL(Tasks[[#This Row],[_LeafCalcFinish]],Tasks[[#This Row],[_AlapShift]],WorkWeek,Holidays)))</f>
        <v/>
      </c>
      <c r="FI182" s="88">
        <f>IF(NOT(Tasks[[#This Row],[_IsLeaf]]=1),"",IF(Tasks[[#This Row],[_AlapShift]]=0,Tasks[[#This Row],[_LeafFcstStart]],WORKDAY.INTL(Tasks[[#This Row],[_LeafFcstStart]],Tasks[[#This Row],[_AlapShift]],WorkWeek,Holidays)))</f>
        <v/>
      </c>
      <c r="FJ182" s="88">
        <f>IF(NOT(Tasks[[#This Row],[_IsLeaf]]=1),"",IF(Tasks[[#This Row],[_AlapShift]]=0,Tasks[[#This Row],[_LeafFcstFinish]],WORKDAY.INTL(Tasks[[#This Row],[_LeafFcstFinish]],Tasks[[#This Row],[_AlapShift]],WorkWeek,Holidays)))</f>
        <v/>
      </c>
      <c r="FK182" s="88">
        <f>IF(Tasks[[#This Row],[Task Name]]="","",IF(Tasks[[#This Row],[_IsSummary]],MIN(INDEX(Tasks[_ShownCalcStart],Tasks[[#This Row],[_Row]]+1):INDEX(Tasks[_ShownCalcStart],Tasks[[#This Row],[_Row]]+Tasks[[#This Row],[_Descendants]])),Tasks[[#This Row],[_ShownCalcStart]]))</f>
        <v/>
      </c>
      <c r="FL182" s="88">
        <f>IF(Tasks[[#This Row],[Task Name]]="","",IF(Tasks[[#This Row],[_IsSummary]],MAX(INDEX(Tasks[_ShownCalcFinish],Tasks[[#This Row],[_Row]]+1):INDEX(Tasks[_ShownCalcFinish],Tasks[[#This Row],[_Row]]+Tasks[[#This Row],[_Descendants]])),Tasks[[#This Row],[_ShownCalcFinish]]))</f>
        <v/>
      </c>
      <c r="FM18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2" s="42">
        <f>IF(AND(Tasks[[#This Row],[_IsLeaf]]=1,Tasks[[#This Row],[_LeafTotalWork]]&gt;0),NETWORKDAYS.INTL(ProjectStart,Tasks[[#This Row],[_ShownFcstStart]],WorkWeek,Holidays),0)</f>
        <v/>
      </c>
      <c r="FZ182" s="42">
        <f>IF(AND(Tasks[[#This Row],[_IsLeaf]]=1,Tasks[[#This Row],[_LeafTotalWork]]&gt;0),MAX(Tasks[[#This Row],[_StartWorkday]],NETWORKDAYS.INTL(ProjectStart,Tasks[[#This Row],[_ShownFcstFinish]],WorkWeek,Holidays)),0)</f>
        <v/>
      </c>
      <c r="GA182" s="42">
        <f>IF(AND(Tasks[[#This Row],[_IsLeaf]]=1,Tasks[[#This Row],[_LeafTotalWork]]&gt;0),Tasks[[#This Row],[_LeafWork]]/(Tasks[[#This Row],[_FinishWorkday]]-Tasks[[#This Row],[_StartWorkday]]+1),0)</f>
        <v/>
      </c>
      <c r="GB182" s="42">
        <f>Tasks[[#This Row],[_WorkPerWorkday]]*(Tasks[[#This Row],[_StartWorkday]]-1)</f>
        <v/>
      </c>
      <c r="GC182" s="42">
        <f>IF(Tasks[[#This Row],[_IsLeaf]]=1,MAX(N(Tasks[[#This Row],[_Days]]),0.1),0)</f>
        <v/>
      </c>
      <c r="GD182" s="42">
        <f>Tasks[[#This Row],[_WeightDur]]*Tasks[[#This Row],[_LeafProgress]]</f>
        <v/>
      </c>
      <c r="GE182" s="42">
        <f>Tasks[[#This Row],[_WeightDur]]*Tasks[[#This Row],[_PlannedPct]]</f>
        <v/>
      </c>
      <c r="GF18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2" s="42">
        <f>IF(AND(Tasks[[#This Row],[_IsLeaf]]=1,N(Tasks[[#This Row],[_Days]])=0,Tasks[[#This Row],[_LeafProgress]]&lt;1),Tasks[[#This Row],[_ShownFcstFinish]]+Tasks[[#This Row],[_Row]]/100000,"")</f>
        <v/>
      </c>
      <c r="GH18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2" s="42">
        <f>IF(Tasks[[#This Row],[Task Name]]="","",LEFT(Tasks[[#This Row],[WBS]],FIND(".",Tasks[[#This Row],[WBS]]&amp;".")-1))</f>
        <v/>
      </c>
      <c r="GJ182" s="42">
        <f>IF(AND(Tasks[[#This Row],[Task Name]]&lt;&gt;"",Tasks[[#This Row],[_Level]]=1),Tasks[[#This Row],[_Row]],"")</f>
        <v/>
      </c>
      <c r="GK182" s="42">
        <f>IF(AND(Tasks[[#This Row],[_IsLeaf]]=1,N(Tasks[[#This Row],[_Days]])=0),Tasks[[#This Row],[Planned Finish]]+Tasks[[#This Row],[_Row]]/100000,"")</f>
        <v/>
      </c>
      <c r="GL182" s="42">
        <f>IF(AND(Tasks[[#This Row],[_IsLeaf]]=1,Tasks[[#This Row],[_LeafProgress]]&lt;1,OR(N(Tasks[[#This Row],[Finish Var]])&gt;0,Tasks[[#This Row],[Status]]="Late Start")),MAX(0,Tasks[[#This Row],[Finish Var]])+1-Tasks[[#This Row],[_Row]]/1000000,"")</f>
        <v/>
      </c>
      <c r="GM182" s="42">
        <f>IF(AND(Tasks[[#This Row],[_IsLeaf]]=1,N(Tasks[[#This Row],[Actual Start]])=0,Tasks[[#This Row],[_ShownFcstStart]]&gt;=StatusDate,Tasks[[#This Row],[_ShownFcstStart]]&lt;=LookaheadEnd),Tasks[[#This Row],[_ShownFcstStart]]+Tasks[[#This Row],[_Row]]/100000,"")</f>
        <v/>
      </c>
      <c r="GN182" s="42">
        <f>IF(AND(Tasks[[#This Row],[_IsLeaf]]=1,Tasks[[#This Row],[_LeafProgress]]&lt;1,Tasks[[#This Row],[_ShownFcstFinish]]&gt;=StatusDate,Tasks[[#This Row],[_ShownFcstFinish]]&lt;=LookaheadEnd),Tasks[[#This Row],[_ShownFcstFinish]]+Tasks[[#This Row],[_Row]]/100000,"")</f>
        <v/>
      </c>
      <c r="GO182" s="42">
        <f>IF(Tasks[[#This Row],[_LeafCritical]],Tasks[[#This Row],[_ShownFcstStart]]+Tasks[[#This Row],[_Row]]/100000,"")</f>
        <v/>
      </c>
      <c r="GP182" s="42">
        <f>Tasks[[#This Row],[_LeafWork]]*Tasks[[#This Row],[_LeafProgress]]</f>
        <v/>
      </c>
      <c r="GQ182" s="88">
        <f>IF(AND(Tasks[[#This Row],[_IsLeaf]]=1,Tasks[[#This Row],[_LeafProgress]]&gt;=1),IF(N(Tasks[[#This Row],[Actual Finish]])&gt;0,Tasks[[#This Row],[Actual Finish]],Tasks[[#This Row],[_ShownFcstFinish]]),"")</f>
        <v/>
      </c>
      <c r="GR182" s="42">
        <f>IF(Tasks[[#This Row],[_IsLeaf]]=1,N(Tasks[[#This Row],[Story Points]]),0)</f>
        <v/>
      </c>
      <c r="GS182" s="42">
        <f>""</f>
        <v/>
      </c>
      <c r="GT182" s="42">
        <f>IF(Tasks[[#This Row],[Task Name]]="",FALSE(),AND(Tasks[[#This Row],[_IsLeaf]]=1,N(Tasks[[#This Row],[_Days]])=0))</f>
        <v/>
      </c>
      <c r="GU182" s="88">
        <f>IF(Tasks[[#This Row],[Task Name]]="",0,IF(AND(Tasks[[#This Row],[_IsLeaf]]=1,NOT(Tasks[[#This Row],[_IsMilestone]]),N(Tasks[[#This Row],[Progress]])&gt;0),Tasks[[#This Row],[Start]],0))</f>
        <v/>
      </c>
      <c r="GV182" s="88">
        <f>IF(Tasks[[#This Row],[_DoneFrom]]=0,0,IF(Tasks[[#This Row],[Progress]]&gt;=1,Tasks[[#This Row],[Finish]],MAX(Tasks[[#This Row],[_DoneFrom]],Tasks[[#This Row],[Start]]+ROUND((Tasks[[#This Row],[Finish]]-Tasks[[#This Row],[Start]]+1)*Tasks[[#This Row],[Progress]],0)-1)))</f>
        <v/>
      </c>
      <c r="GW182" s="88">
        <f>IF(Tasks[[#This Row],[Task Name]]="",0,IF(OR(NOT(Tasks[[#This Row],[_IsLeaf]]=1),Tasks[[#This Row],[_IsMilestone]],N(Tasks[[#This Row],[Progress]])&gt;=1),0,IF(Tasks[[#This Row],[_DoneTo]]&gt;0,Tasks[[#This Row],[_DoneTo]]+1,Tasks[[#This Row],[Start]])))</f>
        <v/>
      </c>
      <c r="GX182" s="88">
        <f>IF(Tasks[[#This Row],[_RemFrom]]=0,0,Tasks[[#This Row],[Finish]])</f>
        <v/>
      </c>
      <c r="GY182" s="42">
        <f>IF(Tasks[[#This Row],[Task Name]]="",FALSE(),OR(NOT(BaselineSet),N(Tasks[[#This Row],[Baseline Start]])&gt;0))</f>
        <v/>
      </c>
      <c r="GZ182" s="42">
        <f>IF(AND(Sandbox="Yes",L_PARSE_DURATION(Tasks[[#This Row],[Sandbox Duration]])&lt;&gt;""),L_PARSE_DURATION(Tasks[[#This Row],[Sandbox Duration]]),L_PARSE_DURATION(Tasks[[#This Row],[Duration]]))</f>
        <v/>
      </c>
      <c r="HA18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2" s="42">
        <f>IF(Tasks[[#This Row],[_IsLeaf]]=1,Tasks[[#This Row],[_Row]],"")</f>
        <v/>
      </c>
      <c r="HD182" s="42">
        <f>IFERROR(INDEX(Tasks[UID],SMALL(Tasks[_PickKey],Tasks[[#This Row],[_Row]]))&amp;" "&amp;INDEX(Tasks[Task Name],SMALL(Tasks[_PickKey],Tasks[[#This Row],[_Row]])),"")</f>
        <v/>
      </c>
      <c r="HE182" s="42">
        <f>IF(Tasks[[#This Row],[Task Name]]="","",IF(Tasks[[#This Row],[_IsSummary]],NETWORKDAYS.INTL(Tasks[[#This Row],[Start]],Tasks[[#This Row],[Finish]],WorkWeek,Holidays),N(Tasks[[#This Row],[_Days]])))</f>
        <v/>
      </c>
      <c r="HF182" s="42">
        <f>IF(Tasks[[#This Row],[Expected]]="",0,((Tasks[[#This Row],[Pessimistic]]-Tasks[[#This Row],[Optimistic]])/6)^2)</f>
        <v/>
      </c>
      <c r="HG182" s="42">
        <f>IF(Tasks[[#This Row],[Expected]]="",0,Tasks[[#This Row],[Expected]]-N(Tasks[[#This Row],[_Days]]))</f>
        <v/>
      </c>
    </row>
    <row r="183">
      <c r="A183" s="21">
        <f>IF(Tasks[[#This Row],[Task Name]]="","",COUNTA(Tasks[[#Headers],[Task Name]]:Tasks[[#This Row],[Task Name]])-1)</f>
        <v/>
      </c>
      <c r="B183" s="22" t="n">
        <v>191</v>
      </c>
      <c r="C183" s="22" t="n"/>
      <c r="D183" s="23" t="n"/>
      <c r="E183" s="22" t="n"/>
      <c r="F183" s="23" t="n"/>
      <c r="G183" s="22" t="n"/>
      <c r="H183" s="22" t="n"/>
      <c r="I183" s="23" t="n"/>
      <c r="J183" s="22" t="n"/>
      <c r="K183" s="22" t="n"/>
      <c r="L183" s="23" t="n"/>
      <c r="M183" s="22" t="n"/>
      <c r="N183" s="22" t="n"/>
      <c r="O183" s="23" t="n"/>
      <c r="P183" s="22" t="n"/>
      <c r="Q183" s="22" t="n"/>
      <c r="R183" s="23" t="n"/>
      <c r="S183" s="23" t="n"/>
      <c r="T183" s="82" t="n"/>
      <c r="U183" s="23" t="n"/>
      <c r="V183" s="82" t="n"/>
      <c r="W183" s="23" t="n"/>
      <c r="X183" s="82" t="n"/>
      <c r="Y183" s="23" t="n"/>
      <c r="Z183" s="82" t="n"/>
      <c r="AA183" s="23" t="n"/>
      <c r="AB183" s="23" t="n"/>
      <c r="AC183" s="7" t="n"/>
      <c r="AD183" s="7" t="n"/>
      <c r="AE183" s="61">
        <f>IF(Tasks[[#This Row],[Task Name]]="","",IF(Tasks[[#This Row],[_IsSummary]],MIN(INDEX(Tasks[_ShownFcstStart],Tasks[[#This Row],[_Row]]+1):INDEX(Tasks[_ShownFcstStart],Tasks[[#This Row],[_Row]]+Tasks[[#This Row],[_Descendants]])),Tasks[[#This Row],[_ShownFcstStart]]))</f>
        <v/>
      </c>
      <c r="AF183" s="61">
        <f>IF(Tasks[[#This Row],[Task Name]]="","",IF(Tasks[[#This Row],[_IsSummary]],MAX(INDEX(Tasks[_ShownFcstFinish],Tasks[[#This Row],[_Row]]+1):INDEX(Tasks[_ShownFcstFinish],Tasks[[#This Row],[_Row]]+Tasks[[#This Row],[_Descendants]])),Tasks[[#This Row],[_ShownFcstFinish]]))</f>
        <v/>
      </c>
      <c r="AG183" s="21">
        <f>""</f>
        <v/>
      </c>
      <c r="AH183" s="23" t="n"/>
      <c r="AI18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3" s="7" t="n"/>
      <c r="AK183" s="22" t="n"/>
      <c r="AL183" s="23" t="n"/>
      <c r="AM183" s="7" t="n"/>
      <c r="AN183" s="21">
        <f>IF(Tasks[[#This Row],[Task Name]]="","",IF(Tasks[[#This Row],[Finish]]&gt;=Tasks[[#This Row],[Planned Finish]],NETWORKDAYS.INTL(Tasks[[#This Row],[Planned Finish]],Tasks[[#This Row],[Finish]],WorkWeek,Holidays)-1,1-NETWORKDAYS.INTL(Tasks[[#This Row],[Finish]],Tasks[[#This Row],[Planned Finish]],WorkWeek,Holidays)))</f>
        <v/>
      </c>
      <c r="AO183" s="21">
        <f>IF(Tasks[[#This Row],[Task Name]]="","",IF(Tasks[[#This Row],[Progress]]&gt;=1,"Complete",IF(OR(N(Tasks[[#This Row],[Actual Start]])&gt;0,Tasks[[#This Row],[Progress]]&gt;0),IF(Tasks[[#This Row],[Finish Var]]&gt;0,"Behind","In Progress"),IF(Tasks[[#This Row],[Planned Start]]&lt;StatusDate,"Late Start","Not Started"))))</f>
        <v/>
      </c>
      <c r="AP183" s="21">
        <f>IF(Tasks[[#This Row],[Task Name]]="","",IF(IF(Tasks[[#This Row],[_IsSummary]],COUNTIF(INDEX(Tasks[_LeafCritical],Tasks[[#This Row],[_Row]]+1):INDEX(Tasks[_LeafCritical],Tasks[[#This Row],[_Row]]+Tasks[[#This Row],[_Descendants]]),TRUE())&gt;0,Tasks[[#This Row],[_LeafCritical]]),"Yes",""))</f>
        <v/>
      </c>
      <c r="AQ183" s="61">
        <f>IF(Tasks[[#This Row],[Task Name]]="","",IF(N(Tasks[[#This Row],[Baseline Start]])&gt;0,Tasks[[#This Row],[Baseline Start]],Tasks[[#This Row],[_CalcStart]]))</f>
        <v/>
      </c>
      <c r="AR183" s="61">
        <f>IF(Tasks[[#This Row],[Task Name]]="","",IF(N(Tasks[[#This Row],[Baseline Finish]])&gt;0,Tasks[[#This Row],[Baseline Finish]],Tasks[[#This Row],[_CalcFinish]]))</f>
        <v/>
      </c>
      <c r="AS183" s="21">
        <f>IF(Tasks[[#This Row],[Task Name]]="","",IF(Tasks[[#This Row],[Start]]&gt;=Tasks[[#This Row],[Planned Start]],NETWORKDAYS.INTL(Tasks[[#This Row],[Planned Start]],Tasks[[#This Row],[Start]],WorkWeek,Holidays)-1,1-NETWORKDAYS.INTL(Tasks[[#This Row],[Start]],Tasks[[#This Row],[Planned Start]],WorkWeek,Holidays)))</f>
        <v/>
      </c>
      <c r="AT183" s="61">
        <f>IF(Tasks[[#This Row],[Task Name]]="","",IF(Tasks[[#This Row],[_IsSummary]],MIN(INDEX(Tasks[_LeafLateStart],Tasks[[#This Row],[_Row]]+1):INDEX(Tasks[_LeafLateStart],Tasks[[#This Row],[_Row]]+Tasks[[#This Row],[_Descendants]])),Tasks[[#This Row],[_LeafLateStart]]))</f>
        <v/>
      </c>
      <c r="AU183" s="61">
        <f>IF(Tasks[[#This Row],[Task Name]]="","",IF(Tasks[[#This Row],[_IsSummary]],MAX(INDEX(Tasks[_LeafLateFinish],Tasks[[#This Row],[_Row]]+1):INDEX(Tasks[_LeafLateFinish],Tasks[[#This Row],[_Row]]+Tasks[[#This Row],[_Descendants]])),Tasks[[#This Row],[_LeafLateFinish]]))</f>
        <v/>
      </c>
      <c r="AV183" s="21">
        <f>IF(Tasks[[#This Row],[Task Name]]="","",IF(Tasks[[#This Row],[_IsSummary]],MIN(INDEX(Tasks[_LeafTotalSlack],Tasks[[#This Row],[_Row]]+1):INDEX(Tasks[_LeafTotalSlack],Tasks[[#This Row],[_Row]]+Tasks[[#This Row],[_Descendants]])),Tasks[[#This Row],[_LeafTotalSlack]]))</f>
        <v/>
      </c>
      <c r="AW18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3" t="n"/>
      <c r="BA18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f>IF(Tasks[[#This Row],[Task Name]]="","",IF(Tasks[[#This Row],[_Level]]&lt;=OutlineShowLevel,"Yes","No"))</f>
        <v/>
      </c>
      <c r="BE183" s="84">
        <f>IF(Tasks[[#This Row],[Task Name]]="","",IF(Tasks[[#This Row],[_IsSummary]],SUM(INDEX(Tasks[_LeafTotalWork],Tasks[[#This Row],[_Row]]+1):INDEX(Tasks[_LeafTotalWork],Tasks[[#This Row],[_Row]]+Tasks[[#This Row],[_Descendants]])),Tasks[[#This Row],[_LeafTotalWork]]))</f>
        <v/>
      </c>
      <c r="BF183" s="23" t="n"/>
      <c r="BG18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f>""</f>
        <v/>
      </c>
      <c r="BI183" s="85" t="n"/>
      <c r="BJ183" s="22" t="n"/>
      <c r="BK183" s="21">
        <f>IF(OR(Tasks[[#This Row],[Task Name]]="",Tasks[[#This Row],[Baseline Duration]]=""),"",Tasks[[#This Row],[_SpanDays]]-N(Tasks[[#This Row],[Baseline Duration]]))</f>
        <v/>
      </c>
      <c r="BL183" s="84">
        <f>IF(OR(Tasks[[#This Row],[Task Name]]="",Tasks[[#This Row],[Baseline Work]]=""),"",Tasks[[#This Row],[Work]]-N(Tasks[[#This Row],[Baseline Work]]))</f>
        <v/>
      </c>
      <c r="BM183" s="61">
        <f>IF(Tasks[[#This Row],[Task Name]]="","",IF(OR(TakeBaseline="Yes",N(Tasks[[#This Row],[Baseline Start]])=0),Tasks[[#This Row],[Start]],Tasks[[#This Row],[Baseline Start]]))</f>
        <v/>
      </c>
      <c r="BN183" s="61">
        <f>IF(Tasks[[#This Row],[Task Name]]="","",IF(OR(TakeBaseline="Yes",N(Tasks[[#This Row],[Baseline Finish]])=0),Tasks[[#This Row],[Finish]],Tasks[[#This Row],[Baseline Finish]]))</f>
        <v/>
      </c>
      <c r="BO183" s="21">
        <f>IF(Tasks[[#This Row],[Task Name]]="","",IF(OR(TakeBaseline="Yes",N(Tasks[[#This Row],[Baseline Duration]])=0),Tasks[[#This Row],[_SpanDays]],Tasks[[#This Row],[Baseline Duration]]))</f>
        <v/>
      </c>
      <c r="BP183" s="84">
        <f>IF(Tasks[[#This Row],[Task Name]]="","",IF(OR(TakeBaseline="Yes",N(Tasks[[#This Row],[Baseline Work]])=0),Tasks[[#This Row],[Work]],Tasks[[#This Row],[Baseline Work]]))</f>
        <v/>
      </c>
      <c r="BQ183" s="7" t="n"/>
      <c r="BR183" s="7" t="n"/>
      <c r="BS183" s="22" t="n"/>
      <c r="BT183" s="86" t="n"/>
      <c r="BU183" s="23" t="n"/>
      <c r="BV183" s="23" t="n"/>
      <c r="BW183" s="23" t="n"/>
      <c r="BX183" s="87">
        <f>IF(AND(Tasks[[#This Row],[_IsLeaf]]=1,ISNUMBER(Tasks[[#This Row],[Optimistic]]),ISNUMBER(Tasks[[#This Row],[Pessimistic]])),ROUND((Tasks[[#This Row],[Optimistic]]+4*N(Tasks[[#This Row],[_Days]])+Tasks[[#This Row],[Pessimistic]])/6,1),"")</f>
        <v/>
      </c>
      <c r="BY183" s="85" t="n"/>
      <c r="BZ183" s="85" t="n"/>
      <c r="CA183" s="22" t="n"/>
      <c r="CB183" s="42">
        <f>IF(Tasks[[#This Row],[Task Name]]="","",MAX(1,N(Tasks[[#This Row],[Level]])))</f>
        <v/>
      </c>
      <c r="CC183" s="42">
        <f>ROW()-ROW(Tasks[[#Headers],[ID]])</f>
        <v/>
      </c>
      <c r="CD183" s="42">
        <f>IF(OR(Tasks[[#This Row],[Task Name]]="",Tasks[[#This Row],[_Level]]&lt;=1),0,IFERROR(LOOKUP(2,1/(Tasks[[#Headers],[_Level]]:Tasks[[#This Row],[_Level]]=Tasks[[#This Row],[_Level]]-1),ROW(Tasks[[#Headers],[_Level]]:Tasks[[#This Row],[_Level]])),0))</f>
        <v/>
      </c>
      <c r="CE183" s="42">
        <f>IFERROR(N(INDEX(Tasks[_Level],Tasks[[#This Row],[_Row]]+1)),0)</f>
        <v/>
      </c>
      <c r="CF183" s="42">
        <f>AND(Tasks[[#This Row],[Task Name]]&lt;&gt;"",Tasks[[#This Row],[_NextLevel]]&gt;Tasks[[#This Row],[_Level]])</f>
        <v/>
      </c>
      <c r="CG183" s="42">
        <f>IF(Tasks[[#This Row],[_IsSummary]],COUNTIF(Tasks[WBS],Tasks[[#This Row],[WBS]]&amp;".*"),0)</f>
        <v/>
      </c>
      <c r="CH183" s="42">
        <f>IF(AND(Tasks[[#This Row],[Task Name]]&lt;&gt;"",NOT(Tasks[[#This Row],[_IsSummary]])),1,0)</f>
        <v/>
      </c>
      <c r="CI183" s="42">
        <f>IF(N(Tasks[[#This Row],[_Pred1UID]])=0,0,IFERROR(MATCH(Tasks[[#This Row],[_Pred1UID]],Tasks[UID],0),-1))</f>
        <v/>
      </c>
      <c r="CJ183" s="42">
        <f>IF(N(Tasks[[#This Row],[_Pred2UID]])=0,0,IFERROR(MATCH(Tasks[[#This Row],[_Pred2UID]],Tasks[UID],0),-1))</f>
        <v/>
      </c>
      <c r="CK183" s="42">
        <f>IF(N(Tasks[[#This Row],[_Pred3UID]])=0,0,IFERROR(MATCH(Tasks[[#This Row],[_Pred3UID]],Tasks[UID],0),-1))</f>
        <v/>
      </c>
      <c r="CL183" s="42">
        <f>IF(N(Tasks[[#This Row],[_Pred4UID]])=0,0,IFERROR(MATCH(Tasks[[#This Row],[_Pred4UID]],Tasks[UID],0),-1))</f>
        <v/>
      </c>
      <c r="CM18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3" s="88">
        <f>IF(N(Tasks[[#This Row],[Constraint Date]])=0,0,IF(AND(OR(Tasks[[#This Row],[_ConstraintCode]]=3,Tasks[[#This Row],[_ConstraintCode]]=6,Tasks[[#This Row],[_ConstraintCode]]=7),N(Tasks[[#This Row],[_Days]])&gt;1),WORKDAY.INTL(N(Tasks[[#This Row],[Constraint Date]]),-(N(Tasks[[#This Row],[_Days]])-1),WorkWeek,Holidays),N(Tasks[[#This Row],[Constraint Date]])))</f>
        <v/>
      </c>
      <c r="CO183" s="88">
        <f>IF(OR(Tasks[[#This Row],[_ConstraintCode]]=2,Tasks[[#This Row],[_ConstraintCode]]=3,Tasks[[#This Row],[_ConstraintCode]]=4,Tasks[[#This Row],[_ConstraintCode]]=6),Tasks[[#This Row],[_ConstraintStart]],0)</f>
        <v/>
      </c>
      <c r="CP183" s="88">
        <f>IF(OR(Tasks[[#This Row],[_ConstraintCode]]=2,Tasks[[#This Row],[_ConstraintCode]]=3,Tasks[[#This Row],[_ConstraintCode]]=5,Tasks[[#This Row],[_ConstraintCode]]=7),Tasks[[#This Row],[_ConstraintStart]],2958465)</f>
        <v/>
      </c>
      <c r="CQ18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3" s="88">
        <f>IF(NOT(Tasks[[#This Row],[_IsLeaf]]=1),"",IF(N(Tasks[[#This Row],[_Days]])&lt;=0,Tasks[[#This Row],[_LeafCalcStart]],WORKDAY.INTL(Tasks[[#This Row],[_LeafCalcStart]],Tasks[[#This Row],[_Days]]-1,WorkWeek,Holidays)))</f>
        <v/>
      </c>
      <c r="CS18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3" s="42">
        <f>IF(Tasks[[#This Row],[_Predecessors]]="","",TRIM(MID(SUBSTITUTE(SUBSTITUTE(SUBSTITUTE(UPPER(Tasks[[#This Row],[_Predecessors]]),";",",")," ",""),",",REPT(" ",99)),1,99)))</f>
        <v/>
      </c>
      <c r="CV183" s="42">
        <f>IF(Tasks[[#This Row],[_Pred1Text]]="","",IFERROR(VALUE(LEFT(Tasks[[#This Row],[_Pred1Text]],MIN(FIND("F",Tasks[[#This Row],[_Pred1Text]]&amp;"F"),FIND("S",Tasks[[#This Row],[_Pred1Text]]&amp;"S"),FIND("+",Tasks[[#This Row],[_Pred1Text]]&amp;"+"),FIND("-",Tasks[[#This Row],[_Pred1Text]]&amp;"-"))-1)),""))</f>
        <v/>
      </c>
      <c r="CW18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3" s="42">
        <f>IF(Tasks[[#This Row],[_Pred1Text]]="","",TRIM(MID(SUBSTITUTE(SUBSTITUTE(SUBSTITUTE(UPPER(Tasks[[#This Row],[_Predecessors]]),";",",")," ",""),",",REPT(" ",99)),100,99)))</f>
        <v/>
      </c>
      <c r="CZ183" s="42">
        <f>IF(Tasks[[#This Row],[_Pred2Text]]="","",IFERROR(VALUE(LEFT(Tasks[[#This Row],[_Pred2Text]],MIN(FIND("F",Tasks[[#This Row],[_Pred2Text]]&amp;"F"),FIND("S",Tasks[[#This Row],[_Pred2Text]]&amp;"S"),FIND("+",Tasks[[#This Row],[_Pred2Text]]&amp;"+"),FIND("-",Tasks[[#This Row],[_Pred2Text]]&amp;"-"))-1)),""))</f>
        <v/>
      </c>
      <c r="DA18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3" s="42">
        <f>IF(Tasks[[#This Row],[_Pred2Text]]="","",TRIM(MID(SUBSTITUTE(SUBSTITUTE(SUBSTITUTE(UPPER(Tasks[[#This Row],[_Predecessors]]),";",",")," ",""),",",REPT(" ",99)),199,99)))</f>
        <v/>
      </c>
      <c r="DD183" s="42">
        <f>IF(Tasks[[#This Row],[_Pred3Text]]="","",IFERROR(VALUE(LEFT(Tasks[[#This Row],[_Pred3Text]],MIN(FIND("F",Tasks[[#This Row],[_Pred3Text]]&amp;"F"),FIND("S",Tasks[[#This Row],[_Pred3Text]]&amp;"S"),FIND("+",Tasks[[#This Row],[_Pred3Text]]&amp;"+"),FIND("-",Tasks[[#This Row],[_Pred3Text]]&amp;"-"))-1)),""))</f>
        <v/>
      </c>
      <c r="DE18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3" s="42">
        <f>IF(Tasks[[#This Row],[_Pred3Text]]="","",TRIM(MID(SUBSTITUTE(SUBSTITUTE(SUBSTITUTE(UPPER(Tasks[[#This Row],[_Predecessors]]),";",",")," ",""),",",REPT(" ",99)),298,99)))</f>
        <v/>
      </c>
      <c r="DH183" s="42">
        <f>IF(Tasks[[#This Row],[_Pred4Text]]="","",IFERROR(VALUE(LEFT(Tasks[[#This Row],[_Pred4Text]],MIN(FIND("F",Tasks[[#This Row],[_Pred4Text]]&amp;"F"),FIND("S",Tasks[[#This Row],[_Pred4Text]]&amp;"S"),FIND("+",Tasks[[#This Row],[_Pred4Text]]&amp;"+"),FIND("-",Tasks[[#This Row],[_Pred4Text]]&amp;"-"))-1)),""))</f>
        <v/>
      </c>
      <c r="DI18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3" s="42">
        <f>IF(OR(Tasks[[#This Row],[Task Name]]="",Tasks[[#This Row],[_Resources]]=""),"",TRIM(MID(SUBSTITUTE(Tasks[[#This Row],[_Resources]],",",REPT(" ",99)),1,99)))</f>
        <v/>
      </c>
      <c r="DL183" s="42">
        <f>IF(Tasks[[#This Row],[_Res1Text]]="","",TRIM(MID(SUBSTITUTE(Tasks[[#This Row],[_Resources]],",",REPT(" ",99)),100,99)))</f>
        <v/>
      </c>
      <c r="DM183" s="42">
        <f>IF(Tasks[[#This Row],[_Res2Text]]="","",TRIM(MID(SUBSTITUTE(Tasks[[#This Row],[_Resources]],",",REPT(" ",99)),199,99)))</f>
        <v/>
      </c>
      <c r="DN183" s="42">
        <f>IF(Tasks[[#This Row],[_Res3Text]]="","",TRIM(MID(SUBSTITUTE(Tasks[[#This Row],[_Resources]],",",REPT(" ",99)),298,99)))</f>
        <v/>
      </c>
      <c r="DO183" s="42">
        <f>IF(Tasks[[#This Row],[_Res1Text]]="",0,IFERROR(MATCH(TRIM(LEFT(Tasks[[#This Row],[_Res1Text]],FIND("[",Tasks[[#This Row],[_Res1Text]]&amp;"[")-1)),res_Name,0),IFERROR(MATCH(TRIM(LEFT(Tasks[[#This Row],[_Res1Text]],FIND("[",Tasks[[#This Row],[_Res1Text]]&amp;"[")-1)),res_Initials,0),0)))</f>
        <v/>
      </c>
      <c r="DP183" s="42">
        <f>IF(Tasks[[#This Row],[_Res2Text]]="",0,IFERROR(MATCH(TRIM(LEFT(Tasks[[#This Row],[_Res2Text]],FIND("[",Tasks[[#This Row],[_Res2Text]]&amp;"[")-1)),res_Name,0),IFERROR(MATCH(TRIM(LEFT(Tasks[[#This Row],[_Res2Text]],FIND("[",Tasks[[#This Row],[_Res2Text]]&amp;"[")-1)),res_Initials,0),0)))</f>
        <v/>
      </c>
      <c r="DQ183" s="42">
        <f>IF(Tasks[[#This Row],[_Res3Text]]="",0,IFERROR(MATCH(TRIM(LEFT(Tasks[[#This Row],[_Res3Text]],FIND("[",Tasks[[#This Row],[_Res3Text]]&amp;"[")-1)),res_Name,0),IFERROR(MATCH(TRIM(LEFT(Tasks[[#This Row],[_Res3Text]],FIND("[",Tasks[[#This Row],[_Res3Text]]&amp;"[")-1)),res_Initials,0),0)))</f>
        <v/>
      </c>
      <c r="DR183" s="42">
        <f>IF(Tasks[[#This Row],[_Res4Text]]="",0,IFERROR(MATCH(TRIM(LEFT(Tasks[[#This Row],[_Res4Text]],FIND("[",Tasks[[#This Row],[_Res4Text]]&amp;"[")-1)),res_Name,0),IFERROR(MATCH(TRIM(LEFT(Tasks[[#This Row],[_Res4Text]],FIND("[",Tasks[[#This Row],[_Res4Text]]&amp;"[")-1)),res_Initials,0),0)))</f>
        <v/>
      </c>
      <c r="DS183" s="42">
        <f>IF(Tasks[[#This Row],[_Res1Text]]="","",IF(Tasks[[#This Row],[_Res1Row]]&gt;0,INDEX(res_Name,Tasks[[#This Row],[_Res1Row]]),TRIM(LEFT(Tasks[[#This Row],[_Res1Text]],FIND("[",Tasks[[#This Row],[_Res1Text]]&amp;"[")-1))))</f>
        <v/>
      </c>
      <c r="DT18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3" s="42">
        <f>IF(NOT(Tasks[[#This Row],[_IsLeaf]]=1),0,(Tasks[[#This Row],[_Resource1]]&lt;&gt;"")+(Tasks[[#This Row],[_Res2]]&lt;&gt;"")+(Tasks[[#This Row],[_Res3]]&lt;&gt;"")+(Tasks[[#This Row],[_Res4]]&lt;&gt;""))</f>
        <v/>
      </c>
      <c r="DV183" s="42">
        <f>IF(Tasks[[#This Row],[_Res2Text]]="","",IF(Tasks[[#This Row],[_Res2Row]]&gt;0,INDEX(res_Name,Tasks[[#This Row],[_Res2Row]]),TRIM(LEFT(Tasks[[#This Row],[_Res2Text]],FIND("[",Tasks[[#This Row],[_Res2Text]]&amp;"[")-1))))</f>
        <v/>
      </c>
      <c r="DW18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3" s="42">
        <f>IF(OR(NOT(Tasks[[#This Row],[_IsLeaf]]=1),Tasks[[#This Row],[_Res2Row]]=0),0,N(Tasks[[#This Row],[_Days]])*HoursPerDay*IF(Tasks[[#This Row],[_Res2Units]]="",DefaultUnits,Tasks[[#This Row],[_Res2Units]]))</f>
        <v/>
      </c>
      <c r="DY183" s="42">
        <f>IF(AND(AND(Tasks[[#This Row],[_IsLeaf]]=1,Tasks[[#This Row],[_LeafTotalWork]]&gt;0),Tasks[[#This Row],[_Res2Work]]&gt;0),Tasks[[#This Row],[_Res2Work]]/(Tasks[[#This Row],[_FinishWorkday]]-Tasks[[#This Row],[_StartWorkday]]+1),0)</f>
        <v/>
      </c>
      <c r="DZ183" s="42">
        <f>Tasks[[#This Row],[_Res2WorkPerWD]]*MAX(0,Tasks[[#This Row],[_StartWorkday]]-1)</f>
        <v/>
      </c>
      <c r="EA183" s="42">
        <f>Tasks[[#This Row],[_Res2Work]]*Tasks[[#This Row],[_LeafProgress]]</f>
        <v/>
      </c>
      <c r="EB183" s="42">
        <f>IF(Tasks[[#This Row],[_Res3Text]]="","",IF(Tasks[[#This Row],[_Res3Row]]&gt;0,INDEX(res_Name,Tasks[[#This Row],[_Res3Row]]),TRIM(LEFT(Tasks[[#This Row],[_Res3Text]],FIND("[",Tasks[[#This Row],[_Res3Text]]&amp;"[")-1))))</f>
        <v/>
      </c>
      <c r="EC18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3" s="42">
        <f>IF(OR(NOT(Tasks[[#This Row],[_IsLeaf]]=1),Tasks[[#This Row],[_Res3Row]]=0),0,N(Tasks[[#This Row],[_Days]])*HoursPerDay*IF(Tasks[[#This Row],[_Res3Units]]="",DefaultUnits,Tasks[[#This Row],[_Res3Units]]))</f>
        <v/>
      </c>
      <c r="EE183" s="42">
        <f>IF(AND(AND(Tasks[[#This Row],[_IsLeaf]]=1,Tasks[[#This Row],[_LeafTotalWork]]&gt;0),Tasks[[#This Row],[_Res3Work]]&gt;0),Tasks[[#This Row],[_Res3Work]]/(Tasks[[#This Row],[_FinishWorkday]]-Tasks[[#This Row],[_StartWorkday]]+1),0)</f>
        <v/>
      </c>
      <c r="EF183" s="42">
        <f>Tasks[[#This Row],[_Res3WorkPerWD]]*MAX(0,Tasks[[#This Row],[_StartWorkday]]-1)</f>
        <v/>
      </c>
      <c r="EG183" s="42">
        <f>Tasks[[#This Row],[_Res3Work]]*Tasks[[#This Row],[_LeafProgress]]</f>
        <v/>
      </c>
      <c r="EH183" s="42">
        <f>IF(Tasks[[#This Row],[_Res4Text]]="","",IF(Tasks[[#This Row],[_Res4Row]]&gt;0,INDEX(res_Name,Tasks[[#This Row],[_Res4Row]]),TRIM(LEFT(Tasks[[#This Row],[_Res4Text]],FIND("[",Tasks[[#This Row],[_Res4Text]]&amp;"[")-1))))</f>
        <v/>
      </c>
      <c r="EI18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3" s="42">
        <f>IF(OR(NOT(Tasks[[#This Row],[_IsLeaf]]=1),Tasks[[#This Row],[_Res4Row]]=0),0,N(Tasks[[#This Row],[_Days]])*HoursPerDay*IF(Tasks[[#This Row],[_Res4Units]]="",DefaultUnits,Tasks[[#This Row],[_Res4Units]]))</f>
        <v/>
      </c>
      <c r="EK183" s="42">
        <f>IF(AND(AND(Tasks[[#This Row],[_IsLeaf]]=1,Tasks[[#This Row],[_LeafTotalWork]]&gt;0),Tasks[[#This Row],[_Res4Work]]&gt;0),Tasks[[#This Row],[_Res4Work]]/(Tasks[[#This Row],[_FinishWorkday]]-Tasks[[#This Row],[_StartWorkday]]+1),0)</f>
        <v/>
      </c>
      <c r="EL183" s="42">
        <f>Tasks[[#This Row],[_Res4WorkPerWD]]*MAX(0,Tasks[[#This Row],[_StartWorkday]]-1)</f>
        <v/>
      </c>
      <c r="EM183" s="42">
        <f>Tasks[[#This Row],[_Res4Work]]*Tasks[[#This Row],[_LeafProgress]]</f>
        <v/>
      </c>
      <c r="EN183" s="42">
        <f>IF(ISNUMBER(Tasks[[#This Row],[% Complete]]),Tasks[[#This Row],[% Complete]],IF(Tasks[[#This Row],[Stage]]="",0,IFERROR(INDEX(stg_Pct,MATCH(Tasks[[#This Row],[Stage]],stg_Name,0)),0)))</f>
        <v/>
      </c>
      <c r="EO183" s="42">
        <f>IF(NOT(Tasks[[#This Row],[_IsLeaf]]=1),0,IF(N(Tasks[[#This Row],[Actual Finish]])&gt;0,1,MIN(1,Tasks[[#This Row],[_Pct]])))</f>
        <v/>
      </c>
      <c r="EP183" s="42">
        <f>IF(OR(NOT(Tasks[[#This Row],[_IsLeaf]]=1),Tasks[[#This Row],[_Res1Row]]=0),0,N(Tasks[[#This Row],[_Days]])*HoursPerDay*IF(Tasks[[#This Row],[_Units1]]="",DefaultUnits,Tasks[[#This Row],[_Units1]]))</f>
        <v/>
      </c>
      <c r="EQ183" s="42">
        <f>Tasks[[#This Row],[_LeafWork]]+Tasks[[#This Row],[_Res2Work]]+Tasks[[#This Row],[_Res3Work]]+Tasks[[#This Row],[_Res4Work]]</f>
        <v/>
      </c>
      <c r="ER18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3" s="42">
        <f>IF(NOT(Tasks[[#This Row],[_IsLeaf]]=1),0,MAX(_xlfn.MAXIFS(Tasks[_Row],Tasks[_Pred1UID],Tasks[[#This Row],[UID]]),_xlfn.MAXIFS(Tasks[_Row],Tasks[_Pred2UID],Tasks[[#This Row],[UID]]),_xlfn.MAXIFS(Tasks[_Row],Tasks[_Pred3UID],Tasks[[#This Row],[UID]]),_xlfn.MAXIFS(Tasks[_Row],Tasks[_Pred4UID],Tasks[[#This Row],[UID]])))</f>
        <v/>
      </c>
      <c r="FA18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3" s="88">
        <f>IF(NOT(Tasks[[#This Row],[_IsLeaf]]=1),"",IF(N(Tasks[[#This Row],[_Days]])&lt;=0,Tasks[[#This Row],[_LeafLateFinish]],WORKDAY.INTL(Tasks[[#This Row],[_LeafLateFinish]],-(Tasks[[#This Row],[_Days]]-1),WorkWeek,Holidays)))</f>
        <v/>
      </c>
      <c r="FD18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3" s="42">
        <f>AND(Tasks[[#This Row],[_IsLeaf]]=1,Tasks[[#This Row],[_LeafProgress]]&lt;1,N(Tasks[[#This Row],[_LeafTotalSlack]])&lt;=CriticalSlackDays)</f>
        <v/>
      </c>
      <c r="FF183" s="42">
        <f>IF(AND(Tasks[[#This Row],[_IsLeaf]]=1,Tasks[[#This Row],[_ConstraintCode]]=1,Tasks[[#This Row],[Mode]]&lt;&gt;"Manual",N(Tasks[[#This Row],[Actual Start]])=0),MAX(0,N(Tasks[[#This Row],[Free Slack]])),0)</f>
        <v/>
      </c>
      <c r="FG183" s="88">
        <f>IF(NOT(Tasks[[#This Row],[_IsLeaf]]=1),"",IF(Tasks[[#This Row],[_AlapShift]]=0,Tasks[[#This Row],[_LeafCalcStart]],WORKDAY.INTL(Tasks[[#This Row],[_LeafCalcStart]],Tasks[[#This Row],[_AlapShift]],WorkWeek,Holidays)))</f>
        <v/>
      </c>
      <c r="FH183" s="88">
        <f>IF(NOT(Tasks[[#This Row],[_IsLeaf]]=1),"",IF(Tasks[[#This Row],[_AlapShift]]=0,Tasks[[#This Row],[_LeafCalcFinish]],WORKDAY.INTL(Tasks[[#This Row],[_LeafCalcFinish]],Tasks[[#This Row],[_AlapShift]],WorkWeek,Holidays)))</f>
        <v/>
      </c>
      <c r="FI183" s="88">
        <f>IF(NOT(Tasks[[#This Row],[_IsLeaf]]=1),"",IF(Tasks[[#This Row],[_AlapShift]]=0,Tasks[[#This Row],[_LeafFcstStart]],WORKDAY.INTL(Tasks[[#This Row],[_LeafFcstStart]],Tasks[[#This Row],[_AlapShift]],WorkWeek,Holidays)))</f>
        <v/>
      </c>
      <c r="FJ183" s="88">
        <f>IF(NOT(Tasks[[#This Row],[_IsLeaf]]=1),"",IF(Tasks[[#This Row],[_AlapShift]]=0,Tasks[[#This Row],[_LeafFcstFinish]],WORKDAY.INTL(Tasks[[#This Row],[_LeafFcstFinish]],Tasks[[#This Row],[_AlapShift]],WorkWeek,Holidays)))</f>
        <v/>
      </c>
      <c r="FK183" s="88">
        <f>IF(Tasks[[#This Row],[Task Name]]="","",IF(Tasks[[#This Row],[_IsSummary]],MIN(INDEX(Tasks[_ShownCalcStart],Tasks[[#This Row],[_Row]]+1):INDEX(Tasks[_ShownCalcStart],Tasks[[#This Row],[_Row]]+Tasks[[#This Row],[_Descendants]])),Tasks[[#This Row],[_ShownCalcStart]]))</f>
        <v/>
      </c>
      <c r="FL183" s="88">
        <f>IF(Tasks[[#This Row],[Task Name]]="","",IF(Tasks[[#This Row],[_IsSummary]],MAX(INDEX(Tasks[_ShownCalcFinish],Tasks[[#This Row],[_Row]]+1):INDEX(Tasks[_ShownCalcFinish],Tasks[[#This Row],[_Row]]+Tasks[[#This Row],[_Descendants]])),Tasks[[#This Row],[_ShownCalcFinish]]))</f>
        <v/>
      </c>
      <c r="FM18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3" s="42">
        <f>IF(AND(Tasks[[#This Row],[_IsLeaf]]=1,Tasks[[#This Row],[_LeafTotalWork]]&gt;0),NETWORKDAYS.INTL(ProjectStart,Tasks[[#This Row],[_ShownFcstStart]],WorkWeek,Holidays),0)</f>
        <v/>
      </c>
      <c r="FZ183" s="42">
        <f>IF(AND(Tasks[[#This Row],[_IsLeaf]]=1,Tasks[[#This Row],[_LeafTotalWork]]&gt;0),MAX(Tasks[[#This Row],[_StartWorkday]],NETWORKDAYS.INTL(ProjectStart,Tasks[[#This Row],[_ShownFcstFinish]],WorkWeek,Holidays)),0)</f>
        <v/>
      </c>
      <c r="GA183" s="42">
        <f>IF(AND(Tasks[[#This Row],[_IsLeaf]]=1,Tasks[[#This Row],[_LeafTotalWork]]&gt;0),Tasks[[#This Row],[_LeafWork]]/(Tasks[[#This Row],[_FinishWorkday]]-Tasks[[#This Row],[_StartWorkday]]+1),0)</f>
        <v/>
      </c>
      <c r="GB183" s="42">
        <f>Tasks[[#This Row],[_WorkPerWorkday]]*(Tasks[[#This Row],[_StartWorkday]]-1)</f>
        <v/>
      </c>
      <c r="GC183" s="42">
        <f>IF(Tasks[[#This Row],[_IsLeaf]]=1,MAX(N(Tasks[[#This Row],[_Days]]),0.1),0)</f>
        <v/>
      </c>
      <c r="GD183" s="42">
        <f>Tasks[[#This Row],[_WeightDur]]*Tasks[[#This Row],[_LeafProgress]]</f>
        <v/>
      </c>
      <c r="GE183" s="42">
        <f>Tasks[[#This Row],[_WeightDur]]*Tasks[[#This Row],[_PlannedPct]]</f>
        <v/>
      </c>
      <c r="GF18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3" s="42">
        <f>IF(AND(Tasks[[#This Row],[_IsLeaf]]=1,N(Tasks[[#This Row],[_Days]])=0,Tasks[[#This Row],[_LeafProgress]]&lt;1),Tasks[[#This Row],[_ShownFcstFinish]]+Tasks[[#This Row],[_Row]]/100000,"")</f>
        <v/>
      </c>
      <c r="GH18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3" s="42">
        <f>IF(Tasks[[#This Row],[Task Name]]="","",LEFT(Tasks[[#This Row],[WBS]],FIND(".",Tasks[[#This Row],[WBS]]&amp;".")-1))</f>
        <v/>
      </c>
      <c r="GJ183" s="42">
        <f>IF(AND(Tasks[[#This Row],[Task Name]]&lt;&gt;"",Tasks[[#This Row],[_Level]]=1),Tasks[[#This Row],[_Row]],"")</f>
        <v/>
      </c>
      <c r="GK183" s="42">
        <f>IF(AND(Tasks[[#This Row],[_IsLeaf]]=1,N(Tasks[[#This Row],[_Days]])=0),Tasks[[#This Row],[Planned Finish]]+Tasks[[#This Row],[_Row]]/100000,"")</f>
        <v/>
      </c>
      <c r="GL183" s="42">
        <f>IF(AND(Tasks[[#This Row],[_IsLeaf]]=1,Tasks[[#This Row],[_LeafProgress]]&lt;1,OR(N(Tasks[[#This Row],[Finish Var]])&gt;0,Tasks[[#This Row],[Status]]="Late Start")),MAX(0,Tasks[[#This Row],[Finish Var]])+1-Tasks[[#This Row],[_Row]]/1000000,"")</f>
        <v/>
      </c>
      <c r="GM183" s="42">
        <f>IF(AND(Tasks[[#This Row],[_IsLeaf]]=1,N(Tasks[[#This Row],[Actual Start]])=0,Tasks[[#This Row],[_ShownFcstStart]]&gt;=StatusDate,Tasks[[#This Row],[_ShownFcstStart]]&lt;=LookaheadEnd),Tasks[[#This Row],[_ShownFcstStart]]+Tasks[[#This Row],[_Row]]/100000,"")</f>
        <v/>
      </c>
      <c r="GN183" s="42">
        <f>IF(AND(Tasks[[#This Row],[_IsLeaf]]=1,Tasks[[#This Row],[_LeafProgress]]&lt;1,Tasks[[#This Row],[_ShownFcstFinish]]&gt;=StatusDate,Tasks[[#This Row],[_ShownFcstFinish]]&lt;=LookaheadEnd),Tasks[[#This Row],[_ShownFcstFinish]]+Tasks[[#This Row],[_Row]]/100000,"")</f>
        <v/>
      </c>
      <c r="GO183" s="42">
        <f>IF(Tasks[[#This Row],[_LeafCritical]],Tasks[[#This Row],[_ShownFcstStart]]+Tasks[[#This Row],[_Row]]/100000,"")</f>
        <v/>
      </c>
      <c r="GP183" s="42">
        <f>Tasks[[#This Row],[_LeafWork]]*Tasks[[#This Row],[_LeafProgress]]</f>
        <v/>
      </c>
      <c r="GQ183" s="88">
        <f>IF(AND(Tasks[[#This Row],[_IsLeaf]]=1,Tasks[[#This Row],[_LeafProgress]]&gt;=1),IF(N(Tasks[[#This Row],[Actual Finish]])&gt;0,Tasks[[#This Row],[Actual Finish]],Tasks[[#This Row],[_ShownFcstFinish]]),"")</f>
        <v/>
      </c>
      <c r="GR183" s="42">
        <f>IF(Tasks[[#This Row],[_IsLeaf]]=1,N(Tasks[[#This Row],[Story Points]]),0)</f>
        <v/>
      </c>
      <c r="GS183" s="42">
        <f>""</f>
        <v/>
      </c>
      <c r="GT183" s="42">
        <f>IF(Tasks[[#This Row],[Task Name]]="",FALSE(),AND(Tasks[[#This Row],[_IsLeaf]]=1,N(Tasks[[#This Row],[_Days]])=0))</f>
        <v/>
      </c>
      <c r="GU183" s="88">
        <f>IF(Tasks[[#This Row],[Task Name]]="",0,IF(AND(Tasks[[#This Row],[_IsLeaf]]=1,NOT(Tasks[[#This Row],[_IsMilestone]]),N(Tasks[[#This Row],[Progress]])&gt;0),Tasks[[#This Row],[Start]],0))</f>
        <v/>
      </c>
      <c r="GV183" s="88">
        <f>IF(Tasks[[#This Row],[_DoneFrom]]=0,0,IF(Tasks[[#This Row],[Progress]]&gt;=1,Tasks[[#This Row],[Finish]],MAX(Tasks[[#This Row],[_DoneFrom]],Tasks[[#This Row],[Start]]+ROUND((Tasks[[#This Row],[Finish]]-Tasks[[#This Row],[Start]]+1)*Tasks[[#This Row],[Progress]],0)-1)))</f>
        <v/>
      </c>
      <c r="GW183" s="88">
        <f>IF(Tasks[[#This Row],[Task Name]]="",0,IF(OR(NOT(Tasks[[#This Row],[_IsLeaf]]=1),Tasks[[#This Row],[_IsMilestone]],N(Tasks[[#This Row],[Progress]])&gt;=1),0,IF(Tasks[[#This Row],[_DoneTo]]&gt;0,Tasks[[#This Row],[_DoneTo]]+1,Tasks[[#This Row],[Start]])))</f>
        <v/>
      </c>
      <c r="GX183" s="88">
        <f>IF(Tasks[[#This Row],[_RemFrom]]=0,0,Tasks[[#This Row],[Finish]])</f>
        <v/>
      </c>
      <c r="GY183" s="42">
        <f>IF(Tasks[[#This Row],[Task Name]]="",FALSE(),OR(NOT(BaselineSet),N(Tasks[[#This Row],[Baseline Start]])&gt;0))</f>
        <v/>
      </c>
      <c r="GZ183" s="42">
        <f>IF(AND(Sandbox="Yes",L_PARSE_DURATION(Tasks[[#This Row],[Sandbox Duration]])&lt;&gt;""),L_PARSE_DURATION(Tasks[[#This Row],[Sandbox Duration]]),L_PARSE_DURATION(Tasks[[#This Row],[Duration]]))</f>
        <v/>
      </c>
      <c r="HA18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3" s="42">
        <f>IF(Tasks[[#This Row],[_IsLeaf]]=1,Tasks[[#This Row],[_Row]],"")</f>
        <v/>
      </c>
      <c r="HD183" s="42">
        <f>IFERROR(INDEX(Tasks[UID],SMALL(Tasks[_PickKey],Tasks[[#This Row],[_Row]]))&amp;" "&amp;INDEX(Tasks[Task Name],SMALL(Tasks[_PickKey],Tasks[[#This Row],[_Row]])),"")</f>
        <v/>
      </c>
      <c r="HE183" s="42">
        <f>IF(Tasks[[#This Row],[Task Name]]="","",IF(Tasks[[#This Row],[_IsSummary]],NETWORKDAYS.INTL(Tasks[[#This Row],[Start]],Tasks[[#This Row],[Finish]],WorkWeek,Holidays),N(Tasks[[#This Row],[_Days]])))</f>
        <v/>
      </c>
      <c r="HF183" s="42">
        <f>IF(Tasks[[#This Row],[Expected]]="",0,((Tasks[[#This Row],[Pessimistic]]-Tasks[[#This Row],[Optimistic]])/6)^2)</f>
        <v/>
      </c>
      <c r="HG183" s="42">
        <f>IF(Tasks[[#This Row],[Expected]]="",0,Tasks[[#This Row],[Expected]]-N(Tasks[[#This Row],[_Days]]))</f>
        <v/>
      </c>
    </row>
    <row r="184">
      <c r="A184" s="21">
        <f>IF(Tasks[[#This Row],[Task Name]]="","",COUNTA(Tasks[[#Headers],[Task Name]]:Tasks[[#This Row],[Task Name]])-1)</f>
        <v/>
      </c>
      <c r="B184" s="22" t="n">
        <v>192</v>
      </c>
      <c r="C184" s="22" t="n"/>
      <c r="D184" s="23" t="n"/>
      <c r="E184" s="22" t="n"/>
      <c r="F184" s="23" t="n"/>
      <c r="G184" s="22" t="n"/>
      <c r="H184" s="22" t="n"/>
      <c r="I184" s="23" t="n"/>
      <c r="J184" s="22" t="n"/>
      <c r="K184" s="22" t="n"/>
      <c r="L184" s="23" t="n"/>
      <c r="M184" s="22" t="n"/>
      <c r="N184" s="22" t="n"/>
      <c r="O184" s="23" t="n"/>
      <c r="P184" s="22" t="n"/>
      <c r="Q184" s="22" t="n"/>
      <c r="R184" s="23" t="n"/>
      <c r="S184" s="23" t="n"/>
      <c r="T184" s="82" t="n"/>
      <c r="U184" s="23" t="n"/>
      <c r="V184" s="82" t="n"/>
      <c r="W184" s="23" t="n"/>
      <c r="X184" s="82" t="n"/>
      <c r="Y184" s="23" t="n"/>
      <c r="Z184" s="82" t="n"/>
      <c r="AA184" s="23" t="n"/>
      <c r="AB184" s="23" t="n"/>
      <c r="AC184" s="7" t="n"/>
      <c r="AD184" s="7" t="n"/>
      <c r="AE184" s="61">
        <f>IF(Tasks[[#This Row],[Task Name]]="","",IF(Tasks[[#This Row],[_IsSummary]],MIN(INDEX(Tasks[_ShownFcstStart],Tasks[[#This Row],[_Row]]+1):INDEX(Tasks[_ShownFcstStart],Tasks[[#This Row],[_Row]]+Tasks[[#This Row],[_Descendants]])),Tasks[[#This Row],[_ShownFcstStart]]))</f>
        <v/>
      </c>
      <c r="AF184" s="61">
        <f>IF(Tasks[[#This Row],[Task Name]]="","",IF(Tasks[[#This Row],[_IsSummary]],MAX(INDEX(Tasks[_ShownFcstFinish],Tasks[[#This Row],[_Row]]+1):INDEX(Tasks[_ShownFcstFinish],Tasks[[#This Row],[_Row]]+Tasks[[#This Row],[_Descendants]])),Tasks[[#This Row],[_ShownFcstFinish]]))</f>
        <v/>
      </c>
      <c r="AG184" s="21">
        <f>""</f>
        <v/>
      </c>
      <c r="AH184" s="23" t="n"/>
      <c r="AI18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4" s="7" t="n"/>
      <c r="AK184" s="22" t="n"/>
      <c r="AL184" s="23" t="n"/>
      <c r="AM184" s="7" t="n"/>
      <c r="AN184" s="21">
        <f>IF(Tasks[[#This Row],[Task Name]]="","",IF(Tasks[[#This Row],[Finish]]&gt;=Tasks[[#This Row],[Planned Finish]],NETWORKDAYS.INTL(Tasks[[#This Row],[Planned Finish]],Tasks[[#This Row],[Finish]],WorkWeek,Holidays)-1,1-NETWORKDAYS.INTL(Tasks[[#This Row],[Finish]],Tasks[[#This Row],[Planned Finish]],WorkWeek,Holidays)))</f>
        <v/>
      </c>
      <c r="AO184" s="21">
        <f>IF(Tasks[[#This Row],[Task Name]]="","",IF(Tasks[[#This Row],[Progress]]&gt;=1,"Complete",IF(OR(N(Tasks[[#This Row],[Actual Start]])&gt;0,Tasks[[#This Row],[Progress]]&gt;0),IF(Tasks[[#This Row],[Finish Var]]&gt;0,"Behind","In Progress"),IF(Tasks[[#This Row],[Planned Start]]&lt;StatusDate,"Late Start","Not Started"))))</f>
        <v/>
      </c>
      <c r="AP184" s="21">
        <f>IF(Tasks[[#This Row],[Task Name]]="","",IF(IF(Tasks[[#This Row],[_IsSummary]],COUNTIF(INDEX(Tasks[_LeafCritical],Tasks[[#This Row],[_Row]]+1):INDEX(Tasks[_LeafCritical],Tasks[[#This Row],[_Row]]+Tasks[[#This Row],[_Descendants]]),TRUE())&gt;0,Tasks[[#This Row],[_LeafCritical]]),"Yes",""))</f>
        <v/>
      </c>
      <c r="AQ184" s="61">
        <f>IF(Tasks[[#This Row],[Task Name]]="","",IF(N(Tasks[[#This Row],[Baseline Start]])&gt;0,Tasks[[#This Row],[Baseline Start]],Tasks[[#This Row],[_CalcStart]]))</f>
        <v/>
      </c>
      <c r="AR184" s="61">
        <f>IF(Tasks[[#This Row],[Task Name]]="","",IF(N(Tasks[[#This Row],[Baseline Finish]])&gt;0,Tasks[[#This Row],[Baseline Finish]],Tasks[[#This Row],[_CalcFinish]]))</f>
        <v/>
      </c>
      <c r="AS184" s="21">
        <f>IF(Tasks[[#This Row],[Task Name]]="","",IF(Tasks[[#This Row],[Start]]&gt;=Tasks[[#This Row],[Planned Start]],NETWORKDAYS.INTL(Tasks[[#This Row],[Planned Start]],Tasks[[#This Row],[Start]],WorkWeek,Holidays)-1,1-NETWORKDAYS.INTL(Tasks[[#This Row],[Start]],Tasks[[#This Row],[Planned Start]],WorkWeek,Holidays)))</f>
        <v/>
      </c>
      <c r="AT184" s="61">
        <f>IF(Tasks[[#This Row],[Task Name]]="","",IF(Tasks[[#This Row],[_IsSummary]],MIN(INDEX(Tasks[_LeafLateStart],Tasks[[#This Row],[_Row]]+1):INDEX(Tasks[_LeafLateStart],Tasks[[#This Row],[_Row]]+Tasks[[#This Row],[_Descendants]])),Tasks[[#This Row],[_LeafLateStart]]))</f>
        <v/>
      </c>
      <c r="AU184" s="61">
        <f>IF(Tasks[[#This Row],[Task Name]]="","",IF(Tasks[[#This Row],[_IsSummary]],MAX(INDEX(Tasks[_LeafLateFinish],Tasks[[#This Row],[_Row]]+1):INDEX(Tasks[_LeafLateFinish],Tasks[[#This Row],[_Row]]+Tasks[[#This Row],[_Descendants]])),Tasks[[#This Row],[_LeafLateFinish]]))</f>
        <v/>
      </c>
      <c r="AV184" s="21">
        <f>IF(Tasks[[#This Row],[Task Name]]="","",IF(Tasks[[#This Row],[_IsSummary]],MIN(INDEX(Tasks[_LeafTotalSlack],Tasks[[#This Row],[_Row]]+1):INDEX(Tasks[_LeafTotalSlack],Tasks[[#This Row],[_Row]]+Tasks[[#This Row],[_Descendants]])),Tasks[[#This Row],[_LeafTotalSlack]]))</f>
        <v/>
      </c>
      <c r="AW18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3" t="n"/>
      <c r="BA18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f>IF(Tasks[[#This Row],[Task Name]]="","",IF(Tasks[[#This Row],[_Level]]&lt;=OutlineShowLevel,"Yes","No"))</f>
        <v/>
      </c>
      <c r="BE184" s="84">
        <f>IF(Tasks[[#This Row],[Task Name]]="","",IF(Tasks[[#This Row],[_IsSummary]],SUM(INDEX(Tasks[_LeafTotalWork],Tasks[[#This Row],[_Row]]+1):INDEX(Tasks[_LeafTotalWork],Tasks[[#This Row],[_Row]]+Tasks[[#This Row],[_Descendants]])),Tasks[[#This Row],[_LeafTotalWork]]))</f>
        <v/>
      </c>
      <c r="BF184" s="23" t="n"/>
      <c r="BG18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f>""</f>
        <v/>
      </c>
      <c r="BI184" s="85" t="n"/>
      <c r="BJ184" s="22" t="n"/>
      <c r="BK184" s="21">
        <f>IF(OR(Tasks[[#This Row],[Task Name]]="",Tasks[[#This Row],[Baseline Duration]]=""),"",Tasks[[#This Row],[_SpanDays]]-N(Tasks[[#This Row],[Baseline Duration]]))</f>
        <v/>
      </c>
      <c r="BL184" s="84">
        <f>IF(OR(Tasks[[#This Row],[Task Name]]="",Tasks[[#This Row],[Baseline Work]]=""),"",Tasks[[#This Row],[Work]]-N(Tasks[[#This Row],[Baseline Work]]))</f>
        <v/>
      </c>
      <c r="BM184" s="61">
        <f>IF(Tasks[[#This Row],[Task Name]]="","",IF(OR(TakeBaseline="Yes",N(Tasks[[#This Row],[Baseline Start]])=0),Tasks[[#This Row],[Start]],Tasks[[#This Row],[Baseline Start]]))</f>
        <v/>
      </c>
      <c r="BN184" s="61">
        <f>IF(Tasks[[#This Row],[Task Name]]="","",IF(OR(TakeBaseline="Yes",N(Tasks[[#This Row],[Baseline Finish]])=0),Tasks[[#This Row],[Finish]],Tasks[[#This Row],[Baseline Finish]]))</f>
        <v/>
      </c>
      <c r="BO184" s="21">
        <f>IF(Tasks[[#This Row],[Task Name]]="","",IF(OR(TakeBaseline="Yes",N(Tasks[[#This Row],[Baseline Duration]])=0),Tasks[[#This Row],[_SpanDays]],Tasks[[#This Row],[Baseline Duration]]))</f>
        <v/>
      </c>
      <c r="BP184" s="84">
        <f>IF(Tasks[[#This Row],[Task Name]]="","",IF(OR(TakeBaseline="Yes",N(Tasks[[#This Row],[Baseline Work]])=0),Tasks[[#This Row],[Work]],Tasks[[#This Row],[Baseline Work]]))</f>
        <v/>
      </c>
      <c r="BQ184" s="7" t="n"/>
      <c r="BR184" s="7" t="n"/>
      <c r="BS184" s="22" t="n"/>
      <c r="BT184" s="86" t="n"/>
      <c r="BU184" s="23" t="n"/>
      <c r="BV184" s="23" t="n"/>
      <c r="BW184" s="23" t="n"/>
      <c r="BX184" s="87">
        <f>IF(AND(Tasks[[#This Row],[_IsLeaf]]=1,ISNUMBER(Tasks[[#This Row],[Optimistic]]),ISNUMBER(Tasks[[#This Row],[Pessimistic]])),ROUND((Tasks[[#This Row],[Optimistic]]+4*N(Tasks[[#This Row],[_Days]])+Tasks[[#This Row],[Pessimistic]])/6,1),"")</f>
        <v/>
      </c>
      <c r="BY184" s="85" t="n"/>
      <c r="BZ184" s="85" t="n"/>
      <c r="CA184" s="22" t="n"/>
      <c r="CB184" s="42">
        <f>IF(Tasks[[#This Row],[Task Name]]="","",MAX(1,N(Tasks[[#This Row],[Level]])))</f>
        <v/>
      </c>
      <c r="CC184" s="42">
        <f>ROW()-ROW(Tasks[[#Headers],[ID]])</f>
        <v/>
      </c>
      <c r="CD184" s="42">
        <f>IF(OR(Tasks[[#This Row],[Task Name]]="",Tasks[[#This Row],[_Level]]&lt;=1),0,IFERROR(LOOKUP(2,1/(Tasks[[#Headers],[_Level]]:Tasks[[#This Row],[_Level]]=Tasks[[#This Row],[_Level]]-1),ROW(Tasks[[#Headers],[_Level]]:Tasks[[#This Row],[_Level]])),0))</f>
        <v/>
      </c>
      <c r="CE184" s="42">
        <f>IFERROR(N(INDEX(Tasks[_Level],Tasks[[#This Row],[_Row]]+1)),0)</f>
        <v/>
      </c>
      <c r="CF184" s="42">
        <f>AND(Tasks[[#This Row],[Task Name]]&lt;&gt;"",Tasks[[#This Row],[_NextLevel]]&gt;Tasks[[#This Row],[_Level]])</f>
        <v/>
      </c>
      <c r="CG184" s="42">
        <f>IF(Tasks[[#This Row],[_IsSummary]],COUNTIF(Tasks[WBS],Tasks[[#This Row],[WBS]]&amp;".*"),0)</f>
        <v/>
      </c>
      <c r="CH184" s="42">
        <f>IF(AND(Tasks[[#This Row],[Task Name]]&lt;&gt;"",NOT(Tasks[[#This Row],[_IsSummary]])),1,0)</f>
        <v/>
      </c>
      <c r="CI184" s="42">
        <f>IF(N(Tasks[[#This Row],[_Pred1UID]])=0,0,IFERROR(MATCH(Tasks[[#This Row],[_Pred1UID]],Tasks[UID],0),-1))</f>
        <v/>
      </c>
      <c r="CJ184" s="42">
        <f>IF(N(Tasks[[#This Row],[_Pred2UID]])=0,0,IFERROR(MATCH(Tasks[[#This Row],[_Pred2UID]],Tasks[UID],0),-1))</f>
        <v/>
      </c>
      <c r="CK184" s="42">
        <f>IF(N(Tasks[[#This Row],[_Pred3UID]])=0,0,IFERROR(MATCH(Tasks[[#This Row],[_Pred3UID]],Tasks[UID],0),-1))</f>
        <v/>
      </c>
      <c r="CL184" s="42">
        <f>IF(N(Tasks[[#This Row],[_Pred4UID]])=0,0,IFERROR(MATCH(Tasks[[#This Row],[_Pred4UID]],Tasks[UID],0),-1))</f>
        <v/>
      </c>
      <c r="CM18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4" s="88">
        <f>IF(N(Tasks[[#This Row],[Constraint Date]])=0,0,IF(AND(OR(Tasks[[#This Row],[_ConstraintCode]]=3,Tasks[[#This Row],[_ConstraintCode]]=6,Tasks[[#This Row],[_ConstraintCode]]=7),N(Tasks[[#This Row],[_Days]])&gt;1),WORKDAY.INTL(N(Tasks[[#This Row],[Constraint Date]]),-(N(Tasks[[#This Row],[_Days]])-1),WorkWeek,Holidays),N(Tasks[[#This Row],[Constraint Date]])))</f>
        <v/>
      </c>
      <c r="CO184" s="88">
        <f>IF(OR(Tasks[[#This Row],[_ConstraintCode]]=2,Tasks[[#This Row],[_ConstraintCode]]=3,Tasks[[#This Row],[_ConstraintCode]]=4,Tasks[[#This Row],[_ConstraintCode]]=6),Tasks[[#This Row],[_ConstraintStart]],0)</f>
        <v/>
      </c>
      <c r="CP184" s="88">
        <f>IF(OR(Tasks[[#This Row],[_ConstraintCode]]=2,Tasks[[#This Row],[_ConstraintCode]]=3,Tasks[[#This Row],[_ConstraintCode]]=5,Tasks[[#This Row],[_ConstraintCode]]=7),Tasks[[#This Row],[_ConstraintStart]],2958465)</f>
        <v/>
      </c>
      <c r="CQ18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4" s="88">
        <f>IF(NOT(Tasks[[#This Row],[_IsLeaf]]=1),"",IF(N(Tasks[[#This Row],[_Days]])&lt;=0,Tasks[[#This Row],[_LeafCalcStart]],WORKDAY.INTL(Tasks[[#This Row],[_LeafCalcStart]],Tasks[[#This Row],[_Days]]-1,WorkWeek,Holidays)))</f>
        <v/>
      </c>
      <c r="CS18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4" s="42">
        <f>IF(Tasks[[#This Row],[_Predecessors]]="","",TRIM(MID(SUBSTITUTE(SUBSTITUTE(SUBSTITUTE(UPPER(Tasks[[#This Row],[_Predecessors]]),";",",")," ",""),",",REPT(" ",99)),1,99)))</f>
        <v/>
      </c>
      <c r="CV184" s="42">
        <f>IF(Tasks[[#This Row],[_Pred1Text]]="","",IFERROR(VALUE(LEFT(Tasks[[#This Row],[_Pred1Text]],MIN(FIND("F",Tasks[[#This Row],[_Pred1Text]]&amp;"F"),FIND("S",Tasks[[#This Row],[_Pred1Text]]&amp;"S"),FIND("+",Tasks[[#This Row],[_Pred1Text]]&amp;"+"),FIND("-",Tasks[[#This Row],[_Pred1Text]]&amp;"-"))-1)),""))</f>
        <v/>
      </c>
      <c r="CW18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4" s="42">
        <f>IF(Tasks[[#This Row],[_Pred1Text]]="","",TRIM(MID(SUBSTITUTE(SUBSTITUTE(SUBSTITUTE(UPPER(Tasks[[#This Row],[_Predecessors]]),";",",")," ",""),",",REPT(" ",99)),100,99)))</f>
        <v/>
      </c>
      <c r="CZ184" s="42">
        <f>IF(Tasks[[#This Row],[_Pred2Text]]="","",IFERROR(VALUE(LEFT(Tasks[[#This Row],[_Pred2Text]],MIN(FIND("F",Tasks[[#This Row],[_Pred2Text]]&amp;"F"),FIND("S",Tasks[[#This Row],[_Pred2Text]]&amp;"S"),FIND("+",Tasks[[#This Row],[_Pred2Text]]&amp;"+"),FIND("-",Tasks[[#This Row],[_Pred2Text]]&amp;"-"))-1)),""))</f>
        <v/>
      </c>
      <c r="DA18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4" s="42">
        <f>IF(Tasks[[#This Row],[_Pred2Text]]="","",TRIM(MID(SUBSTITUTE(SUBSTITUTE(SUBSTITUTE(UPPER(Tasks[[#This Row],[_Predecessors]]),";",",")," ",""),",",REPT(" ",99)),199,99)))</f>
        <v/>
      </c>
      <c r="DD184" s="42">
        <f>IF(Tasks[[#This Row],[_Pred3Text]]="","",IFERROR(VALUE(LEFT(Tasks[[#This Row],[_Pred3Text]],MIN(FIND("F",Tasks[[#This Row],[_Pred3Text]]&amp;"F"),FIND("S",Tasks[[#This Row],[_Pred3Text]]&amp;"S"),FIND("+",Tasks[[#This Row],[_Pred3Text]]&amp;"+"),FIND("-",Tasks[[#This Row],[_Pred3Text]]&amp;"-"))-1)),""))</f>
        <v/>
      </c>
      <c r="DE18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4" s="42">
        <f>IF(Tasks[[#This Row],[_Pred3Text]]="","",TRIM(MID(SUBSTITUTE(SUBSTITUTE(SUBSTITUTE(UPPER(Tasks[[#This Row],[_Predecessors]]),";",",")," ",""),",",REPT(" ",99)),298,99)))</f>
        <v/>
      </c>
      <c r="DH184" s="42">
        <f>IF(Tasks[[#This Row],[_Pred4Text]]="","",IFERROR(VALUE(LEFT(Tasks[[#This Row],[_Pred4Text]],MIN(FIND("F",Tasks[[#This Row],[_Pred4Text]]&amp;"F"),FIND("S",Tasks[[#This Row],[_Pred4Text]]&amp;"S"),FIND("+",Tasks[[#This Row],[_Pred4Text]]&amp;"+"),FIND("-",Tasks[[#This Row],[_Pred4Text]]&amp;"-"))-1)),""))</f>
        <v/>
      </c>
      <c r="DI18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4" s="42">
        <f>IF(OR(Tasks[[#This Row],[Task Name]]="",Tasks[[#This Row],[_Resources]]=""),"",TRIM(MID(SUBSTITUTE(Tasks[[#This Row],[_Resources]],",",REPT(" ",99)),1,99)))</f>
        <v/>
      </c>
      <c r="DL184" s="42">
        <f>IF(Tasks[[#This Row],[_Res1Text]]="","",TRIM(MID(SUBSTITUTE(Tasks[[#This Row],[_Resources]],",",REPT(" ",99)),100,99)))</f>
        <v/>
      </c>
      <c r="DM184" s="42">
        <f>IF(Tasks[[#This Row],[_Res2Text]]="","",TRIM(MID(SUBSTITUTE(Tasks[[#This Row],[_Resources]],",",REPT(" ",99)),199,99)))</f>
        <v/>
      </c>
      <c r="DN184" s="42">
        <f>IF(Tasks[[#This Row],[_Res3Text]]="","",TRIM(MID(SUBSTITUTE(Tasks[[#This Row],[_Resources]],",",REPT(" ",99)),298,99)))</f>
        <v/>
      </c>
      <c r="DO184" s="42">
        <f>IF(Tasks[[#This Row],[_Res1Text]]="",0,IFERROR(MATCH(TRIM(LEFT(Tasks[[#This Row],[_Res1Text]],FIND("[",Tasks[[#This Row],[_Res1Text]]&amp;"[")-1)),res_Name,0),IFERROR(MATCH(TRIM(LEFT(Tasks[[#This Row],[_Res1Text]],FIND("[",Tasks[[#This Row],[_Res1Text]]&amp;"[")-1)),res_Initials,0),0)))</f>
        <v/>
      </c>
      <c r="DP184" s="42">
        <f>IF(Tasks[[#This Row],[_Res2Text]]="",0,IFERROR(MATCH(TRIM(LEFT(Tasks[[#This Row],[_Res2Text]],FIND("[",Tasks[[#This Row],[_Res2Text]]&amp;"[")-1)),res_Name,0),IFERROR(MATCH(TRIM(LEFT(Tasks[[#This Row],[_Res2Text]],FIND("[",Tasks[[#This Row],[_Res2Text]]&amp;"[")-1)),res_Initials,0),0)))</f>
        <v/>
      </c>
      <c r="DQ184" s="42">
        <f>IF(Tasks[[#This Row],[_Res3Text]]="",0,IFERROR(MATCH(TRIM(LEFT(Tasks[[#This Row],[_Res3Text]],FIND("[",Tasks[[#This Row],[_Res3Text]]&amp;"[")-1)),res_Name,0),IFERROR(MATCH(TRIM(LEFT(Tasks[[#This Row],[_Res3Text]],FIND("[",Tasks[[#This Row],[_Res3Text]]&amp;"[")-1)),res_Initials,0),0)))</f>
        <v/>
      </c>
      <c r="DR184" s="42">
        <f>IF(Tasks[[#This Row],[_Res4Text]]="",0,IFERROR(MATCH(TRIM(LEFT(Tasks[[#This Row],[_Res4Text]],FIND("[",Tasks[[#This Row],[_Res4Text]]&amp;"[")-1)),res_Name,0),IFERROR(MATCH(TRIM(LEFT(Tasks[[#This Row],[_Res4Text]],FIND("[",Tasks[[#This Row],[_Res4Text]]&amp;"[")-1)),res_Initials,0),0)))</f>
        <v/>
      </c>
      <c r="DS184" s="42">
        <f>IF(Tasks[[#This Row],[_Res1Text]]="","",IF(Tasks[[#This Row],[_Res1Row]]&gt;0,INDEX(res_Name,Tasks[[#This Row],[_Res1Row]]),TRIM(LEFT(Tasks[[#This Row],[_Res1Text]],FIND("[",Tasks[[#This Row],[_Res1Text]]&amp;"[")-1))))</f>
        <v/>
      </c>
      <c r="DT18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4" s="42">
        <f>IF(NOT(Tasks[[#This Row],[_IsLeaf]]=1),0,(Tasks[[#This Row],[_Resource1]]&lt;&gt;"")+(Tasks[[#This Row],[_Res2]]&lt;&gt;"")+(Tasks[[#This Row],[_Res3]]&lt;&gt;"")+(Tasks[[#This Row],[_Res4]]&lt;&gt;""))</f>
        <v/>
      </c>
      <c r="DV184" s="42">
        <f>IF(Tasks[[#This Row],[_Res2Text]]="","",IF(Tasks[[#This Row],[_Res2Row]]&gt;0,INDEX(res_Name,Tasks[[#This Row],[_Res2Row]]),TRIM(LEFT(Tasks[[#This Row],[_Res2Text]],FIND("[",Tasks[[#This Row],[_Res2Text]]&amp;"[")-1))))</f>
        <v/>
      </c>
      <c r="DW18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4" s="42">
        <f>IF(OR(NOT(Tasks[[#This Row],[_IsLeaf]]=1),Tasks[[#This Row],[_Res2Row]]=0),0,N(Tasks[[#This Row],[_Days]])*HoursPerDay*IF(Tasks[[#This Row],[_Res2Units]]="",DefaultUnits,Tasks[[#This Row],[_Res2Units]]))</f>
        <v/>
      </c>
      <c r="DY184" s="42">
        <f>IF(AND(AND(Tasks[[#This Row],[_IsLeaf]]=1,Tasks[[#This Row],[_LeafTotalWork]]&gt;0),Tasks[[#This Row],[_Res2Work]]&gt;0),Tasks[[#This Row],[_Res2Work]]/(Tasks[[#This Row],[_FinishWorkday]]-Tasks[[#This Row],[_StartWorkday]]+1),0)</f>
        <v/>
      </c>
      <c r="DZ184" s="42">
        <f>Tasks[[#This Row],[_Res2WorkPerWD]]*MAX(0,Tasks[[#This Row],[_StartWorkday]]-1)</f>
        <v/>
      </c>
      <c r="EA184" s="42">
        <f>Tasks[[#This Row],[_Res2Work]]*Tasks[[#This Row],[_LeafProgress]]</f>
        <v/>
      </c>
      <c r="EB184" s="42">
        <f>IF(Tasks[[#This Row],[_Res3Text]]="","",IF(Tasks[[#This Row],[_Res3Row]]&gt;0,INDEX(res_Name,Tasks[[#This Row],[_Res3Row]]),TRIM(LEFT(Tasks[[#This Row],[_Res3Text]],FIND("[",Tasks[[#This Row],[_Res3Text]]&amp;"[")-1))))</f>
        <v/>
      </c>
      <c r="EC18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4" s="42">
        <f>IF(OR(NOT(Tasks[[#This Row],[_IsLeaf]]=1),Tasks[[#This Row],[_Res3Row]]=0),0,N(Tasks[[#This Row],[_Days]])*HoursPerDay*IF(Tasks[[#This Row],[_Res3Units]]="",DefaultUnits,Tasks[[#This Row],[_Res3Units]]))</f>
        <v/>
      </c>
      <c r="EE184" s="42">
        <f>IF(AND(AND(Tasks[[#This Row],[_IsLeaf]]=1,Tasks[[#This Row],[_LeafTotalWork]]&gt;0),Tasks[[#This Row],[_Res3Work]]&gt;0),Tasks[[#This Row],[_Res3Work]]/(Tasks[[#This Row],[_FinishWorkday]]-Tasks[[#This Row],[_StartWorkday]]+1),0)</f>
        <v/>
      </c>
      <c r="EF184" s="42">
        <f>Tasks[[#This Row],[_Res3WorkPerWD]]*MAX(0,Tasks[[#This Row],[_StartWorkday]]-1)</f>
        <v/>
      </c>
      <c r="EG184" s="42">
        <f>Tasks[[#This Row],[_Res3Work]]*Tasks[[#This Row],[_LeafProgress]]</f>
        <v/>
      </c>
      <c r="EH184" s="42">
        <f>IF(Tasks[[#This Row],[_Res4Text]]="","",IF(Tasks[[#This Row],[_Res4Row]]&gt;0,INDEX(res_Name,Tasks[[#This Row],[_Res4Row]]),TRIM(LEFT(Tasks[[#This Row],[_Res4Text]],FIND("[",Tasks[[#This Row],[_Res4Text]]&amp;"[")-1))))</f>
        <v/>
      </c>
      <c r="EI18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4" s="42">
        <f>IF(OR(NOT(Tasks[[#This Row],[_IsLeaf]]=1),Tasks[[#This Row],[_Res4Row]]=0),0,N(Tasks[[#This Row],[_Days]])*HoursPerDay*IF(Tasks[[#This Row],[_Res4Units]]="",DefaultUnits,Tasks[[#This Row],[_Res4Units]]))</f>
        <v/>
      </c>
      <c r="EK184" s="42">
        <f>IF(AND(AND(Tasks[[#This Row],[_IsLeaf]]=1,Tasks[[#This Row],[_LeafTotalWork]]&gt;0),Tasks[[#This Row],[_Res4Work]]&gt;0),Tasks[[#This Row],[_Res4Work]]/(Tasks[[#This Row],[_FinishWorkday]]-Tasks[[#This Row],[_StartWorkday]]+1),0)</f>
        <v/>
      </c>
      <c r="EL184" s="42">
        <f>Tasks[[#This Row],[_Res4WorkPerWD]]*MAX(0,Tasks[[#This Row],[_StartWorkday]]-1)</f>
        <v/>
      </c>
      <c r="EM184" s="42">
        <f>Tasks[[#This Row],[_Res4Work]]*Tasks[[#This Row],[_LeafProgress]]</f>
        <v/>
      </c>
      <c r="EN184" s="42">
        <f>IF(ISNUMBER(Tasks[[#This Row],[% Complete]]),Tasks[[#This Row],[% Complete]],IF(Tasks[[#This Row],[Stage]]="",0,IFERROR(INDEX(stg_Pct,MATCH(Tasks[[#This Row],[Stage]],stg_Name,0)),0)))</f>
        <v/>
      </c>
      <c r="EO184" s="42">
        <f>IF(NOT(Tasks[[#This Row],[_IsLeaf]]=1),0,IF(N(Tasks[[#This Row],[Actual Finish]])&gt;0,1,MIN(1,Tasks[[#This Row],[_Pct]])))</f>
        <v/>
      </c>
      <c r="EP184" s="42">
        <f>IF(OR(NOT(Tasks[[#This Row],[_IsLeaf]]=1),Tasks[[#This Row],[_Res1Row]]=0),0,N(Tasks[[#This Row],[_Days]])*HoursPerDay*IF(Tasks[[#This Row],[_Units1]]="",DefaultUnits,Tasks[[#This Row],[_Units1]]))</f>
        <v/>
      </c>
      <c r="EQ184" s="42">
        <f>Tasks[[#This Row],[_LeafWork]]+Tasks[[#This Row],[_Res2Work]]+Tasks[[#This Row],[_Res3Work]]+Tasks[[#This Row],[_Res4Work]]</f>
        <v/>
      </c>
      <c r="ER18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4" s="42">
        <f>IF(NOT(Tasks[[#This Row],[_IsLeaf]]=1),0,MAX(_xlfn.MAXIFS(Tasks[_Row],Tasks[_Pred1UID],Tasks[[#This Row],[UID]]),_xlfn.MAXIFS(Tasks[_Row],Tasks[_Pred2UID],Tasks[[#This Row],[UID]]),_xlfn.MAXIFS(Tasks[_Row],Tasks[_Pred3UID],Tasks[[#This Row],[UID]]),_xlfn.MAXIFS(Tasks[_Row],Tasks[_Pred4UID],Tasks[[#This Row],[UID]])))</f>
        <v/>
      </c>
      <c r="FA18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4" s="88">
        <f>IF(NOT(Tasks[[#This Row],[_IsLeaf]]=1),"",IF(N(Tasks[[#This Row],[_Days]])&lt;=0,Tasks[[#This Row],[_LeafLateFinish]],WORKDAY.INTL(Tasks[[#This Row],[_LeafLateFinish]],-(Tasks[[#This Row],[_Days]]-1),WorkWeek,Holidays)))</f>
        <v/>
      </c>
      <c r="FD18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4" s="42">
        <f>AND(Tasks[[#This Row],[_IsLeaf]]=1,Tasks[[#This Row],[_LeafProgress]]&lt;1,N(Tasks[[#This Row],[_LeafTotalSlack]])&lt;=CriticalSlackDays)</f>
        <v/>
      </c>
      <c r="FF184" s="42">
        <f>IF(AND(Tasks[[#This Row],[_IsLeaf]]=1,Tasks[[#This Row],[_ConstraintCode]]=1,Tasks[[#This Row],[Mode]]&lt;&gt;"Manual",N(Tasks[[#This Row],[Actual Start]])=0),MAX(0,N(Tasks[[#This Row],[Free Slack]])),0)</f>
        <v/>
      </c>
      <c r="FG184" s="88">
        <f>IF(NOT(Tasks[[#This Row],[_IsLeaf]]=1),"",IF(Tasks[[#This Row],[_AlapShift]]=0,Tasks[[#This Row],[_LeafCalcStart]],WORKDAY.INTL(Tasks[[#This Row],[_LeafCalcStart]],Tasks[[#This Row],[_AlapShift]],WorkWeek,Holidays)))</f>
        <v/>
      </c>
      <c r="FH184" s="88">
        <f>IF(NOT(Tasks[[#This Row],[_IsLeaf]]=1),"",IF(Tasks[[#This Row],[_AlapShift]]=0,Tasks[[#This Row],[_LeafCalcFinish]],WORKDAY.INTL(Tasks[[#This Row],[_LeafCalcFinish]],Tasks[[#This Row],[_AlapShift]],WorkWeek,Holidays)))</f>
        <v/>
      </c>
      <c r="FI184" s="88">
        <f>IF(NOT(Tasks[[#This Row],[_IsLeaf]]=1),"",IF(Tasks[[#This Row],[_AlapShift]]=0,Tasks[[#This Row],[_LeafFcstStart]],WORKDAY.INTL(Tasks[[#This Row],[_LeafFcstStart]],Tasks[[#This Row],[_AlapShift]],WorkWeek,Holidays)))</f>
        <v/>
      </c>
      <c r="FJ184" s="88">
        <f>IF(NOT(Tasks[[#This Row],[_IsLeaf]]=1),"",IF(Tasks[[#This Row],[_AlapShift]]=0,Tasks[[#This Row],[_LeafFcstFinish]],WORKDAY.INTL(Tasks[[#This Row],[_LeafFcstFinish]],Tasks[[#This Row],[_AlapShift]],WorkWeek,Holidays)))</f>
        <v/>
      </c>
      <c r="FK184" s="88">
        <f>IF(Tasks[[#This Row],[Task Name]]="","",IF(Tasks[[#This Row],[_IsSummary]],MIN(INDEX(Tasks[_ShownCalcStart],Tasks[[#This Row],[_Row]]+1):INDEX(Tasks[_ShownCalcStart],Tasks[[#This Row],[_Row]]+Tasks[[#This Row],[_Descendants]])),Tasks[[#This Row],[_ShownCalcStart]]))</f>
        <v/>
      </c>
      <c r="FL184" s="88">
        <f>IF(Tasks[[#This Row],[Task Name]]="","",IF(Tasks[[#This Row],[_IsSummary]],MAX(INDEX(Tasks[_ShownCalcFinish],Tasks[[#This Row],[_Row]]+1):INDEX(Tasks[_ShownCalcFinish],Tasks[[#This Row],[_Row]]+Tasks[[#This Row],[_Descendants]])),Tasks[[#This Row],[_ShownCalcFinish]]))</f>
        <v/>
      </c>
      <c r="FM18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4" s="42">
        <f>IF(AND(Tasks[[#This Row],[_IsLeaf]]=1,Tasks[[#This Row],[_LeafTotalWork]]&gt;0),NETWORKDAYS.INTL(ProjectStart,Tasks[[#This Row],[_ShownFcstStart]],WorkWeek,Holidays),0)</f>
        <v/>
      </c>
      <c r="FZ184" s="42">
        <f>IF(AND(Tasks[[#This Row],[_IsLeaf]]=1,Tasks[[#This Row],[_LeafTotalWork]]&gt;0),MAX(Tasks[[#This Row],[_StartWorkday]],NETWORKDAYS.INTL(ProjectStart,Tasks[[#This Row],[_ShownFcstFinish]],WorkWeek,Holidays)),0)</f>
        <v/>
      </c>
      <c r="GA184" s="42">
        <f>IF(AND(Tasks[[#This Row],[_IsLeaf]]=1,Tasks[[#This Row],[_LeafTotalWork]]&gt;0),Tasks[[#This Row],[_LeafWork]]/(Tasks[[#This Row],[_FinishWorkday]]-Tasks[[#This Row],[_StartWorkday]]+1),0)</f>
        <v/>
      </c>
      <c r="GB184" s="42">
        <f>Tasks[[#This Row],[_WorkPerWorkday]]*(Tasks[[#This Row],[_StartWorkday]]-1)</f>
        <v/>
      </c>
      <c r="GC184" s="42">
        <f>IF(Tasks[[#This Row],[_IsLeaf]]=1,MAX(N(Tasks[[#This Row],[_Days]]),0.1),0)</f>
        <v/>
      </c>
      <c r="GD184" s="42">
        <f>Tasks[[#This Row],[_WeightDur]]*Tasks[[#This Row],[_LeafProgress]]</f>
        <v/>
      </c>
      <c r="GE184" s="42">
        <f>Tasks[[#This Row],[_WeightDur]]*Tasks[[#This Row],[_PlannedPct]]</f>
        <v/>
      </c>
      <c r="GF18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4" s="42">
        <f>IF(AND(Tasks[[#This Row],[_IsLeaf]]=1,N(Tasks[[#This Row],[_Days]])=0,Tasks[[#This Row],[_LeafProgress]]&lt;1),Tasks[[#This Row],[_ShownFcstFinish]]+Tasks[[#This Row],[_Row]]/100000,"")</f>
        <v/>
      </c>
      <c r="GH18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4" s="42">
        <f>IF(Tasks[[#This Row],[Task Name]]="","",LEFT(Tasks[[#This Row],[WBS]],FIND(".",Tasks[[#This Row],[WBS]]&amp;".")-1))</f>
        <v/>
      </c>
      <c r="GJ184" s="42">
        <f>IF(AND(Tasks[[#This Row],[Task Name]]&lt;&gt;"",Tasks[[#This Row],[_Level]]=1),Tasks[[#This Row],[_Row]],"")</f>
        <v/>
      </c>
      <c r="GK184" s="42">
        <f>IF(AND(Tasks[[#This Row],[_IsLeaf]]=1,N(Tasks[[#This Row],[_Days]])=0),Tasks[[#This Row],[Planned Finish]]+Tasks[[#This Row],[_Row]]/100000,"")</f>
        <v/>
      </c>
      <c r="GL184" s="42">
        <f>IF(AND(Tasks[[#This Row],[_IsLeaf]]=1,Tasks[[#This Row],[_LeafProgress]]&lt;1,OR(N(Tasks[[#This Row],[Finish Var]])&gt;0,Tasks[[#This Row],[Status]]="Late Start")),MAX(0,Tasks[[#This Row],[Finish Var]])+1-Tasks[[#This Row],[_Row]]/1000000,"")</f>
        <v/>
      </c>
      <c r="GM184" s="42">
        <f>IF(AND(Tasks[[#This Row],[_IsLeaf]]=1,N(Tasks[[#This Row],[Actual Start]])=0,Tasks[[#This Row],[_ShownFcstStart]]&gt;=StatusDate,Tasks[[#This Row],[_ShownFcstStart]]&lt;=LookaheadEnd),Tasks[[#This Row],[_ShownFcstStart]]+Tasks[[#This Row],[_Row]]/100000,"")</f>
        <v/>
      </c>
      <c r="GN184" s="42">
        <f>IF(AND(Tasks[[#This Row],[_IsLeaf]]=1,Tasks[[#This Row],[_LeafProgress]]&lt;1,Tasks[[#This Row],[_ShownFcstFinish]]&gt;=StatusDate,Tasks[[#This Row],[_ShownFcstFinish]]&lt;=LookaheadEnd),Tasks[[#This Row],[_ShownFcstFinish]]+Tasks[[#This Row],[_Row]]/100000,"")</f>
        <v/>
      </c>
      <c r="GO184" s="42">
        <f>IF(Tasks[[#This Row],[_LeafCritical]],Tasks[[#This Row],[_ShownFcstStart]]+Tasks[[#This Row],[_Row]]/100000,"")</f>
        <v/>
      </c>
      <c r="GP184" s="42">
        <f>Tasks[[#This Row],[_LeafWork]]*Tasks[[#This Row],[_LeafProgress]]</f>
        <v/>
      </c>
      <c r="GQ184" s="88">
        <f>IF(AND(Tasks[[#This Row],[_IsLeaf]]=1,Tasks[[#This Row],[_LeafProgress]]&gt;=1),IF(N(Tasks[[#This Row],[Actual Finish]])&gt;0,Tasks[[#This Row],[Actual Finish]],Tasks[[#This Row],[_ShownFcstFinish]]),"")</f>
        <v/>
      </c>
      <c r="GR184" s="42">
        <f>IF(Tasks[[#This Row],[_IsLeaf]]=1,N(Tasks[[#This Row],[Story Points]]),0)</f>
        <v/>
      </c>
      <c r="GS184" s="42">
        <f>""</f>
        <v/>
      </c>
      <c r="GT184" s="42">
        <f>IF(Tasks[[#This Row],[Task Name]]="",FALSE(),AND(Tasks[[#This Row],[_IsLeaf]]=1,N(Tasks[[#This Row],[_Days]])=0))</f>
        <v/>
      </c>
      <c r="GU184" s="88">
        <f>IF(Tasks[[#This Row],[Task Name]]="",0,IF(AND(Tasks[[#This Row],[_IsLeaf]]=1,NOT(Tasks[[#This Row],[_IsMilestone]]),N(Tasks[[#This Row],[Progress]])&gt;0),Tasks[[#This Row],[Start]],0))</f>
        <v/>
      </c>
      <c r="GV184" s="88">
        <f>IF(Tasks[[#This Row],[_DoneFrom]]=0,0,IF(Tasks[[#This Row],[Progress]]&gt;=1,Tasks[[#This Row],[Finish]],MAX(Tasks[[#This Row],[_DoneFrom]],Tasks[[#This Row],[Start]]+ROUND((Tasks[[#This Row],[Finish]]-Tasks[[#This Row],[Start]]+1)*Tasks[[#This Row],[Progress]],0)-1)))</f>
        <v/>
      </c>
      <c r="GW184" s="88">
        <f>IF(Tasks[[#This Row],[Task Name]]="",0,IF(OR(NOT(Tasks[[#This Row],[_IsLeaf]]=1),Tasks[[#This Row],[_IsMilestone]],N(Tasks[[#This Row],[Progress]])&gt;=1),0,IF(Tasks[[#This Row],[_DoneTo]]&gt;0,Tasks[[#This Row],[_DoneTo]]+1,Tasks[[#This Row],[Start]])))</f>
        <v/>
      </c>
      <c r="GX184" s="88">
        <f>IF(Tasks[[#This Row],[_RemFrom]]=0,0,Tasks[[#This Row],[Finish]])</f>
        <v/>
      </c>
      <c r="GY184" s="42">
        <f>IF(Tasks[[#This Row],[Task Name]]="",FALSE(),OR(NOT(BaselineSet),N(Tasks[[#This Row],[Baseline Start]])&gt;0))</f>
        <v/>
      </c>
      <c r="GZ184" s="42">
        <f>IF(AND(Sandbox="Yes",L_PARSE_DURATION(Tasks[[#This Row],[Sandbox Duration]])&lt;&gt;""),L_PARSE_DURATION(Tasks[[#This Row],[Sandbox Duration]]),L_PARSE_DURATION(Tasks[[#This Row],[Duration]]))</f>
        <v/>
      </c>
      <c r="HA18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4" s="42">
        <f>IF(Tasks[[#This Row],[_IsLeaf]]=1,Tasks[[#This Row],[_Row]],"")</f>
        <v/>
      </c>
      <c r="HD184" s="42">
        <f>IFERROR(INDEX(Tasks[UID],SMALL(Tasks[_PickKey],Tasks[[#This Row],[_Row]]))&amp;" "&amp;INDEX(Tasks[Task Name],SMALL(Tasks[_PickKey],Tasks[[#This Row],[_Row]])),"")</f>
        <v/>
      </c>
      <c r="HE184" s="42">
        <f>IF(Tasks[[#This Row],[Task Name]]="","",IF(Tasks[[#This Row],[_IsSummary]],NETWORKDAYS.INTL(Tasks[[#This Row],[Start]],Tasks[[#This Row],[Finish]],WorkWeek,Holidays),N(Tasks[[#This Row],[_Days]])))</f>
        <v/>
      </c>
      <c r="HF184" s="42">
        <f>IF(Tasks[[#This Row],[Expected]]="",0,((Tasks[[#This Row],[Pessimistic]]-Tasks[[#This Row],[Optimistic]])/6)^2)</f>
        <v/>
      </c>
      <c r="HG184" s="42">
        <f>IF(Tasks[[#This Row],[Expected]]="",0,Tasks[[#This Row],[Expected]]-N(Tasks[[#This Row],[_Days]]))</f>
        <v/>
      </c>
    </row>
    <row r="185">
      <c r="A185" s="21">
        <f>IF(Tasks[[#This Row],[Task Name]]="","",COUNTA(Tasks[[#Headers],[Task Name]]:Tasks[[#This Row],[Task Name]])-1)</f>
        <v/>
      </c>
      <c r="B185" s="22" t="n">
        <v>193</v>
      </c>
      <c r="C185" s="22" t="n"/>
      <c r="D185" s="23" t="n"/>
      <c r="E185" s="22" t="n"/>
      <c r="F185" s="23" t="n"/>
      <c r="G185" s="22" t="n"/>
      <c r="H185" s="22" t="n"/>
      <c r="I185" s="23" t="n"/>
      <c r="J185" s="22" t="n"/>
      <c r="K185" s="22" t="n"/>
      <c r="L185" s="23" t="n"/>
      <c r="M185" s="22" t="n"/>
      <c r="N185" s="22" t="n"/>
      <c r="O185" s="23" t="n"/>
      <c r="P185" s="22" t="n"/>
      <c r="Q185" s="22" t="n"/>
      <c r="R185" s="23" t="n"/>
      <c r="S185" s="23" t="n"/>
      <c r="T185" s="82" t="n"/>
      <c r="U185" s="23" t="n"/>
      <c r="V185" s="82" t="n"/>
      <c r="W185" s="23" t="n"/>
      <c r="X185" s="82" t="n"/>
      <c r="Y185" s="23" t="n"/>
      <c r="Z185" s="82" t="n"/>
      <c r="AA185" s="23" t="n"/>
      <c r="AB185" s="23" t="n"/>
      <c r="AC185" s="7" t="n"/>
      <c r="AD185" s="7" t="n"/>
      <c r="AE185" s="61">
        <f>IF(Tasks[[#This Row],[Task Name]]="","",IF(Tasks[[#This Row],[_IsSummary]],MIN(INDEX(Tasks[_ShownFcstStart],Tasks[[#This Row],[_Row]]+1):INDEX(Tasks[_ShownFcstStart],Tasks[[#This Row],[_Row]]+Tasks[[#This Row],[_Descendants]])),Tasks[[#This Row],[_ShownFcstStart]]))</f>
        <v/>
      </c>
      <c r="AF185" s="61">
        <f>IF(Tasks[[#This Row],[Task Name]]="","",IF(Tasks[[#This Row],[_IsSummary]],MAX(INDEX(Tasks[_ShownFcstFinish],Tasks[[#This Row],[_Row]]+1):INDEX(Tasks[_ShownFcstFinish],Tasks[[#This Row],[_Row]]+Tasks[[#This Row],[_Descendants]])),Tasks[[#This Row],[_ShownFcstFinish]]))</f>
        <v/>
      </c>
      <c r="AG185" s="21">
        <f>""</f>
        <v/>
      </c>
      <c r="AH185" s="23" t="n"/>
      <c r="AI18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5" s="7" t="n"/>
      <c r="AK185" s="22" t="n"/>
      <c r="AL185" s="23" t="n"/>
      <c r="AM185" s="7" t="n"/>
      <c r="AN185" s="21">
        <f>IF(Tasks[[#This Row],[Task Name]]="","",IF(Tasks[[#This Row],[Finish]]&gt;=Tasks[[#This Row],[Planned Finish]],NETWORKDAYS.INTL(Tasks[[#This Row],[Planned Finish]],Tasks[[#This Row],[Finish]],WorkWeek,Holidays)-1,1-NETWORKDAYS.INTL(Tasks[[#This Row],[Finish]],Tasks[[#This Row],[Planned Finish]],WorkWeek,Holidays)))</f>
        <v/>
      </c>
      <c r="AO185" s="21">
        <f>IF(Tasks[[#This Row],[Task Name]]="","",IF(Tasks[[#This Row],[Progress]]&gt;=1,"Complete",IF(OR(N(Tasks[[#This Row],[Actual Start]])&gt;0,Tasks[[#This Row],[Progress]]&gt;0),IF(Tasks[[#This Row],[Finish Var]]&gt;0,"Behind","In Progress"),IF(Tasks[[#This Row],[Planned Start]]&lt;StatusDate,"Late Start","Not Started"))))</f>
        <v/>
      </c>
      <c r="AP185" s="21">
        <f>IF(Tasks[[#This Row],[Task Name]]="","",IF(IF(Tasks[[#This Row],[_IsSummary]],COUNTIF(INDEX(Tasks[_LeafCritical],Tasks[[#This Row],[_Row]]+1):INDEX(Tasks[_LeafCritical],Tasks[[#This Row],[_Row]]+Tasks[[#This Row],[_Descendants]]),TRUE())&gt;0,Tasks[[#This Row],[_LeafCritical]]),"Yes",""))</f>
        <v/>
      </c>
      <c r="AQ185" s="61">
        <f>IF(Tasks[[#This Row],[Task Name]]="","",IF(N(Tasks[[#This Row],[Baseline Start]])&gt;0,Tasks[[#This Row],[Baseline Start]],Tasks[[#This Row],[_CalcStart]]))</f>
        <v/>
      </c>
      <c r="AR185" s="61">
        <f>IF(Tasks[[#This Row],[Task Name]]="","",IF(N(Tasks[[#This Row],[Baseline Finish]])&gt;0,Tasks[[#This Row],[Baseline Finish]],Tasks[[#This Row],[_CalcFinish]]))</f>
        <v/>
      </c>
      <c r="AS185" s="21">
        <f>IF(Tasks[[#This Row],[Task Name]]="","",IF(Tasks[[#This Row],[Start]]&gt;=Tasks[[#This Row],[Planned Start]],NETWORKDAYS.INTL(Tasks[[#This Row],[Planned Start]],Tasks[[#This Row],[Start]],WorkWeek,Holidays)-1,1-NETWORKDAYS.INTL(Tasks[[#This Row],[Start]],Tasks[[#This Row],[Planned Start]],WorkWeek,Holidays)))</f>
        <v/>
      </c>
      <c r="AT185" s="61">
        <f>IF(Tasks[[#This Row],[Task Name]]="","",IF(Tasks[[#This Row],[_IsSummary]],MIN(INDEX(Tasks[_LeafLateStart],Tasks[[#This Row],[_Row]]+1):INDEX(Tasks[_LeafLateStart],Tasks[[#This Row],[_Row]]+Tasks[[#This Row],[_Descendants]])),Tasks[[#This Row],[_LeafLateStart]]))</f>
        <v/>
      </c>
      <c r="AU185" s="61">
        <f>IF(Tasks[[#This Row],[Task Name]]="","",IF(Tasks[[#This Row],[_IsSummary]],MAX(INDEX(Tasks[_LeafLateFinish],Tasks[[#This Row],[_Row]]+1):INDEX(Tasks[_LeafLateFinish],Tasks[[#This Row],[_Row]]+Tasks[[#This Row],[_Descendants]])),Tasks[[#This Row],[_LeafLateFinish]]))</f>
        <v/>
      </c>
      <c r="AV185" s="21">
        <f>IF(Tasks[[#This Row],[Task Name]]="","",IF(Tasks[[#This Row],[_IsSummary]],MIN(INDEX(Tasks[_LeafTotalSlack],Tasks[[#This Row],[_Row]]+1):INDEX(Tasks[_LeafTotalSlack],Tasks[[#This Row],[_Row]]+Tasks[[#This Row],[_Descendants]])),Tasks[[#This Row],[_LeafTotalSlack]]))</f>
        <v/>
      </c>
      <c r="AW18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3" t="n"/>
      <c r="BA18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f>IF(Tasks[[#This Row],[Task Name]]="","",IF(Tasks[[#This Row],[_Level]]&lt;=OutlineShowLevel,"Yes","No"))</f>
        <v/>
      </c>
      <c r="BE185" s="84">
        <f>IF(Tasks[[#This Row],[Task Name]]="","",IF(Tasks[[#This Row],[_IsSummary]],SUM(INDEX(Tasks[_LeafTotalWork],Tasks[[#This Row],[_Row]]+1):INDEX(Tasks[_LeafTotalWork],Tasks[[#This Row],[_Row]]+Tasks[[#This Row],[_Descendants]])),Tasks[[#This Row],[_LeafTotalWork]]))</f>
        <v/>
      </c>
      <c r="BF185" s="23" t="n"/>
      <c r="BG18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f>""</f>
        <v/>
      </c>
      <c r="BI185" s="85" t="n"/>
      <c r="BJ185" s="22" t="n"/>
      <c r="BK185" s="21">
        <f>IF(OR(Tasks[[#This Row],[Task Name]]="",Tasks[[#This Row],[Baseline Duration]]=""),"",Tasks[[#This Row],[_SpanDays]]-N(Tasks[[#This Row],[Baseline Duration]]))</f>
        <v/>
      </c>
      <c r="BL185" s="84">
        <f>IF(OR(Tasks[[#This Row],[Task Name]]="",Tasks[[#This Row],[Baseline Work]]=""),"",Tasks[[#This Row],[Work]]-N(Tasks[[#This Row],[Baseline Work]]))</f>
        <v/>
      </c>
      <c r="BM185" s="61">
        <f>IF(Tasks[[#This Row],[Task Name]]="","",IF(OR(TakeBaseline="Yes",N(Tasks[[#This Row],[Baseline Start]])=0),Tasks[[#This Row],[Start]],Tasks[[#This Row],[Baseline Start]]))</f>
        <v/>
      </c>
      <c r="BN185" s="61">
        <f>IF(Tasks[[#This Row],[Task Name]]="","",IF(OR(TakeBaseline="Yes",N(Tasks[[#This Row],[Baseline Finish]])=0),Tasks[[#This Row],[Finish]],Tasks[[#This Row],[Baseline Finish]]))</f>
        <v/>
      </c>
      <c r="BO185" s="21">
        <f>IF(Tasks[[#This Row],[Task Name]]="","",IF(OR(TakeBaseline="Yes",N(Tasks[[#This Row],[Baseline Duration]])=0),Tasks[[#This Row],[_SpanDays]],Tasks[[#This Row],[Baseline Duration]]))</f>
        <v/>
      </c>
      <c r="BP185" s="84">
        <f>IF(Tasks[[#This Row],[Task Name]]="","",IF(OR(TakeBaseline="Yes",N(Tasks[[#This Row],[Baseline Work]])=0),Tasks[[#This Row],[Work]],Tasks[[#This Row],[Baseline Work]]))</f>
        <v/>
      </c>
      <c r="BQ185" s="7" t="n"/>
      <c r="BR185" s="7" t="n"/>
      <c r="BS185" s="22" t="n"/>
      <c r="BT185" s="86" t="n"/>
      <c r="BU185" s="23" t="n"/>
      <c r="BV185" s="23" t="n"/>
      <c r="BW185" s="23" t="n"/>
      <c r="BX185" s="87">
        <f>IF(AND(Tasks[[#This Row],[_IsLeaf]]=1,ISNUMBER(Tasks[[#This Row],[Optimistic]]),ISNUMBER(Tasks[[#This Row],[Pessimistic]])),ROUND((Tasks[[#This Row],[Optimistic]]+4*N(Tasks[[#This Row],[_Days]])+Tasks[[#This Row],[Pessimistic]])/6,1),"")</f>
        <v/>
      </c>
      <c r="BY185" s="85" t="n"/>
      <c r="BZ185" s="85" t="n"/>
      <c r="CA185" s="22" t="n"/>
      <c r="CB185" s="42">
        <f>IF(Tasks[[#This Row],[Task Name]]="","",MAX(1,N(Tasks[[#This Row],[Level]])))</f>
        <v/>
      </c>
      <c r="CC185" s="42">
        <f>ROW()-ROW(Tasks[[#Headers],[ID]])</f>
        <v/>
      </c>
      <c r="CD185" s="42">
        <f>IF(OR(Tasks[[#This Row],[Task Name]]="",Tasks[[#This Row],[_Level]]&lt;=1),0,IFERROR(LOOKUP(2,1/(Tasks[[#Headers],[_Level]]:Tasks[[#This Row],[_Level]]=Tasks[[#This Row],[_Level]]-1),ROW(Tasks[[#Headers],[_Level]]:Tasks[[#This Row],[_Level]])),0))</f>
        <v/>
      </c>
      <c r="CE185" s="42">
        <f>IFERROR(N(INDEX(Tasks[_Level],Tasks[[#This Row],[_Row]]+1)),0)</f>
        <v/>
      </c>
      <c r="CF185" s="42">
        <f>AND(Tasks[[#This Row],[Task Name]]&lt;&gt;"",Tasks[[#This Row],[_NextLevel]]&gt;Tasks[[#This Row],[_Level]])</f>
        <v/>
      </c>
      <c r="CG185" s="42">
        <f>IF(Tasks[[#This Row],[_IsSummary]],COUNTIF(Tasks[WBS],Tasks[[#This Row],[WBS]]&amp;".*"),0)</f>
        <v/>
      </c>
      <c r="CH185" s="42">
        <f>IF(AND(Tasks[[#This Row],[Task Name]]&lt;&gt;"",NOT(Tasks[[#This Row],[_IsSummary]])),1,0)</f>
        <v/>
      </c>
      <c r="CI185" s="42">
        <f>IF(N(Tasks[[#This Row],[_Pred1UID]])=0,0,IFERROR(MATCH(Tasks[[#This Row],[_Pred1UID]],Tasks[UID],0),-1))</f>
        <v/>
      </c>
      <c r="CJ185" s="42">
        <f>IF(N(Tasks[[#This Row],[_Pred2UID]])=0,0,IFERROR(MATCH(Tasks[[#This Row],[_Pred2UID]],Tasks[UID],0),-1))</f>
        <v/>
      </c>
      <c r="CK185" s="42">
        <f>IF(N(Tasks[[#This Row],[_Pred3UID]])=0,0,IFERROR(MATCH(Tasks[[#This Row],[_Pred3UID]],Tasks[UID],0),-1))</f>
        <v/>
      </c>
      <c r="CL185" s="42">
        <f>IF(N(Tasks[[#This Row],[_Pred4UID]])=0,0,IFERROR(MATCH(Tasks[[#This Row],[_Pred4UID]],Tasks[UID],0),-1))</f>
        <v/>
      </c>
      <c r="CM18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5" s="88">
        <f>IF(N(Tasks[[#This Row],[Constraint Date]])=0,0,IF(AND(OR(Tasks[[#This Row],[_ConstraintCode]]=3,Tasks[[#This Row],[_ConstraintCode]]=6,Tasks[[#This Row],[_ConstraintCode]]=7),N(Tasks[[#This Row],[_Days]])&gt;1),WORKDAY.INTL(N(Tasks[[#This Row],[Constraint Date]]),-(N(Tasks[[#This Row],[_Days]])-1),WorkWeek,Holidays),N(Tasks[[#This Row],[Constraint Date]])))</f>
        <v/>
      </c>
      <c r="CO185" s="88">
        <f>IF(OR(Tasks[[#This Row],[_ConstraintCode]]=2,Tasks[[#This Row],[_ConstraintCode]]=3,Tasks[[#This Row],[_ConstraintCode]]=4,Tasks[[#This Row],[_ConstraintCode]]=6),Tasks[[#This Row],[_ConstraintStart]],0)</f>
        <v/>
      </c>
      <c r="CP185" s="88">
        <f>IF(OR(Tasks[[#This Row],[_ConstraintCode]]=2,Tasks[[#This Row],[_ConstraintCode]]=3,Tasks[[#This Row],[_ConstraintCode]]=5,Tasks[[#This Row],[_ConstraintCode]]=7),Tasks[[#This Row],[_ConstraintStart]],2958465)</f>
        <v/>
      </c>
      <c r="CQ18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5" s="88">
        <f>IF(NOT(Tasks[[#This Row],[_IsLeaf]]=1),"",IF(N(Tasks[[#This Row],[_Days]])&lt;=0,Tasks[[#This Row],[_LeafCalcStart]],WORKDAY.INTL(Tasks[[#This Row],[_LeafCalcStart]],Tasks[[#This Row],[_Days]]-1,WorkWeek,Holidays)))</f>
        <v/>
      </c>
      <c r="CS18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5" s="42">
        <f>IF(Tasks[[#This Row],[_Predecessors]]="","",TRIM(MID(SUBSTITUTE(SUBSTITUTE(SUBSTITUTE(UPPER(Tasks[[#This Row],[_Predecessors]]),";",",")," ",""),",",REPT(" ",99)),1,99)))</f>
        <v/>
      </c>
      <c r="CV185" s="42">
        <f>IF(Tasks[[#This Row],[_Pred1Text]]="","",IFERROR(VALUE(LEFT(Tasks[[#This Row],[_Pred1Text]],MIN(FIND("F",Tasks[[#This Row],[_Pred1Text]]&amp;"F"),FIND("S",Tasks[[#This Row],[_Pred1Text]]&amp;"S"),FIND("+",Tasks[[#This Row],[_Pred1Text]]&amp;"+"),FIND("-",Tasks[[#This Row],[_Pred1Text]]&amp;"-"))-1)),""))</f>
        <v/>
      </c>
      <c r="CW18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5" s="42">
        <f>IF(Tasks[[#This Row],[_Pred1Text]]="","",TRIM(MID(SUBSTITUTE(SUBSTITUTE(SUBSTITUTE(UPPER(Tasks[[#This Row],[_Predecessors]]),";",",")," ",""),",",REPT(" ",99)),100,99)))</f>
        <v/>
      </c>
      <c r="CZ185" s="42">
        <f>IF(Tasks[[#This Row],[_Pred2Text]]="","",IFERROR(VALUE(LEFT(Tasks[[#This Row],[_Pred2Text]],MIN(FIND("F",Tasks[[#This Row],[_Pred2Text]]&amp;"F"),FIND("S",Tasks[[#This Row],[_Pred2Text]]&amp;"S"),FIND("+",Tasks[[#This Row],[_Pred2Text]]&amp;"+"),FIND("-",Tasks[[#This Row],[_Pred2Text]]&amp;"-"))-1)),""))</f>
        <v/>
      </c>
      <c r="DA18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5" s="42">
        <f>IF(Tasks[[#This Row],[_Pred2Text]]="","",TRIM(MID(SUBSTITUTE(SUBSTITUTE(SUBSTITUTE(UPPER(Tasks[[#This Row],[_Predecessors]]),";",",")," ",""),",",REPT(" ",99)),199,99)))</f>
        <v/>
      </c>
      <c r="DD185" s="42">
        <f>IF(Tasks[[#This Row],[_Pred3Text]]="","",IFERROR(VALUE(LEFT(Tasks[[#This Row],[_Pred3Text]],MIN(FIND("F",Tasks[[#This Row],[_Pred3Text]]&amp;"F"),FIND("S",Tasks[[#This Row],[_Pred3Text]]&amp;"S"),FIND("+",Tasks[[#This Row],[_Pred3Text]]&amp;"+"),FIND("-",Tasks[[#This Row],[_Pred3Text]]&amp;"-"))-1)),""))</f>
        <v/>
      </c>
      <c r="DE18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5" s="42">
        <f>IF(Tasks[[#This Row],[_Pred3Text]]="","",TRIM(MID(SUBSTITUTE(SUBSTITUTE(SUBSTITUTE(UPPER(Tasks[[#This Row],[_Predecessors]]),";",",")," ",""),",",REPT(" ",99)),298,99)))</f>
        <v/>
      </c>
      <c r="DH185" s="42">
        <f>IF(Tasks[[#This Row],[_Pred4Text]]="","",IFERROR(VALUE(LEFT(Tasks[[#This Row],[_Pred4Text]],MIN(FIND("F",Tasks[[#This Row],[_Pred4Text]]&amp;"F"),FIND("S",Tasks[[#This Row],[_Pred4Text]]&amp;"S"),FIND("+",Tasks[[#This Row],[_Pred4Text]]&amp;"+"),FIND("-",Tasks[[#This Row],[_Pred4Text]]&amp;"-"))-1)),""))</f>
        <v/>
      </c>
      <c r="DI18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5" s="42">
        <f>IF(OR(Tasks[[#This Row],[Task Name]]="",Tasks[[#This Row],[_Resources]]=""),"",TRIM(MID(SUBSTITUTE(Tasks[[#This Row],[_Resources]],",",REPT(" ",99)),1,99)))</f>
        <v/>
      </c>
      <c r="DL185" s="42">
        <f>IF(Tasks[[#This Row],[_Res1Text]]="","",TRIM(MID(SUBSTITUTE(Tasks[[#This Row],[_Resources]],",",REPT(" ",99)),100,99)))</f>
        <v/>
      </c>
      <c r="DM185" s="42">
        <f>IF(Tasks[[#This Row],[_Res2Text]]="","",TRIM(MID(SUBSTITUTE(Tasks[[#This Row],[_Resources]],",",REPT(" ",99)),199,99)))</f>
        <v/>
      </c>
      <c r="DN185" s="42">
        <f>IF(Tasks[[#This Row],[_Res3Text]]="","",TRIM(MID(SUBSTITUTE(Tasks[[#This Row],[_Resources]],",",REPT(" ",99)),298,99)))</f>
        <v/>
      </c>
      <c r="DO185" s="42">
        <f>IF(Tasks[[#This Row],[_Res1Text]]="",0,IFERROR(MATCH(TRIM(LEFT(Tasks[[#This Row],[_Res1Text]],FIND("[",Tasks[[#This Row],[_Res1Text]]&amp;"[")-1)),res_Name,0),IFERROR(MATCH(TRIM(LEFT(Tasks[[#This Row],[_Res1Text]],FIND("[",Tasks[[#This Row],[_Res1Text]]&amp;"[")-1)),res_Initials,0),0)))</f>
        <v/>
      </c>
      <c r="DP185" s="42">
        <f>IF(Tasks[[#This Row],[_Res2Text]]="",0,IFERROR(MATCH(TRIM(LEFT(Tasks[[#This Row],[_Res2Text]],FIND("[",Tasks[[#This Row],[_Res2Text]]&amp;"[")-1)),res_Name,0),IFERROR(MATCH(TRIM(LEFT(Tasks[[#This Row],[_Res2Text]],FIND("[",Tasks[[#This Row],[_Res2Text]]&amp;"[")-1)),res_Initials,0),0)))</f>
        <v/>
      </c>
      <c r="DQ185" s="42">
        <f>IF(Tasks[[#This Row],[_Res3Text]]="",0,IFERROR(MATCH(TRIM(LEFT(Tasks[[#This Row],[_Res3Text]],FIND("[",Tasks[[#This Row],[_Res3Text]]&amp;"[")-1)),res_Name,0),IFERROR(MATCH(TRIM(LEFT(Tasks[[#This Row],[_Res3Text]],FIND("[",Tasks[[#This Row],[_Res3Text]]&amp;"[")-1)),res_Initials,0),0)))</f>
        <v/>
      </c>
      <c r="DR185" s="42">
        <f>IF(Tasks[[#This Row],[_Res4Text]]="",0,IFERROR(MATCH(TRIM(LEFT(Tasks[[#This Row],[_Res4Text]],FIND("[",Tasks[[#This Row],[_Res4Text]]&amp;"[")-1)),res_Name,0),IFERROR(MATCH(TRIM(LEFT(Tasks[[#This Row],[_Res4Text]],FIND("[",Tasks[[#This Row],[_Res4Text]]&amp;"[")-1)),res_Initials,0),0)))</f>
        <v/>
      </c>
      <c r="DS185" s="42">
        <f>IF(Tasks[[#This Row],[_Res1Text]]="","",IF(Tasks[[#This Row],[_Res1Row]]&gt;0,INDEX(res_Name,Tasks[[#This Row],[_Res1Row]]),TRIM(LEFT(Tasks[[#This Row],[_Res1Text]],FIND("[",Tasks[[#This Row],[_Res1Text]]&amp;"[")-1))))</f>
        <v/>
      </c>
      <c r="DT18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5" s="42">
        <f>IF(NOT(Tasks[[#This Row],[_IsLeaf]]=1),0,(Tasks[[#This Row],[_Resource1]]&lt;&gt;"")+(Tasks[[#This Row],[_Res2]]&lt;&gt;"")+(Tasks[[#This Row],[_Res3]]&lt;&gt;"")+(Tasks[[#This Row],[_Res4]]&lt;&gt;""))</f>
        <v/>
      </c>
      <c r="DV185" s="42">
        <f>IF(Tasks[[#This Row],[_Res2Text]]="","",IF(Tasks[[#This Row],[_Res2Row]]&gt;0,INDEX(res_Name,Tasks[[#This Row],[_Res2Row]]),TRIM(LEFT(Tasks[[#This Row],[_Res2Text]],FIND("[",Tasks[[#This Row],[_Res2Text]]&amp;"[")-1))))</f>
        <v/>
      </c>
      <c r="DW18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5" s="42">
        <f>IF(OR(NOT(Tasks[[#This Row],[_IsLeaf]]=1),Tasks[[#This Row],[_Res2Row]]=0),0,N(Tasks[[#This Row],[_Days]])*HoursPerDay*IF(Tasks[[#This Row],[_Res2Units]]="",DefaultUnits,Tasks[[#This Row],[_Res2Units]]))</f>
        <v/>
      </c>
      <c r="DY185" s="42">
        <f>IF(AND(AND(Tasks[[#This Row],[_IsLeaf]]=1,Tasks[[#This Row],[_LeafTotalWork]]&gt;0),Tasks[[#This Row],[_Res2Work]]&gt;0),Tasks[[#This Row],[_Res2Work]]/(Tasks[[#This Row],[_FinishWorkday]]-Tasks[[#This Row],[_StartWorkday]]+1),0)</f>
        <v/>
      </c>
      <c r="DZ185" s="42">
        <f>Tasks[[#This Row],[_Res2WorkPerWD]]*MAX(0,Tasks[[#This Row],[_StartWorkday]]-1)</f>
        <v/>
      </c>
      <c r="EA185" s="42">
        <f>Tasks[[#This Row],[_Res2Work]]*Tasks[[#This Row],[_LeafProgress]]</f>
        <v/>
      </c>
      <c r="EB185" s="42">
        <f>IF(Tasks[[#This Row],[_Res3Text]]="","",IF(Tasks[[#This Row],[_Res3Row]]&gt;0,INDEX(res_Name,Tasks[[#This Row],[_Res3Row]]),TRIM(LEFT(Tasks[[#This Row],[_Res3Text]],FIND("[",Tasks[[#This Row],[_Res3Text]]&amp;"[")-1))))</f>
        <v/>
      </c>
      <c r="EC18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5" s="42">
        <f>IF(OR(NOT(Tasks[[#This Row],[_IsLeaf]]=1),Tasks[[#This Row],[_Res3Row]]=0),0,N(Tasks[[#This Row],[_Days]])*HoursPerDay*IF(Tasks[[#This Row],[_Res3Units]]="",DefaultUnits,Tasks[[#This Row],[_Res3Units]]))</f>
        <v/>
      </c>
      <c r="EE185" s="42">
        <f>IF(AND(AND(Tasks[[#This Row],[_IsLeaf]]=1,Tasks[[#This Row],[_LeafTotalWork]]&gt;0),Tasks[[#This Row],[_Res3Work]]&gt;0),Tasks[[#This Row],[_Res3Work]]/(Tasks[[#This Row],[_FinishWorkday]]-Tasks[[#This Row],[_StartWorkday]]+1),0)</f>
        <v/>
      </c>
      <c r="EF185" s="42">
        <f>Tasks[[#This Row],[_Res3WorkPerWD]]*MAX(0,Tasks[[#This Row],[_StartWorkday]]-1)</f>
        <v/>
      </c>
      <c r="EG185" s="42">
        <f>Tasks[[#This Row],[_Res3Work]]*Tasks[[#This Row],[_LeafProgress]]</f>
        <v/>
      </c>
      <c r="EH185" s="42">
        <f>IF(Tasks[[#This Row],[_Res4Text]]="","",IF(Tasks[[#This Row],[_Res4Row]]&gt;0,INDEX(res_Name,Tasks[[#This Row],[_Res4Row]]),TRIM(LEFT(Tasks[[#This Row],[_Res4Text]],FIND("[",Tasks[[#This Row],[_Res4Text]]&amp;"[")-1))))</f>
        <v/>
      </c>
      <c r="EI18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5" s="42">
        <f>IF(OR(NOT(Tasks[[#This Row],[_IsLeaf]]=1),Tasks[[#This Row],[_Res4Row]]=0),0,N(Tasks[[#This Row],[_Days]])*HoursPerDay*IF(Tasks[[#This Row],[_Res4Units]]="",DefaultUnits,Tasks[[#This Row],[_Res4Units]]))</f>
        <v/>
      </c>
      <c r="EK185" s="42">
        <f>IF(AND(AND(Tasks[[#This Row],[_IsLeaf]]=1,Tasks[[#This Row],[_LeafTotalWork]]&gt;0),Tasks[[#This Row],[_Res4Work]]&gt;0),Tasks[[#This Row],[_Res4Work]]/(Tasks[[#This Row],[_FinishWorkday]]-Tasks[[#This Row],[_StartWorkday]]+1),0)</f>
        <v/>
      </c>
      <c r="EL185" s="42">
        <f>Tasks[[#This Row],[_Res4WorkPerWD]]*MAX(0,Tasks[[#This Row],[_StartWorkday]]-1)</f>
        <v/>
      </c>
      <c r="EM185" s="42">
        <f>Tasks[[#This Row],[_Res4Work]]*Tasks[[#This Row],[_LeafProgress]]</f>
        <v/>
      </c>
      <c r="EN185" s="42">
        <f>IF(ISNUMBER(Tasks[[#This Row],[% Complete]]),Tasks[[#This Row],[% Complete]],IF(Tasks[[#This Row],[Stage]]="",0,IFERROR(INDEX(stg_Pct,MATCH(Tasks[[#This Row],[Stage]],stg_Name,0)),0)))</f>
        <v/>
      </c>
      <c r="EO185" s="42">
        <f>IF(NOT(Tasks[[#This Row],[_IsLeaf]]=1),0,IF(N(Tasks[[#This Row],[Actual Finish]])&gt;0,1,MIN(1,Tasks[[#This Row],[_Pct]])))</f>
        <v/>
      </c>
      <c r="EP185" s="42">
        <f>IF(OR(NOT(Tasks[[#This Row],[_IsLeaf]]=1),Tasks[[#This Row],[_Res1Row]]=0),0,N(Tasks[[#This Row],[_Days]])*HoursPerDay*IF(Tasks[[#This Row],[_Units1]]="",DefaultUnits,Tasks[[#This Row],[_Units1]]))</f>
        <v/>
      </c>
      <c r="EQ185" s="42">
        <f>Tasks[[#This Row],[_LeafWork]]+Tasks[[#This Row],[_Res2Work]]+Tasks[[#This Row],[_Res3Work]]+Tasks[[#This Row],[_Res4Work]]</f>
        <v/>
      </c>
      <c r="ER18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5" s="42">
        <f>IF(NOT(Tasks[[#This Row],[_IsLeaf]]=1),0,MAX(_xlfn.MAXIFS(Tasks[_Row],Tasks[_Pred1UID],Tasks[[#This Row],[UID]]),_xlfn.MAXIFS(Tasks[_Row],Tasks[_Pred2UID],Tasks[[#This Row],[UID]]),_xlfn.MAXIFS(Tasks[_Row],Tasks[_Pred3UID],Tasks[[#This Row],[UID]]),_xlfn.MAXIFS(Tasks[_Row],Tasks[_Pred4UID],Tasks[[#This Row],[UID]])))</f>
        <v/>
      </c>
      <c r="FA18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5" s="88">
        <f>IF(NOT(Tasks[[#This Row],[_IsLeaf]]=1),"",IF(N(Tasks[[#This Row],[_Days]])&lt;=0,Tasks[[#This Row],[_LeafLateFinish]],WORKDAY.INTL(Tasks[[#This Row],[_LeafLateFinish]],-(Tasks[[#This Row],[_Days]]-1),WorkWeek,Holidays)))</f>
        <v/>
      </c>
      <c r="FD18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5" s="42">
        <f>AND(Tasks[[#This Row],[_IsLeaf]]=1,Tasks[[#This Row],[_LeafProgress]]&lt;1,N(Tasks[[#This Row],[_LeafTotalSlack]])&lt;=CriticalSlackDays)</f>
        <v/>
      </c>
      <c r="FF185" s="42">
        <f>IF(AND(Tasks[[#This Row],[_IsLeaf]]=1,Tasks[[#This Row],[_ConstraintCode]]=1,Tasks[[#This Row],[Mode]]&lt;&gt;"Manual",N(Tasks[[#This Row],[Actual Start]])=0),MAX(0,N(Tasks[[#This Row],[Free Slack]])),0)</f>
        <v/>
      </c>
      <c r="FG185" s="88">
        <f>IF(NOT(Tasks[[#This Row],[_IsLeaf]]=1),"",IF(Tasks[[#This Row],[_AlapShift]]=0,Tasks[[#This Row],[_LeafCalcStart]],WORKDAY.INTL(Tasks[[#This Row],[_LeafCalcStart]],Tasks[[#This Row],[_AlapShift]],WorkWeek,Holidays)))</f>
        <v/>
      </c>
      <c r="FH185" s="88">
        <f>IF(NOT(Tasks[[#This Row],[_IsLeaf]]=1),"",IF(Tasks[[#This Row],[_AlapShift]]=0,Tasks[[#This Row],[_LeafCalcFinish]],WORKDAY.INTL(Tasks[[#This Row],[_LeafCalcFinish]],Tasks[[#This Row],[_AlapShift]],WorkWeek,Holidays)))</f>
        <v/>
      </c>
      <c r="FI185" s="88">
        <f>IF(NOT(Tasks[[#This Row],[_IsLeaf]]=1),"",IF(Tasks[[#This Row],[_AlapShift]]=0,Tasks[[#This Row],[_LeafFcstStart]],WORKDAY.INTL(Tasks[[#This Row],[_LeafFcstStart]],Tasks[[#This Row],[_AlapShift]],WorkWeek,Holidays)))</f>
        <v/>
      </c>
      <c r="FJ185" s="88">
        <f>IF(NOT(Tasks[[#This Row],[_IsLeaf]]=1),"",IF(Tasks[[#This Row],[_AlapShift]]=0,Tasks[[#This Row],[_LeafFcstFinish]],WORKDAY.INTL(Tasks[[#This Row],[_LeafFcstFinish]],Tasks[[#This Row],[_AlapShift]],WorkWeek,Holidays)))</f>
        <v/>
      </c>
      <c r="FK185" s="88">
        <f>IF(Tasks[[#This Row],[Task Name]]="","",IF(Tasks[[#This Row],[_IsSummary]],MIN(INDEX(Tasks[_ShownCalcStart],Tasks[[#This Row],[_Row]]+1):INDEX(Tasks[_ShownCalcStart],Tasks[[#This Row],[_Row]]+Tasks[[#This Row],[_Descendants]])),Tasks[[#This Row],[_ShownCalcStart]]))</f>
        <v/>
      </c>
      <c r="FL185" s="88">
        <f>IF(Tasks[[#This Row],[Task Name]]="","",IF(Tasks[[#This Row],[_IsSummary]],MAX(INDEX(Tasks[_ShownCalcFinish],Tasks[[#This Row],[_Row]]+1):INDEX(Tasks[_ShownCalcFinish],Tasks[[#This Row],[_Row]]+Tasks[[#This Row],[_Descendants]])),Tasks[[#This Row],[_ShownCalcFinish]]))</f>
        <v/>
      </c>
      <c r="FM18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5" s="42">
        <f>IF(AND(Tasks[[#This Row],[_IsLeaf]]=1,Tasks[[#This Row],[_LeafTotalWork]]&gt;0),NETWORKDAYS.INTL(ProjectStart,Tasks[[#This Row],[_ShownFcstStart]],WorkWeek,Holidays),0)</f>
        <v/>
      </c>
      <c r="FZ185" s="42">
        <f>IF(AND(Tasks[[#This Row],[_IsLeaf]]=1,Tasks[[#This Row],[_LeafTotalWork]]&gt;0),MAX(Tasks[[#This Row],[_StartWorkday]],NETWORKDAYS.INTL(ProjectStart,Tasks[[#This Row],[_ShownFcstFinish]],WorkWeek,Holidays)),0)</f>
        <v/>
      </c>
      <c r="GA185" s="42">
        <f>IF(AND(Tasks[[#This Row],[_IsLeaf]]=1,Tasks[[#This Row],[_LeafTotalWork]]&gt;0),Tasks[[#This Row],[_LeafWork]]/(Tasks[[#This Row],[_FinishWorkday]]-Tasks[[#This Row],[_StartWorkday]]+1),0)</f>
        <v/>
      </c>
      <c r="GB185" s="42">
        <f>Tasks[[#This Row],[_WorkPerWorkday]]*(Tasks[[#This Row],[_StartWorkday]]-1)</f>
        <v/>
      </c>
      <c r="GC185" s="42">
        <f>IF(Tasks[[#This Row],[_IsLeaf]]=1,MAX(N(Tasks[[#This Row],[_Days]]),0.1),0)</f>
        <v/>
      </c>
      <c r="GD185" s="42">
        <f>Tasks[[#This Row],[_WeightDur]]*Tasks[[#This Row],[_LeafProgress]]</f>
        <v/>
      </c>
      <c r="GE185" s="42">
        <f>Tasks[[#This Row],[_WeightDur]]*Tasks[[#This Row],[_PlannedPct]]</f>
        <v/>
      </c>
      <c r="GF18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5" s="42">
        <f>IF(AND(Tasks[[#This Row],[_IsLeaf]]=1,N(Tasks[[#This Row],[_Days]])=0,Tasks[[#This Row],[_LeafProgress]]&lt;1),Tasks[[#This Row],[_ShownFcstFinish]]+Tasks[[#This Row],[_Row]]/100000,"")</f>
        <v/>
      </c>
      <c r="GH18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5" s="42">
        <f>IF(Tasks[[#This Row],[Task Name]]="","",LEFT(Tasks[[#This Row],[WBS]],FIND(".",Tasks[[#This Row],[WBS]]&amp;".")-1))</f>
        <v/>
      </c>
      <c r="GJ185" s="42">
        <f>IF(AND(Tasks[[#This Row],[Task Name]]&lt;&gt;"",Tasks[[#This Row],[_Level]]=1),Tasks[[#This Row],[_Row]],"")</f>
        <v/>
      </c>
      <c r="GK185" s="42">
        <f>IF(AND(Tasks[[#This Row],[_IsLeaf]]=1,N(Tasks[[#This Row],[_Days]])=0),Tasks[[#This Row],[Planned Finish]]+Tasks[[#This Row],[_Row]]/100000,"")</f>
        <v/>
      </c>
      <c r="GL185" s="42">
        <f>IF(AND(Tasks[[#This Row],[_IsLeaf]]=1,Tasks[[#This Row],[_LeafProgress]]&lt;1,OR(N(Tasks[[#This Row],[Finish Var]])&gt;0,Tasks[[#This Row],[Status]]="Late Start")),MAX(0,Tasks[[#This Row],[Finish Var]])+1-Tasks[[#This Row],[_Row]]/1000000,"")</f>
        <v/>
      </c>
      <c r="GM185" s="42">
        <f>IF(AND(Tasks[[#This Row],[_IsLeaf]]=1,N(Tasks[[#This Row],[Actual Start]])=0,Tasks[[#This Row],[_ShownFcstStart]]&gt;=StatusDate,Tasks[[#This Row],[_ShownFcstStart]]&lt;=LookaheadEnd),Tasks[[#This Row],[_ShownFcstStart]]+Tasks[[#This Row],[_Row]]/100000,"")</f>
        <v/>
      </c>
      <c r="GN185" s="42">
        <f>IF(AND(Tasks[[#This Row],[_IsLeaf]]=1,Tasks[[#This Row],[_LeafProgress]]&lt;1,Tasks[[#This Row],[_ShownFcstFinish]]&gt;=StatusDate,Tasks[[#This Row],[_ShownFcstFinish]]&lt;=LookaheadEnd),Tasks[[#This Row],[_ShownFcstFinish]]+Tasks[[#This Row],[_Row]]/100000,"")</f>
        <v/>
      </c>
      <c r="GO185" s="42">
        <f>IF(Tasks[[#This Row],[_LeafCritical]],Tasks[[#This Row],[_ShownFcstStart]]+Tasks[[#This Row],[_Row]]/100000,"")</f>
        <v/>
      </c>
      <c r="GP185" s="42">
        <f>Tasks[[#This Row],[_LeafWork]]*Tasks[[#This Row],[_LeafProgress]]</f>
        <v/>
      </c>
      <c r="GQ185" s="88">
        <f>IF(AND(Tasks[[#This Row],[_IsLeaf]]=1,Tasks[[#This Row],[_LeafProgress]]&gt;=1),IF(N(Tasks[[#This Row],[Actual Finish]])&gt;0,Tasks[[#This Row],[Actual Finish]],Tasks[[#This Row],[_ShownFcstFinish]]),"")</f>
        <v/>
      </c>
      <c r="GR185" s="42">
        <f>IF(Tasks[[#This Row],[_IsLeaf]]=1,N(Tasks[[#This Row],[Story Points]]),0)</f>
        <v/>
      </c>
      <c r="GS185" s="42">
        <f>""</f>
        <v/>
      </c>
      <c r="GT185" s="42">
        <f>IF(Tasks[[#This Row],[Task Name]]="",FALSE(),AND(Tasks[[#This Row],[_IsLeaf]]=1,N(Tasks[[#This Row],[_Days]])=0))</f>
        <v/>
      </c>
      <c r="GU185" s="88">
        <f>IF(Tasks[[#This Row],[Task Name]]="",0,IF(AND(Tasks[[#This Row],[_IsLeaf]]=1,NOT(Tasks[[#This Row],[_IsMilestone]]),N(Tasks[[#This Row],[Progress]])&gt;0),Tasks[[#This Row],[Start]],0))</f>
        <v/>
      </c>
      <c r="GV185" s="88">
        <f>IF(Tasks[[#This Row],[_DoneFrom]]=0,0,IF(Tasks[[#This Row],[Progress]]&gt;=1,Tasks[[#This Row],[Finish]],MAX(Tasks[[#This Row],[_DoneFrom]],Tasks[[#This Row],[Start]]+ROUND((Tasks[[#This Row],[Finish]]-Tasks[[#This Row],[Start]]+1)*Tasks[[#This Row],[Progress]],0)-1)))</f>
        <v/>
      </c>
      <c r="GW185" s="88">
        <f>IF(Tasks[[#This Row],[Task Name]]="",0,IF(OR(NOT(Tasks[[#This Row],[_IsLeaf]]=1),Tasks[[#This Row],[_IsMilestone]],N(Tasks[[#This Row],[Progress]])&gt;=1),0,IF(Tasks[[#This Row],[_DoneTo]]&gt;0,Tasks[[#This Row],[_DoneTo]]+1,Tasks[[#This Row],[Start]])))</f>
        <v/>
      </c>
      <c r="GX185" s="88">
        <f>IF(Tasks[[#This Row],[_RemFrom]]=0,0,Tasks[[#This Row],[Finish]])</f>
        <v/>
      </c>
      <c r="GY185" s="42">
        <f>IF(Tasks[[#This Row],[Task Name]]="",FALSE(),OR(NOT(BaselineSet),N(Tasks[[#This Row],[Baseline Start]])&gt;0))</f>
        <v/>
      </c>
      <c r="GZ185" s="42">
        <f>IF(AND(Sandbox="Yes",L_PARSE_DURATION(Tasks[[#This Row],[Sandbox Duration]])&lt;&gt;""),L_PARSE_DURATION(Tasks[[#This Row],[Sandbox Duration]]),L_PARSE_DURATION(Tasks[[#This Row],[Duration]]))</f>
        <v/>
      </c>
      <c r="HA18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5" s="42">
        <f>IF(Tasks[[#This Row],[_IsLeaf]]=1,Tasks[[#This Row],[_Row]],"")</f>
        <v/>
      </c>
      <c r="HD185" s="42">
        <f>IFERROR(INDEX(Tasks[UID],SMALL(Tasks[_PickKey],Tasks[[#This Row],[_Row]]))&amp;" "&amp;INDEX(Tasks[Task Name],SMALL(Tasks[_PickKey],Tasks[[#This Row],[_Row]])),"")</f>
        <v/>
      </c>
      <c r="HE185" s="42">
        <f>IF(Tasks[[#This Row],[Task Name]]="","",IF(Tasks[[#This Row],[_IsSummary]],NETWORKDAYS.INTL(Tasks[[#This Row],[Start]],Tasks[[#This Row],[Finish]],WorkWeek,Holidays),N(Tasks[[#This Row],[_Days]])))</f>
        <v/>
      </c>
      <c r="HF185" s="42">
        <f>IF(Tasks[[#This Row],[Expected]]="",0,((Tasks[[#This Row],[Pessimistic]]-Tasks[[#This Row],[Optimistic]])/6)^2)</f>
        <v/>
      </c>
      <c r="HG185" s="42">
        <f>IF(Tasks[[#This Row],[Expected]]="",0,Tasks[[#This Row],[Expected]]-N(Tasks[[#This Row],[_Days]]))</f>
        <v/>
      </c>
    </row>
    <row r="186">
      <c r="A186" s="21">
        <f>IF(Tasks[[#This Row],[Task Name]]="","",COUNTA(Tasks[[#Headers],[Task Name]]:Tasks[[#This Row],[Task Name]])-1)</f>
        <v/>
      </c>
      <c r="B186" s="22" t="n">
        <v>194</v>
      </c>
      <c r="C186" s="22" t="n"/>
      <c r="D186" s="23" t="n"/>
      <c r="E186" s="22" t="n"/>
      <c r="F186" s="23" t="n"/>
      <c r="G186" s="22" t="n"/>
      <c r="H186" s="22" t="n"/>
      <c r="I186" s="23" t="n"/>
      <c r="J186" s="22" t="n"/>
      <c r="K186" s="22" t="n"/>
      <c r="L186" s="23" t="n"/>
      <c r="M186" s="22" t="n"/>
      <c r="N186" s="22" t="n"/>
      <c r="O186" s="23" t="n"/>
      <c r="P186" s="22" t="n"/>
      <c r="Q186" s="22" t="n"/>
      <c r="R186" s="23" t="n"/>
      <c r="S186" s="23" t="n"/>
      <c r="T186" s="82" t="n"/>
      <c r="U186" s="23" t="n"/>
      <c r="V186" s="82" t="n"/>
      <c r="W186" s="23" t="n"/>
      <c r="X186" s="82" t="n"/>
      <c r="Y186" s="23" t="n"/>
      <c r="Z186" s="82" t="n"/>
      <c r="AA186" s="23" t="n"/>
      <c r="AB186" s="23" t="n"/>
      <c r="AC186" s="7" t="n"/>
      <c r="AD186" s="7" t="n"/>
      <c r="AE186" s="61">
        <f>IF(Tasks[[#This Row],[Task Name]]="","",IF(Tasks[[#This Row],[_IsSummary]],MIN(INDEX(Tasks[_ShownFcstStart],Tasks[[#This Row],[_Row]]+1):INDEX(Tasks[_ShownFcstStart],Tasks[[#This Row],[_Row]]+Tasks[[#This Row],[_Descendants]])),Tasks[[#This Row],[_ShownFcstStart]]))</f>
        <v/>
      </c>
      <c r="AF186" s="61">
        <f>IF(Tasks[[#This Row],[Task Name]]="","",IF(Tasks[[#This Row],[_IsSummary]],MAX(INDEX(Tasks[_ShownFcstFinish],Tasks[[#This Row],[_Row]]+1):INDEX(Tasks[_ShownFcstFinish],Tasks[[#This Row],[_Row]]+Tasks[[#This Row],[_Descendants]])),Tasks[[#This Row],[_ShownFcstFinish]]))</f>
        <v/>
      </c>
      <c r="AG186" s="21">
        <f>""</f>
        <v/>
      </c>
      <c r="AH186" s="23" t="n"/>
      <c r="AI18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6" s="7" t="n"/>
      <c r="AK186" s="22" t="n"/>
      <c r="AL186" s="23" t="n"/>
      <c r="AM186" s="7" t="n"/>
      <c r="AN186" s="21">
        <f>IF(Tasks[[#This Row],[Task Name]]="","",IF(Tasks[[#This Row],[Finish]]&gt;=Tasks[[#This Row],[Planned Finish]],NETWORKDAYS.INTL(Tasks[[#This Row],[Planned Finish]],Tasks[[#This Row],[Finish]],WorkWeek,Holidays)-1,1-NETWORKDAYS.INTL(Tasks[[#This Row],[Finish]],Tasks[[#This Row],[Planned Finish]],WorkWeek,Holidays)))</f>
        <v/>
      </c>
      <c r="AO186" s="21">
        <f>IF(Tasks[[#This Row],[Task Name]]="","",IF(Tasks[[#This Row],[Progress]]&gt;=1,"Complete",IF(OR(N(Tasks[[#This Row],[Actual Start]])&gt;0,Tasks[[#This Row],[Progress]]&gt;0),IF(Tasks[[#This Row],[Finish Var]]&gt;0,"Behind","In Progress"),IF(Tasks[[#This Row],[Planned Start]]&lt;StatusDate,"Late Start","Not Started"))))</f>
        <v/>
      </c>
      <c r="AP186" s="21">
        <f>IF(Tasks[[#This Row],[Task Name]]="","",IF(IF(Tasks[[#This Row],[_IsSummary]],COUNTIF(INDEX(Tasks[_LeafCritical],Tasks[[#This Row],[_Row]]+1):INDEX(Tasks[_LeafCritical],Tasks[[#This Row],[_Row]]+Tasks[[#This Row],[_Descendants]]),TRUE())&gt;0,Tasks[[#This Row],[_LeafCritical]]),"Yes",""))</f>
        <v/>
      </c>
      <c r="AQ186" s="61">
        <f>IF(Tasks[[#This Row],[Task Name]]="","",IF(N(Tasks[[#This Row],[Baseline Start]])&gt;0,Tasks[[#This Row],[Baseline Start]],Tasks[[#This Row],[_CalcStart]]))</f>
        <v/>
      </c>
      <c r="AR186" s="61">
        <f>IF(Tasks[[#This Row],[Task Name]]="","",IF(N(Tasks[[#This Row],[Baseline Finish]])&gt;0,Tasks[[#This Row],[Baseline Finish]],Tasks[[#This Row],[_CalcFinish]]))</f>
        <v/>
      </c>
      <c r="AS186" s="21">
        <f>IF(Tasks[[#This Row],[Task Name]]="","",IF(Tasks[[#This Row],[Start]]&gt;=Tasks[[#This Row],[Planned Start]],NETWORKDAYS.INTL(Tasks[[#This Row],[Planned Start]],Tasks[[#This Row],[Start]],WorkWeek,Holidays)-1,1-NETWORKDAYS.INTL(Tasks[[#This Row],[Start]],Tasks[[#This Row],[Planned Start]],WorkWeek,Holidays)))</f>
        <v/>
      </c>
      <c r="AT186" s="61">
        <f>IF(Tasks[[#This Row],[Task Name]]="","",IF(Tasks[[#This Row],[_IsSummary]],MIN(INDEX(Tasks[_LeafLateStart],Tasks[[#This Row],[_Row]]+1):INDEX(Tasks[_LeafLateStart],Tasks[[#This Row],[_Row]]+Tasks[[#This Row],[_Descendants]])),Tasks[[#This Row],[_LeafLateStart]]))</f>
        <v/>
      </c>
      <c r="AU186" s="61">
        <f>IF(Tasks[[#This Row],[Task Name]]="","",IF(Tasks[[#This Row],[_IsSummary]],MAX(INDEX(Tasks[_LeafLateFinish],Tasks[[#This Row],[_Row]]+1):INDEX(Tasks[_LeafLateFinish],Tasks[[#This Row],[_Row]]+Tasks[[#This Row],[_Descendants]])),Tasks[[#This Row],[_LeafLateFinish]]))</f>
        <v/>
      </c>
      <c r="AV186" s="21">
        <f>IF(Tasks[[#This Row],[Task Name]]="","",IF(Tasks[[#This Row],[_IsSummary]],MIN(INDEX(Tasks[_LeafTotalSlack],Tasks[[#This Row],[_Row]]+1):INDEX(Tasks[_LeafTotalSlack],Tasks[[#This Row],[_Row]]+Tasks[[#This Row],[_Descendants]])),Tasks[[#This Row],[_LeafTotalSlack]]))</f>
        <v/>
      </c>
      <c r="AW18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3" t="n"/>
      <c r="BA18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f>IF(Tasks[[#This Row],[Task Name]]="","",IF(Tasks[[#This Row],[_Level]]&lt;=OutlineShowLevel,"Yes","No"))</f>
        <v/>
      </c>
      <c r="BE186" s="84">
        <f>IF(Tasks[[#This Row],[Task Name]]="","",IF(Tasks[[#This Row],[_IsSummary]],SUM(INDEX(Tasks[_LeafTotalWork],Tasks[[#This Row],[_Row]]+1):INDEX(Tasks[_LeafTotalWork],Tasks[[#This Row],[_Row]]+Tasks[[#This Row],[_Descendants]])),Tasks[[#This Row],[_LeafTotalWork]]))</f>
        <v/>
      </c>
      <c r="BF186" s="23" t="n"/>
      <c r="BG18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f>""</f>
        <v/>
      </c>
      <c r="BI186" s="85" t="n"/>
      <c r="BJ186" s="22" t="n"/>
      <c r="BK186" s="21">
        <f>IF(OR(Tasks[[#This Row],[Task Name]]="",Tasks[[#This Row],[Baseline Duration]]=""),"",Tasks[[#This Row],[_SpanDays]]-N(Tasks[[#This Row],[Baseline Duration]]))</f>
        <v/>
      </c>
      <c r="BL186" s="84">
        <f>IF(OR(Tasks[[#This Row],[Task Name]]="",Tasks[[#This Row],[Baseline Work]]=""),"",Tasks[[#This Row],[Work]]-N(Tasks[[#This Row],[Baseline Work]]))</f>
        <v/>
      </c>
      <c r="BM186" s="61">
        <f>IF(Tasks[[#This Row],[Task Name]]="","",IF(OR(TakeBaseline="Yes",N(Tasks[[#This Row],[Baseline Start]])=0),Tasks[[#This Row],[Start]],Tasks[[#This Row],[Baseline Start]]))</f>
        <v/>
      </c>
      <c r="BN186" s="61">
        <f>IF(Tasks[[#This Row],[Task Name]]="","",IF(OR(TakeBaseline="Yes",N(Tasks[[#This Row],[Baseline Finish]])=0),Tasks[[#This Row],[Finish]],Tasks[[#This Row],[Baseline Finish]]))</f>
        <v/>
      </c>
      <c r="BO186" s="21">
        <f>IF(Tasks[[#This Row],[Task Name]]="","",IF(OR(TakeBaseline="Yes",N(Tasks[[#This Row],[Baseline Duration]])=0),Tasks[[#This Row],[_SpanDays]],Tasks[[#This Row],[Baseline Duration]]))</f>
        <v/>
      </c>
      <c r="BP186" s="84">
        <f>IF(Tasks[[#This Row],[Task Name]]="","",IF(OR(TakeBaseline="Yes",N(Tasks[[#This Row],[Baseline Work]])=0),Tasks[[#This Row],[Work]],Tasks[[#This Row],[Baseline Work]]))</f>
        <v/>
      </c>
      <c r="BQ186" s="7" t="n"/>
      <c r="BR186" s="7" t="n"/>
      <c r="BS186" s="22" t="n"/>
      <c r="BT186" s="86" t="n"/>
      <c r="BU186" s="23" t="n"/>
      <c r="BV186" s="23" t="n"/>
      <c r="BW186" s="23" t="n"/>
      <c r="BX186" s="87">
        <f>IF(AND(Tasks[[#This Row],[_IsLeaf]]=1,ISNUMBER(Tasks[[#This Row],[Optimistic]]),ISNUMBER(Tasks[[#This Row],[Pessimistic]])),ROUND((Tasks[[#This Row],[Optimistic]]+4*N(Tasks[[#This Row],[_Days]])+Tasks[[#This Row],[Pessimistic]])/6,1),"")</f>
        <v/>
      </c>
      <c r="BY186" s="85" t="n"/>
      <c r="BZ186" s="85" t="n"/>
      <c r="CA186" s="22" t="n"/>
      <c r="CB186" s="42">
        <f>IF(Tasks[[#This Row],[Task Name]]="","",MAX(1,N(Tasks[[#This Row],[Level]])))</f>
        <v/>
      </c>
      <c r="CC186" s="42">
        <f>ROW()-ROW(Tasks[[#Headers],[ID]])</f>
        <v/>
      </c>
      <c r="CD186" s="42">
        <f>IF(OR(Tasks[[#This Row],[Task Name]]="",Tasks[[#This Row],[_Level]]&lt;=1),0,IFERROR(LOOKUP(2,1/(Tasks[[#Headers],[_Level]]:Tasks[[#This Row],[_Level]]=Tasks[[#This Row],[_Level]]-1),ROW(Tasks[[#Headers],[_Level]]:Tasks[[#This Row],[_Level]])),0))</f>
        <v/>
      </c>
      <c r="CE186" s="42">
        <f>IFERROR(N(INDEX(Tasks[_Level],Tasks[[#This Row],[_Row]]+1)),0)</f>
        <v/>
      </c>
      <c r="CF186" s="42">
        <f>AND(Tasks[[#This Row],[Task Name]]&lt;&gt;"",Tasks[[#This Row],[_NextLevel]]&gt;Tasks[[#This Row],[_Level]])</f>
        <v/>
      </c>
      <c r="CG186" s="42">
        <f>IF(Tasks[[#This Row],[_IsSummary]],COUNTIF(Tasks[WBS],Tasks[[#This Row],[WBS]]&amp;".*"),0)</f>
        <v/>
      </c>
      <c r="CH186" s="42">
        <f>IF(AND(Tasks[[#This Row],[Task Name]]&lt;&gt;"",NOT(Tasks[[#This Row],[_IsSummary]])),1,0)</f>
        <v/>
      </c>
      <c r="CI186" s="42">
        <f>IF(N(Tasks[[#This Row],[_Pred1UID]])=0,0,IFERROR(MATCH(Tasks[[#This Row],[_Pred1UID]],Tasks[UID],0),-1))</f>
        <v/>
      </c>
      <c r="CJ186" s="42">
        <f>IF(N(Tasks[[#This Row],[_Pred2UID]])=0,0,IFERROR(MATCH(Tasks[[#This Row],[_Pred2UID]],Tasks[UID],0),-1))</f>
        <v/>
      </c>
      <c r="CK186" s="42">
        <f>IF(N(Tasks[[#This Row],[_Pred3UID]])=0,0,IFERROR(MATCH(Tasks[[#This Row],[_Pred3UID]],Tasks[UID],0),-1))</f>
        <v/>
      </c>
      <c r="CL186" s="42">
        <f>IF(N(Tasks[[#This Row],[_Pred4UID]])=0,0,IFERROR(MATCH(Tasks[[#This Row],[_Pred4UID]],Tasks[UID],0),-1))</f>
        <v/>
      </c>
      <c r="CM18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6" s="88">
        <f>IF(N(Tasks[[#This Row],[Constraint Date]])=0,0,IF(AND(OR(Tasks[[#This Row],[_ConstraintCode]]=3,Tasks[[#This Row],[_ConstraintCode]]=6,Tasks[[#This Row],[_ConstraintCode]]=7),N(Tasks[[#This Row],[_Days]])&gt;1),WORKDAY.INTL(N(Tasks[[#This Row],[Constraint Date]]),-(N(Tasks[[#This Row],[_Days]])-1),WorkWeek,Holidays),N(Tasks[[#This Row],[Constraint Date]])))</f>
        <v/>
      </c>
      <c r="CO186" s="88">
        <f>IF(OR(Tasks[[#This Row],[_ConstraintCode]]=2,Tasks[[#This Row],[_ConstraintCode]]=3,Tasks[[#This Row],[_ConstraintCode]]=4,Tasks[[#This Row],[_ConstraintCode]]=6),Tasks[[#This Row],[_ConstraintStart]],0)</f>
        <v/>
      </c>
      <c r="CP186" s="88">
        <f>IF(OR(Tasks[[#This Row],[_ConstraintCode]]=2,Tasks[[#This Row],[_ConstraintCode]]=3,Tasks[[#This Row],[_ConstraintCode]]=5,Tasks[[#This Row],[_ConstraintCode]]=7),Tasks[[#This Row],[_ConstraintStart]],2958465)</f>
        <v/>
      </c>
      <c r="CQ18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6" s="88">
        <f>IF(NOT(Tasks[[#This Row],[_IsLeaf]]=1),"",IF(N(Tasks[[#This Row],[_Days]])&lt;=0,Tasks[[#This Row],[_LeafCalcStart]],WORKDAY.INTL(Tasks[[#This Row],[_LeafCalcStart]],Tasks[[#This Row],[_Days]]-1,WorkWeek,Holidays)))</f>
        <v/>
      </c>
      <c r="CS18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6" s="42">
        <f>IF(Tasks[[#This Row],[_Predecessors]]="","",TRIM(MID(SUBSTITUTE(SUBSTITUTE(SUBSTITUTE(UPPER(Tasks[[#This Row],[_Predecessors]]),";",",")," ",""),",",REPT(" ",99)),1,99)))</f>
        <v/>
      </c>
      <c r="CV186" s="42">
        <f>IF(Tasks[[#This Row],[_Pred1Text]]="","",IFERROR(VALUE(LEFT(Tasks[[#This Row],[_Pred1Text]],MIN(FIND("F",Tasks[[#This Row],[_Pred1Text]]&amp;"F"),FIND("S",Tasks[[#This Row],[_Pred1Text]]&amp;"S"),FIND("+",Tasks[[#This Row],[_Pred1Text]]&amp;"+"),FIND("-",Tasks[[#This Row],[_Pred1Text]]&amp;"-"))-1)),""))</f>
        <v/>
      </c>
      <c r="CW18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6" s="42">
        <f>IF(Tasks[[#This Row],[_Pred1Text]]="","",TRIM(MID(SUBSTITUTE(SUBSTITUTE(SUBSTITUTE(UPPER(Tasks[[#This Row],[_Predecessors]]),";",",")," ",""),",",REPT(" ",99)),100,99)))</f>
        <v/>
      </c>
      <c r="CZ186" s="42">
        <f>IF(Tasks[[#This Row],[_Pred2Text]]="","",IFERROR(VALUE(LEFT(Tasks[[#This Row],[_Pred2Text]],MIN(FIND("F",Tasks[[#This Row],[_Pred2Text]]&amp;"F"),FIND("S",Tasks[[#This Row],[_Pred2Text]]&amp;"S"),FIND("+",Tasks[[#This Row],[_Pred2Text]]&amp;"+"),FIND("-",Tasks[[#This Row],[_Pred2Text]]&amp;"-"))-1)),""))</f>
        <v/>
      </c>
      <c r="DA18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6" s="42">
        <f>IF(Tasks[[#This Row],[_Pred2Text]]="","",TRIM(MID(SUBSTITUTE(SUBSTITUTE(SUBSTITUTE(UPPER(Tasks[[#This Row],[_Predecessors]]),";",",")," ",""),",",REPT(" ",99)),199,99)))</f>
        <v/>
      </c>
      <c r="DD186" s="42">
        <f>IF(Tasks[[#This Row],[_Pred3Text]]="","",IFERROR(VALUE(LEFT(Tasks[[#This Row],[_Pred3Text]],MIN(FIND("F",Tasks[[#This Row],[_Pred3Text]]&amp;"F"),FIND("S",Tasks[[#This Row],[_Pred3Text]]&amp;"S"),FIND("+",Tasks[[#This Row],[_Pred3Text]]&amp;"+"),FIND("-",Tasks[[#This Row],[_Pred3Text]]&amp;"-"))-1)),""))</f>
        <v/>
      </c>
      <c r="DE18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6" s="42">
        <f>IF(Tasks[[#This Row],[_Pred3Text]]="","",TRIM(MID(SUBSTITUTE(SUBSTITUTE(SUBSTITUTE(UPPER(Tasks[[#This Row],[_Predecessors]]),";",",")," ",""),",",REPT(" ",99)),298,99)))</f>
        <v/>
      </c>
      <c r="DH186" s="42">
        <f>IF(Tasks[[#This Row],[_Pred4Text]]="","",IFERROR(VALUE(LEFT(Tasks[[#This Row],[_Pred4Text]],MIN(FIND("F",Tasks[[#This Row],[_Pred4Text]]&amp;"F"),FIND("S",Tasks[[#This Row],[_Pred4Text]]&amp;"S"),FIND("+",Tasks[[#This Row],[_Pred4Text]]&amp;"+"),FIND("-",Tasks[[#This Row],[_Pred4Text]]&amp;"-"))-1)),""))</f>
        <v/>
      </c>
      <c r="DI18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6" s="42">
        <f>IF(OR(Tasks[[#This Row],[Task Name]]="",Tasks[[#This Row],[_Resources]]=""),"",TRIM(MID(SUBSTITUTE(Tasks[[#This Row],[_Resources]],",",REPT(" ",99)),1,99)))</f>
        <v/>
      </c>
      <c r="DL186" s="42">
        <f>IF(Tasks[[#This Row],[_Res1Text]]="","",TRIM(MID(SUBSTITUTE(Tasks[[#This Row],[_Resources]],",",REPT(" ",99)),100,99)))</f>
        <v/>
      </c>
      <c r="DM186" s="42">
        <f>IF(Tasks[[#This Row],[_Res2Text]]="","",TRIM(MID(SUBSTITUTE(Tasks[[#This Row],[_Resources]],",",REPT(" ",99)),199,99)))</f>
        <v/>
      </c>
      <c r="DN186" s="42">
        <f>IF(Tasks[[#This Row],[_Res3Text]]="","",TRIM(MID(SUBSTITUTE(Tasks[[#This Row],[_Resources]],",",REPT(" ",99)),298,99)))</f>
        <v/>
      </c>
      <c r="DO186" s="42">
        <f>IF(Tasks[[#This Row],[_Res1Text]]="",0,IFERROR(MATCH(TRIM(LEFT(Tasks[[#This Row],[_Res1Text]],FIND("[",Tasks[[#This Row],[_Res1Text]]&amp;"[")-1)),res_Name,0),IFERROR(MATCH(TRIM(LEFT(Tasks[[#This Row],[_Res1Text]],FIND("[",Tasks[[#This Row],[_Res1Text]]&amp;"[")-1)),res_Initials,0),0)))</f>
        <v/>
      </c>
      <c r="DP186" s="42">
        <f>IF(Tasks[[#This Row],[_Res2Text]]="",0,IFERROR(MATCH(TRIM(LEFT(Tasks[[#This Row],[_Res2Text]],FIND("[",Tasks[[#This Row],[_Res2Text]]&amp;"[")-1)),res_Name,0),IFERROR(MATCH(TRIM(LEFT(Tasks[[#This Row],[_Res2Text]],FIND("[",Tasks[[#This Row],[_Res2Text]]&amp;"[")-1)),res_Initials,0),0)))</f>
        <v/>
      </c>
      <c r="DQ186" s="42">
        <f>IF(Tasks[[#This Row],[_Res3Text]]="",0,IFERROR(MATCH(TRIM(LEFT(Tasks[[#This Row],[_Res3Text]],FIND("[",Tasks[[#This Row],[_Res3Text]]&amp;"[")-1)),res_Name,0),IFERROR(MATCH(TRIM(LEFT(Tasks[[#This Row],[_Res3Text]],FIND("[",Tasks[[#This Row],[_Res3Text]]&amp;"[")-1)),res_Initials,0),0)))</f>
        <v/>
      </c>
      <c r="DR186" s="42">
        <f>IF(Tasks[[#This Row],[_Res4Text]]="",0,IFERROR(MATCH(TRIM(LEFT(Tasks[[#This Row],[_Res4Text]],FIND("[",Tasks[[#This Row],[_Res4Text]]&amp;"[")-1)),res_Name,0),IFERROR(MATCH(TRIM(LEFT(Tasks[[#This Row],[_Res4Text]],FIND("[",Tasks[[#This Row],[_Res4Text]]&amp;"[")-1)),res_Initials,0),0)))</f>
        <v/>
      </c>
      <c r="DS186" s="42">
        <f>IF(Tasks[[#This Row],[_Res1Text]]="","",IF(Tasks[[#This Row],[_Res1Row]]&gt;0,INDEX(res_Name,Tasks[[#This Row],[_Res1Row]]),TRIM(LEFT(Tasks[[#This Row],[_Res1Text]],FIND("[",Tasks[[#This Row],[_Res1Text]]&amp;"[")-1))))</f>
        <v/>
      </c>
      <c r="DT18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6" s="42">
        <f>IF(NOT(Tasks[[#This Row],[_IsLeaf]]=1),0,(Tasks[[#This Row],[_Resource1]]&lt;&gt;"")+(Tasks[[#This Row],[_Res2]]&lt;&gt;"")+(Tasks[[#This Row],[_Res3]]&lt;&gt;"")+(Tasks[[#This Row],[_Res4]]&lt;&gt;""))</f>
        <v/>
      </c>
      <c r="DV186" s="42">
        <f>IF(Tasks[[#This Row],[_Res2Text]]="","",IF(Tasks[[#This Row],[_Res2Row]]&gt;0,INDEX(res_Name,Tasks[[#This Row],[_Res2Row]]),TRIM(LEFT(Tasks[[#This Row],[_Res2Text]],FIND("[",Tasks[[#This Row],[_Res2Text]]&amp;"[")-1))))</f>
        <v/>
      </c>
      <c r="DW18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6" s="42">
        <f>IF(OR(NOT(Tasks[[#This Row],[_IsLeaf]]=1),Tasks[[#This Row],[_Res2Row]]=0),0,N(Tasks[[#This Row],[_Days]])*HoursPerDay*IF(Tasks[[#This Row],[_Res2Units]]="",DefaultUnits,Tasks[[#This Row],[_Res2Units]]))</f>
        <v/>
      </c>
      <c r="DY186" s="42">
        <f>IF(AND(AND(Tasks[[#This Row],[_IsLeaf]]=1,Tasks[[#This Row],[_LeafTotalWork]]&gt;0),Tasks[[#This Row],[_Res2Work]]&gt;0),Tasks[[#This Row],[_Res2Work]]/(Tasks[[#This Row],[_FinishWorkday]]-Tasks[[#This Row],[_StartWorkday]]+1),0)</f>
        <v/>
      </c>
      <c r="DZ186" s="42">
        <f>Tasks[[#This Row],[_Res2WorkPerWD]]*MAX(0,Tasks[[#This Row],[_StartWorkday]]-1)</f>
        <v/>
      </c>
      <c r="EA186" s="42">
        <f>Tasks[[#This Row],[_Res2Work]]*Tasks[[#This Row],[_LeafProgress]]</f>
        <v/>
      </c>
      <c r="EB186" s="42">
        <f>IF(Tasks[[#This Row],[_Res3Text]]="","",IF(Tasks[[#This Row],[_Res3Row]]&gt;0,INDEX(res_Name,Tasks[[#This Row],[_Res3Row]]),TRIM(LEFT(Tasks[[#This Row],[_Res3Text]],FIND("[",Tasks[[#This Row],[_Res3Text]]&amp;"[")-1))))</f>
        <v/>
      </c>
      <c r="EC18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6" s="42">
        <f>IF(OR(NOT(Tasks[[#This Row],[_IsLeaf]]=1),Tasks[[#This Row],[_Res3Row]]=0),0,N(Tasks[[#This Row],[_Days]])*HoursPerDay*IF(Tasks[[#This Row],[_Res3Units]]="",DefaultUnits,Tasks[[#This Row],[_Res3Units]]))</f>
        <v/>
      </c>
      <c r="EE186" s="42">
        <f>IF(AND(AND(Tasks[[#This Row],[_IsLeaf]]=1,Tasks[[#This Row],[_LeafTotalWork]]&gt;0),Tasks[[#This Row],[_Res3Work]]&gt;0),Tasks[[#This Row],[_Res3Work]]/(Tasks[[#This Row],[_FinishWorkday]]-Tasks[[#This Row],[_StartWorkday]]+1),0)</f>
        <v/>
      </c>
      <c r="EF186" s="42">
        <f>Tasks[[#This Row],[_Res3WorkPerWD]]*MAX(0,Tasks[[#This Row],[_StartWorkday]]-1)</f>
        <v/>
      </c>
      <c r="EG186" s="42">
        <f>Tasks[[#This Row],[_Res3Work]]*Tasks[[#This Row],[_LeafProgress]]</f>
        <v/>
      </c>
      <c r="EH186" s="42">
        <f>IF(Tasks[[#This Row],[_Res4Text]]="","",IF(Tasks[[#This Row],[_Res4Row]]&gt;0,INDEX(res_Name,Tasks[[#This Row],[_Res4Row]]),TRIM(LEFT(Tasks[[#This Row],[_Res4Text]],FIND("[",Tasks[[#This Row],[_Res4Text]]&amp;"[")-1))))</f>
        <v/>
      </c>
      <c r="EI18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6" s="42">
        <f>IF(OR(NOT(Tasks[[#This Row],[_IsLeaf]]=1),Tasks[[#This Row],[_Res4Row]]=0),0,N(Tasks[[#This Row],[_Days]])*HoursPerDay*IF(Tasks[[#This Row],[_Res4Units]]="",DefaultUnits,Tasks[[#This Row],[_Res4Units]]))</f>
        <v/>
      </c>
      <c r="EK186" s="42">
        <f>IF(AND(AND(Tasks[[#This Row],[_IsLeaf]]=1,Tasks[[#This Row],[_LeafTotalWork]]&gt;0),Tasks[[#This Row],[_Res4Work]]&gt;0),Tasks[[#This Row],[_Res4Work]]/(Tasks[[#This Row],[_FinishWorkday]]-Tasks[[#This Row],[_StartWorkday]]+1),0)</f>
        <v/>
      </c>
      <c r="EL186" s="42">
        <f>Tasks[[#This Row],[_Res4WorkPerWD]]*MAX(0,Tasks[[#This Row],[_StartWorkday]]-1)</f>
        <v/>
      </c>
      <c r="EM186" s="42">
        <f>Tasks[[#This Row],[_Res4Work]]*Tasks[[#This Row],[_LeafProgress]]</f>
        <v/>
      </c>
      <c r="EN186" s="42">
        <f>IF(ISNUMBER(Tasks[[#This Row],[% Complete]]),Tasks[[#This Row],[% Complete]],IF(Tasks[[#This Row],[Stage]]="",0,IFERROR(INDEX(stg_Pct,MATCH(Tasks[[#This Row],[Stage]],stg_Name,0)),0)))</f>
        <v/>
      </c>
      <c r="EO186" s="42">
        <f>IF(NOT(Tasks[[#This Row],[_IsLeaf]]=1),0,IF(N(Tasks[[#This Row],[Actual Finish]])&gt;0,1,MIN(1,Tasks[[#This Row],[_Pct]])))</f>
        <v/>
      </c>
      <c r="EP186" s="42">
        <f>IF(OR(NOT(Tasks[[#This Row],[_IsLeaf]]=1),Tasks[[#This Row],[_Res1Row]]=0),0,N(Tasks[[#This Row],[_Days]])*HoursPerDay*IF(Tasks[[#This Row],[_Units1]]="",DefaultUnits,Tasks[[#This Row],[_Units1]]))</f>
        <v/>
      </c>
      <c r="EQ186" s="42">
        <f>Tasks[[#This Row],[_LeafWork]]+Tasks[[#This Row],[_Res2Work]]+Tasks[[#This Row],[_Res3Work]]+Tasks[[#This Row],[_Res4Work]]</f>
        <v/>
      </c>
      <c r="ER18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6" s="42">
        <f>IF(NOT(Tasks[[#This Row],[_IsLeaf]]=1),0,MAX(_xlfn.MAXIFS(Tasks[_Row],Tasks[_Pred1UID],Tasks[[#This Row],[UID]]),_xlfn.MAXIFS(Tasks[_Row],Tasks[_Pred2UID],Tasks[[#This Row],[UID]]),_xlfn.MAXIFS(Tasks[_Row],Tasks[_Pred3UID],Tasks[[#This Row],[UID]]),_xlfn.MAXIFS(Tasks[_Row],Tasks[_Pred4UID],Tasks[[#This Row],[UID]])))</f>
        <v/>
      </c>
      <c r="FA18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6" s="88">
        <f>IF(NOT(Tasks[[#This Row],[_IsLeaf]]=1),"",IF(N(Tasks[[#This Row],[_Days]])&lt;=0,Tasks[[#This Row],[_LeafLateFinish]],WORKDAY.INTL(Tasks[[#This Row],[_LeafLateFinish]],-(Tasks[[#This Row],[_Days]]-1),WorkWeek,Holidays)))</f>
        <v/>
      </c>
      <c r="FD18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6" s="42">
        <f>AND(Tasks[[#This Row],[_IsLeaf]]=1,Tasks[[#This Row],[_LeafProgress]]&lt;1,N(Tasks[[#This Row],[_LeafTotalSlack]])&lt;=CriticalSlackDays)</f>
        <v/>
      </c>
      <c r="FF186" s="42">
        <f>IF(AND(Tasks[[#This Row],[_IsLeaf]]=1,Tasks[[#This Row],[_ConstraintCode]]=1,Tasks[[#This Row],[Mode]]&lt;&gt;"Manual",N(Tasks[[#This Row],[Actual Start]])=0),MAX(0,N(Tasks[[#This Row],[Free Slack]])),0)</f>
        <v/>
      </c>
      <c r="FG186" s="88">
        <f>IF(NOT(Tasks[[#This Row],[_IsLeaf]]=1),"",IF(Tasks[[#This Row],[_AlapShift]]=0,Tasks[[#This Row],[_LeafCalcStart]],WORKDAY.INTL(Tasks[[#This Row],[_LeafCalcStart]],Tasks[[#This Row],[_AlapShift]],WorkWeek,Holidays)))</f>
        <v/>
      </c>
      <c r="FH186" s="88">
        <f>IF(NOT(Tasks[[#This Row],[_IsLeaf]]=1),"",IF(Tasks[[#This Row],[_AlapShift]]=0,Tasks[[#This Row],[_LeafCalcFinish]],WORKDAY.INTL(Tasks[[#This Row],[_LeafCalcFinish]],Tasks[[#This Row],[_AlapShift]],WorkWeek,Holidays)))</f>
        <v/>
      </c>
      <c r="FI186" s="88">
        <f>IF(NOT(Tasks[[#This Row],[_IsLeaf]]=1),"",IF(Tasks[[#This Row],[_AlapShift]]=0,Tasks[[#This Row],[_LeafFcstStart]],WORKDAY.INTL(Tasks[[#This Row],[_LeafFcstStart]],Tasks[[#This Row],[_AlapShift]],WorkWeek,Holidays)))</f>
        <v/>
      </c>
      <c r="FJ186" s="88">
        <f>IF(NOT(Tasks[[#This Row],[_IsLeaf]]=1),"",IF(Tasks[[#This Row],[_AlapShift]]=0,Tasks[[#This Row],[_LeafFcstFinish]],WORKDAY.INTL(Tasks[[#This Row],[_LeafFcstFinish]],Tasks[[#This Row],[_AlapShift]],WorkWeek,Holidays)))</f>
        <v/>
      </c>
      <c r="FK186" s="88">
        <f>IF(Tasks[[#This Row],[Task Name]]="","",IF(Tasks[[#This Row],[_IsSummary]],MIN(INDEX(Tasks[_ShownCalcStart],Tasks[[#This Row],[_Row]]+1):INDEX(Tasks[_ShownCalcStart],Tasks[[#This Row],[_Row]]+Tasks[[#This Row],[_Descendants]])),Tasks[[#This Row],[_ShownCalcStart]]))</f>
        <v/>
      </c>
      <c r="FL186" s="88">
        <f>IF(Tasks[[#This Row],[Task Name]]="","",IF(Tasks[[#This Row],[_IsSummary]],MAX(INDEX(Tasks[_ShownCalcFinish],Tasks[[#This Row],[_Row]]+1):INDEX(Tasks[_ShownCalcFinish],Tasks[[#This Row],[_Row]]+Tasks[[#This Row],[_Descendants]])),Tasks[[#This Row],[_ShownCalcFinish]]))</f>
        <v/>
      </c>
      <c r="FM18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6" s="42">
        <f>IF(AND(Tasks[[#This Row],[_IsLeaf]]=1,Tasks[[#This Row],[_LeafTotalWork]]&gt;0),NETWORKDAYS.INTL(ProjectStart,Tasks[[#This Row],[_ShownFcstStart]],WorkWeek,Holidays),0)</f>
        <v/>
      </c>
      <c r="FZ186" s="42">
        <f>IF(AND(Tasks[[#This Row],[_IsLeaf]]=1,Tasks[[#This Row],[_LeafTotalWork]]&gt;0),MAX(Tasks[[#This Row],[_StartWorkday]],NETWORKDAYS.INTL(ProjectStart,Tasks[[#This Row],[_ShownFcstFinish]],WorkWeek,Holidays)),0)</f>
        <v/>
      </c>
      <c r="GA186" s="42">
        <f>IF(AND(Tasks[[#This Row],[_IsLeaf]]=1,Tasks[[#This Row],[_LeafTotalWork]]&gt;0),Tasks[[#This Row],[_LeafWork]]/(Tasks[[#This Row],[_FinishWorkday]]-Tasks[[#This Row],[_StartWorkday]]+1),0)</f>
        <v/>
      </c>
      <c r="GB186" s="42">
        <f>Tasks[[#This Row],[_WorkPerWorkday]]*(Tasks[[#This Row],[_StartWorkday]]-1)</f>
        <v/>
      </c>
      <c r="GC186" s="42">
        <f>IF(Tasks[[#This Row],[_IsLeaf]]=1,MAX(N(Tasks[[#This Row],[_Days]]),0.1),0)</f>
        <v/>
      </c>
      <c r="GD186" s="42">
        <f>Tasks[[#This Row],[_WeightDur]]*Tasks[[#This Row],[_LeafProgress]]</f>
        <v/>
      </c>
      <c r="GE186" s="42">
        <f>Tasks[[#This Row],[_WeightDur]]*Tasks[[#This Row],[_PlannedPct]]</f>
        <v/>
      </c>
      <c r="GF18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6" s="42">
        <f>IF(AND(Tasks[[#This Row],[_IsLeaf]]=1,N(Tasks[[#This Row],[_Days]])=0,Tasks[[#This Row],[_LeafProgress]]&lt;1),Tasks[[#This Row],[_ShownFcstFinish]]+Tasks[[#This Row],[_Row]]/100000,"")</f>
        <v/>
      </c>
      <c r="GH18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6" s="42">
        <f>IF(Tasks[[#This Row],[Task Name]]="","",LEFT(Tasks[[#This Row],[WBS]],FIND(".",Tasks[[#This Row],[WBS]]&amp;".")-1))</f>
        <v/>
      </c>
      <c r="GJ186" s="42">
        <f>IF(AND(Tasks[[#This Row],[Task Name]]&lt;&gt;"",Tasks[[#This Row],[_Level]]=1),Tasks[[#This Row],[_Row]],"")</f>
        <v/>
      </c>
      <c r="GK186" s="42">
        <f>IF(AND(Tasks[[#This Row],[_IsLeaf]]=1,N(Tasks[[#This Row],[_Days]])=0),Tasks[[#This Row],[Planned Finish]]+Tasks[[#This Row],[_Row]]/100000,"")</f>
        <v/>
      </c>
      <c r="GL186" s="42">
        <f>IF(AND(Tasks[[#This Row],[_IsLeaf]]=1,Tasks[[#This Row],[_LeafProgress]]&lt;1,OR(N(Tasks[[#This Row],[Finish Var]])&gt;0,Tasks[[#This Row],[Status]]="Late Start")),MAX(0,Tasks[[#This Row],[Finish Var]])+1-Tasks[[#This Row],[_Row]]/1000000,"")</f>
        <v/>
      </c>
      <c r="GM186" s="42">
        <f>IF(AND(Tasks[[#This Row],[_IsLeaf]]=1,N(Tasks[[#This Row],[Actual Start]])=0,Tasks[[#This Row],[_ShownFcstStart]]&gt;=StatusDate,Tasks[[#This Row],[_ShownFcstStart]]&lt;=LookaheadEnd),Tasks[[#This Row],[_ShownFcstStart]]+Tasks[[#This Row],[_Row]]/100000,"")</f>
        <v/>
      </c>
      <c r="GN186" s="42">
        <f>IF(AND(Tasks[[#This Row],[_IsLeaf]]=1,Tasks[[#This Row],[_LeafProgress]]&lt;1,Tasks[[#This Row],[_ShownFcstFinish]]&gt;=StatusDate,Tasks[[#This Row],[_ShownFcstFinish]]&lt;=LookaheadEnd),Tasks[[#This Row],[_ShownFcstFinish]]+Tasks[[#This Row],[_Row]]/100000,"")</f>
        <v/>
      </c>
      <c r="GO186" s="42">
        <f>IF(Tasks[[#This Row],[_LeafCritical]],Tasks[[#This Row],[_ShownFcstStart]]+Tasks[[#This Row],[_Row]]/100000,"")</f>
        <v/>
      </c>
      <c r="GP186" s="42">
        <f>Tasks[[#This Row],[_LeafWork]]*Tasks[[#This Row],[_LeafProgress]]</f>
        <v/>
      </c>
      <c r="GQ186" s="88">
        <f>IF(AND(Tasks[[#This Row],[_IsLeaf]]=1,Tasks[[#This Row],[_LeafProgress]]&gt;=1),IF(N(Tasks[[#This Row],[Actual Finish]])&gt;0,Tasks[[#This Row],[Actual Finish]],Tasks[[#This Row],[_ShownFcstFinish]]),"")</f>
        <v/>
      </c>
      <c r="GR186" s="42">
        <f>IF(Tasks[[#This Row],[_IsLeaf]]=1,N(Tasks[[#This Row],[Story Points]]),0)</f>
        <v/>
      </c>
      <c r="GS186" s="42">
        <f>""</f>
        <v/>
      </c>
      <c r="GT186" s="42">
        <f>IF(Tasks[[#This Row],[Task Name]]="",FALSE(),AND(Tasks[[#This Row],[_IsLeaf]]=1,N(Tasks[[#This Row],[_Days]])=0))</f>
        <v/>
      </c>
      <c r="GU186" s="88">
        <f>IF(Tasks[[#This Row],[Task Name]]="",0,IF(AND(Tasks[[#This Row],[_IsLeaf]]=1,NOT(Tasks[[#This Row],[_IsMilestone]]),N(Tasks[[#This Row],[Progress]])&gt;0),Tasks[[#This Row],[Start]],0))</f>
        <v/>
      </c>
      <c r="GV186" s="88">
        <f>IF(Tasks[[#This Row],[_DoneFrom]]=0,0,IF(Tasks[[#This Row],[Progress]]&gt;=1,Tasks[[#This Row],[Finish]],MAX(Tasks[[#This Row],[_DoneFrom]],Tasks[[#This Row],[Start]]+ROUND((Tasks[[#This Row],[Finish]]-Tasks[[#This Row],[Start]]+1)*Tasks[[#This Row],[Progress]],0)-1)))</f>
        <v/>
      </c>
      <c r="GW186" s="88">
        <f>IF(Tasks[[#This Row],[Task Name]]="",0,IF(OR(NOT(Tasks[[#This Row],[_IsLeaf]]=1),Tasks[[#This Row],[_IsMilestone]],N(Tasks[[#This Row],[Progress]])&gt;=1),0,IF(Tasks[[#This Row],[_DoneTo]]&gt;0,Tasks[[#This Row],[_DoneTo]]+1,Tasks[[#This Row],[Start]])))</f>
        <v/>
      </c>
      <c r="GX186" s="88">
        <f>IF(Tasks[[#This Row],[_RemFrom]]=0,0,Tasks[[#This Row],[Finish]])</f>
        <v/>
      </c>
      <c r="GY186" s="42">
        <f>IF(Tasks[[#This Row],[Task Name]]="",FALSE(),OR(NOT(BaselineSet),N(Tasks[[#This Row],[Baseline Start]])&gt;0))</f>
        <v/>
      </c>
      <c r="GZ186" s="42">
        <f>IF(AND(Sandbox="Yes",L_PARSE_DURATION(Tasks[[#This Row],[Sandbox Duration]])&lt;&gt;""),L_PARSE_DURATION(Tasks[[#This Row],[Sandbox Duration]]),L_PARSE_DURATION(Tasks[[#This Row],[Duration]]))</f>
        <v/>
      </c>
      <c r="HA18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6" s="42">
        <f>IF(Tasks[[#This Row],[_IsLeaf]]=1,Tasks[[#This Row],[_Row]],"")</f>
        <v/>
      </c>
      <c r="HD186" s="42">
        <f>IFERROR(INDEX(Tasks[UID],SMALL(Tasks[_PickKey],Tasks[[#This Row],[_Row]]))&amp;" "&amp;INDEX(Tasks[Task Name],SMALL(Tasks[_PickKey],Tasks[[#This Row],[_Row]])),"")</f>
        <v/>
      </c>
      <c r="HE186" s="42">
        <f>IF(Tasks[[#This Row],[Task Name]]="","",IF(Tasks[[#This Row],[_IsSummary]],NETWORKDAYS.INTL(Tasks[[#This Row],[Start]],Tasks[[#This Row],[Finish]],WorkWeek,Holidays),N(Tasks[[#This Row],[_Days]])))</f>
        <v/>
      </c>
      <c r="HF186" s="42">
        <f>IF(Tasks[[#This Row],[Expected]]="",0,((Tasks[[#This Row],[Pessimistic]]-Tasks[[#This Row],[Optimistic]])/6)^2)</f>
        <v/>
      </c>
      <c r="HG186" s="42">
        <f>IF(Tasks[[#This Row],[Expected]]="",0,Tasks[[#This Row],[Expected]]-N(Tasks[[#This Row],[_Days]]))</f>
        <v/>
      </c>
    </row>
    <row r="187">
      <c r="A187" s="21">
        <f>IF(Tasks[[#This Row],[Task Name]]="","",COUNTA(Tasks[[#Headers],[Task Name]]:Tasks[[#This Row],[Task Name]])-1)</f>
        <v/>
      </c>
      <c r="B187" s="22" t="n">
        <v>195</v>
      </c>
      <c r="C187" s="22" t="n"/>
      <c r="D187" s="23" t="n"/>
      <c r="E187" s="22" t="n"/>
      <c r="F187" s="23" t="n"/>
      <c r="G187" s="22" t="n"/>
      <c r="H187" s="22" t="n"/>
      <c r="I187" s="23" t="n"/>
      <c r="J187" s="22" t="n"/>
      <c r="K187" s="22" t="n"/>
      <c r="L187" s="23" t="n"/>
      <c r="M187" s="22" t="n"/>
      <c r="N187" s="22" t="n"/>
      <c r="O187" s="23" t="n"/>
      <c r="P187" s="22" t="n"/>
      <c r="Q187" s="22" t="n"/>
      <c r="R187" s="23" t="n"/>
      <c r="S187" s="23" t="n"/>
      <c r="T187" s="82" t="n"/>
      <c r="U187" s="23" t="n"/>
      <c r="V187" s="82" t="n"/>
      <c r="W187" s="23" t="n"/>
      <c r="X187" s="82" t="n"/>
      <c r="Y187" s="23" t="n"/>
      <c r="Z187" s="82" t="n"/>
      <c r="AA187" s="23" t="n"/>
      <c r="AB187" s="23" t="n"/>
      <c r="AC187" s="7" t="n"/>
      <c r="AD187" s="7" t="n"/>
      <c r="AE187" s="61">
        <f>IF(Tasks[[#This Row],[Task Name]]="","",IF(Tasks[[#This Row],[_IsSummary]],MIN(INDEX(Tasks[_ShownFcstStart],Tasks[[#This Row],[_Row]]+1):INDEX(Tasks[_ShownFcstStart],Tasks[[#This Row],[_Row]]+Tasks[[#This Row],[_Descendants]])),Tasks[[#This Row],[_ShownFcstStart]]))</f>
        <v/>
      </c>
      <c r="AF187" s="61">
        <f>IF(Tasks[[#This Row],[Task Name]]="","",IF(Tasks[[#This Row],[_IsSummary]],MAX(INDEX(Tasks[_ShownFcstFinish],Tasks[[#This Row],[_Row]]+1):INDEX(Tasks[_ShownFcstFinish],Tasks[[#This Row],[_Row]]+Tasks[[#This Row],[_Descendants]])),Tasks[[#This Row],[_ShownFcstFinish]]))</f>
        <v/>
      </c>
      <c r="AG187" s="21">
        <f>""</f>
        <v/>
      </c>
      <c r="AH187" s="23" t="n"/>
      <c r="AI18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7" s="7" t="n"/>
      <c r="AK187" s="22" t="n"/>
      <c r="AL187" s="23" t="n"/>
      <c r="AM187" s="7" t="n"/>
      <c r="AN187" s="21">
        <f>IF(Tasks[[#This Row],[Task Name]]="","",IF(Tasks[[#This Row],[Finish]]&gt;=Tasks[[#This Row],[Planned Finish]],NETWORKDAYS.INTL(Tasks[[#This Row],[Planned Finish]],Tasks[[#This Row],[Finish]],WorkWeek,Holidays)-1,1-NETWORKDAYS.INTL(Tasks[[#This Row],[Finish]],Tasks[[#This Row],[Planned Finish]],WorkWeek,Holidays)))</f>
        <v/>
      </c>
      <c r="AO187" s="21">
        <f>IF(Tasks[[#This Row],[Task Name]]="","",IF(Tasks[[#This Row],[Progress]]&gt;=1,"Complete",IF(OR(N(Tasks[[#This Row],[Actual Start]])&gt;0,Tasks[[#This Row],[Progress]]&gt;0),IF(Tasks[[#This Row],[Finish Var]]&gt;0,"Behind","In Progress"),IF(Tasks[[#This Row],[Planned Start]]&lt;StatusDate,"Late Start","Not Started"))))</f>
        <v/>
      </c>
      <c r="AP187" s="21">
        <f>IF(Tasks[[#This Row],[Task Name]]="","",IF(IF(Tasks[[#This Row],[_IsSummary]],COUNTIF(INDEX(Tasks[_LeafCritical],Tasks[[#This Row],[_Row]]+1):INDEX(Tasks[_LeafCritical],Tasks[[#This Row],[_Row]]+Tasks[[#This Row],[_Descendants]]),TRUE())&gt;0,Tasks[[#This Row],[_LeafCritical]]),"Yes",""))</f>
        <v/>
      </c>
      <c r="AQ187" s="61">
        <f>IF(Tasks[[#This Row],[Task Name]]="","",IF(N(Tasks[[#This Row],[Baseline Start]])&gt;0,Tasks[[#This Row],[Baseline Start]],Tasks[[#This Row],[_CalcStart]]))</f>
        <v/>
      </c>
      <c r="AR187" s="61">
        <f>IF(Tasks[[#This Row],[Task Name]]="","",IF(N(Tasks[[#This Row],[Baseline Finish]])&gt;0,Tasks[[#This Row],[Baseline Finish]],Tasks[[#This Row],[_CalcFinish]]))</f>
        <v/>
      </c>
      <c r="AS187" s="21">
        <f>IF(Tasks[[#This Row],[Task Name]]="","",IF(Tasks[[#This Row],[Start]]&gt;=Tasks[[#This Row],[Planned Start]],NETWORKDAYS.INTL(Tasks[[#This Row],[Planned Start]],Tasks[[#This Row],[Start]],WorkWeek,Holidays)-1,1-NETWORKDAYS.INTL(Tasks[[#This Row],[Start]],Tasks[[#This Row],[Planned Start]],WorkWeek,Holidays)))</f>
        <v/>
      </c>
      <c r="AT187" s="61">
        <f>IF(Tasks[[#This Row],[Task Name]]="","",IF(Tasks[[#This Row],[_IsSummary]],MIN(INDEX(Tasks[_LeafLateStart],Tasks[[#This Row],[_Row]]+1):INDEX(Tasks[_LeafLateStart],Tasks[[#This Row],[_Row]]+Tasks[[#This Row],[_Descendants]])),Tasks[[#This Row],[_LeafLateStart]]))</f>
        <v/>
      </c>
      <c r="AU187" s="61">
        <f>IF(Tasks[[#This Row],[Task Name]]="","",IF(Tasks[[#This Row],[_IsSummary]],MAX(INDEX(Tasks[_LeafLateFinish],Tasks[[#This Row],[_Row]]+1):INDEX(Tasks[_LeafLateFinish],Tasks[[#This Row],[_Row]]+Tasks[[#This Row],[_Descendants]])),Tasks[[#This Row],[_LeafLateFinish]]))</f>
        <v/>
      </c>
      <c r="AV187" s="21">
        <f>IF(Tasks[[#This Row],[Task Name]]="","",IF(Tasks[[#This Row],[_IsSummary]],MIN(INDEX(Tasks[_LeafTotalSlack],Tasks[[#This Row],[_Row]]+1):INDEX(Tasks[_LeafTotalSlack],Tasks[[#This Row],[_Row]]+Tasks[[#This Row],[_Descendants]])),Tasks[[#This Row],[_LeafTotalSlack]]))</f>
        <v/>
      </c>
      <c r="AW18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3" t="n"/>
      <c r="BA18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f>IF(Tasks[[#This Row],[Task Name]]="","",IF(Tasks[[#This Row],[_Level]]&lt;=OutlineShowLevel,"Yes","No"))</f>
        <v/>
      </c>
      <c r="BE187" s="84">
        <f>IF(Tasks[[#This Row],[Task Name]]="","",IF(Tasks[[#This Row],[_IsSummary]],SUM(INDEX(Tasks[_LeafTotalWork],Tasks[[#This Row],[_Row]]+1):INDEX(Tasks[_LeafTotalWork],Tasks[[#This Row],[_Row]]+Tasks[[#This Row],[_Descendants]])),Tasks[[#This Row],[_LeafTotalWork]]))</f>
        <v/>
      </c>
      <c r="BF187" s="23" t="n"/>
      <c r="BG18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f>""</f>
        <v/>
      </c>
      <c r="BI187" s="85" t="n"/>
      <c r="BJ187" s="22" t="n"/>
      <c r="BK187" s="21">
        <f>IF(OR(Tasks[[#This Row],[Task Name]]="",Tasks[[#This Row],[Baseline Duration]]=""),"",Tasks[[#This Row],[_SpanDays]]-N(Tasks[[#This Row],[Baseline Duration]]))</f>
        <v/>
      </c>
      <c r="BL187" s="84">
        <f>IF(OR(Tasks[[#This Row],[Task Name]]="",Tasks[[#This Row],[Baseline Work]]=""),"",Tasks[[#This Row],[Work]]-N(Tasks[[#This Row],[Baseline Work]]))</f>
        <v/>
      </c>
      <c r="BM187" s="61">
        <f>IF(Tasks[[#This Row],[Task Name]]="","",IF(OR(TakeBaseline="Yes",N(Tasks[[#This Row],[Baseline Start]])=0),Tasks[[#This Row],[Start]],Tasks[[#This Row],[Baseline Start]]))</f>
        <v/>
      </c>
      <c r="BN187" s="61">
        <f>IF(Tasks[[#This Row],[Task Name]]="","",IF(OR(TakeBaseline="Yes",N(Tasks[[#This Row],[Baseline Finish]])=0),Tasks[[#This Row],[Finish]],Tasks[[#This Row],[Baseline Finish]]))</f>
        <v/>
      </c>
      <c r="BO187" s="21">
        <f>IF(Tasks[[#This Row],[Task Name]]="","",IF(OR(TakeBaseline="Yes",N(Tasks[[#This Row],[Baseline Duration]])=0),Tasks[[#This Row],[_SpanDays]],Tasks[[#This Row],[Baseline Duration]]))</f>
        <v/>
      </c>
      <c r="BP187" s="84">
        <f>IF(Tasks[[#This Row],[Task Name]]="","",IF(OR(TakeBaseline="Yes",N(Tasks[[#This Row],[Baseline Work]])=0),Tasks[[#This Row],[Work]],Tasks[[#This Row],[Baseline Work]]))</f>
        <v/>
      </c>
      <c r="BQ187" s="7" t="n"/>
      <c r="BR187" s="7" t="n"/>
      <c r="BS187" s="22" t="n"/>
      <c r="BT187" s="86" t="n"/>
      <c r="BU187" s="23" t="n"/>
      <c r="BV187" s="23" t="n"/>
      <c r="BW187" s="23" t="n"/>
      <c r="BX187" s="87">
        <f>IF(AND(Tasks[[#This Row],[_IsLeaf]]=1,ISNUMBER(Tasks[[#This Row],[Optimistic]]),ISNUMBER(Tasks[[#This Row],[Pessimistic]])),ROUND((Tasks[[#This Row],[Optimistic]]+4*N(Tasks[[#This Row],[_Days]])+Tasks[[#This Row],[Pessimistic]])/6,1),"")</f>
        <v/>
      </c>
      <c r="BY187" s="85" t="n"/>
      <c r="BZ187" s="85" t="n"/>
      <c r="CA187" s="22" t="n"/>
      <c r="CB187" s="42">
        <f>IF(Tasks[[#This Row],[Task Name]]="","",MAX(1,N(Tasks[[#This Row],[Level]])))</f>
        <v/>
      </c>
      <c r="CC187" s="42">
        <f>ROW()-ROW(Tasks[[#Headers],[ID]])</f>
        <v/>
      </c>
      <c r="CD187" s="42">
        <f>IF(OR(Tasks[[#This Row],[Task Name]]="",Tasks[[#This Row],[_Level]]&lt;=1),0,IFERROR(LOOKUP(2,1/(Tasks[[#Headers],[_Level]]:Tasks[[#This Row],[_Level]]=Tasks[[#This Row],[_Level]]-1),ROW(Tasks[[#Headers],[_Level]]:Tasks[[#This Row],[_Level]])),0))</f>
        <v/>
      </c>
      <c r="CE187" s="42">
        <f>IFERROR(N(INDEX(Tasks[_Level],Tasks[[#This Row],[_Row]]+1)),0)</f>
        <v/>
      </c>
      <c r="CF187" s="42">
        <f>AND(Tasks[[#This Row],[Task Name]]&lt;&gt;"",Tasks[[#This Row],[_NextLevel]]&gt;Tasks[[#This Row],[_Level]])</f>
        <v/>
      </c>
      <c r="CG187" s="42">
        <f>IF(Tasks[[#This Row],[_IsSummary]],COUNTIF(Tasks[WBS],Tasks[[#This Row],[WBS]]&amp;".*"),0)</f>
        <v/>
      </c>
      <c r="CH187" s="42">
        <f>IF(AND(Tasks[[#This Row],[Task Name]]&lt;&gt;"",NOT(Tasks[[#This Row],[_IsSummary]])),1,0)</f>
        <v/>
      </c>
      <c r="CI187" s="42">
        <f>IF(N(Tasks[[#This Row],[_Pred1UID]])=0,0,IFERROR(MATCH(Tasks[[#This Row],[_Pred1UID]],Tasks[UID],0),-1))</f>
        <v/>
      </c>
      <c r="CJ187" s="42">
        <f>IF(N(Tasks[[#This Row],[_Pred2UID]])=0,0,IFERROR(MATCH(Tasks[[#This Row],[_Pred2UID]],Tasks[UID],0),-1))</f>
        <v/>
      </c>
      <c r="CK187" s="42">
        <f>IF(N(Tasks[[#This Row],[_Pred3UID]])=0,0,IFERROR(MATCH(Tasks[[#This Row],[_Pred3UID]],Tasks[UID],0),-1))</f>
        <v/>
      </c>
      <c r="CL187" s="42">
        <f>IF(N(Tasks[[#This Row],[_Pred4UID]])=0,0,IFERROR(MATCH(Tasks[[#This Row],[_Pred4UID]],Tasks[UID],0),-1))</f>
        <v/>
      </c>
      <c r="CM18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7" s="88">
        <f>IF(N(Tasks[[#This Row],[Constraint Date]])=0,0,IF(AND(OR(Tasks[[#This Row],[_ConstraintCode]]=3,Tasks[[#This Row],[_ConstraintCode]]=6,Tasks[[#This Row],[_ConstraintCode]]=7),N(Tasks[[#This Row],[_Days]])&gt;1),WORKDAY.INTL(N(Tasks[[#This Row],[Constraint Date]]),-(N(Tasks[[#This Row],[_Days]])-1),WorkWeek,Holidays),N(Tasks[[#This Row],[Constraint Date]])))</f>
        <v/>
      </c>
      <c r="CO187" s="88">
        <f>IF(OR(Tasks[[#This Row],[_ConstraintCode]]=2,Tasks[[#This Row],[_ConstraintCode]]=3,Tasks[[#This Row],[_ConstraintCode]]=4,Tasks[[#This Row],[_ConstraintCode]]=6),Tasks[[#This Row],[_ConstraintStart]],0)</f>
        <v/>
      </c>
      <c r="CP187" s="88">
        <f>IF(OR(Tasks[[#This Row],[_ConstraintCode]]=2,Tasks[[#This Row],[_ConstraintCode]]=3,Tasks[[#This Row],[_ConstraintCode]]=5,Tasks[[#This Row],[_ConstraintCode]]=7),Tasks[[#This Row],[_ConstraintStart]],2958465)</f>
        <v/>
      </c>
      <c r="CQ18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7" s="88">
        <f>IF(NOT(Tasks[[#This Row],[_IsLeaf]]=1),"",IF(N(Tasks[[#This Row],[_Days]])&lt;=0,Tasks[[#This Row],[_LeafCalcStart]],WORKDAY.INTL(Tasks[[#This Row],[_LeafCalcStart]],Tasks[[#This Row],[_Days]]-1,WorkWeek,Holidays)))</f>
        <v/>
      </c>
      <c r="CS18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7" s="42">
        <f>IF(Tasks[[#This Row],[_Predecessors]]="","",TRIM(MID(SUBSTITUTE(SUBSTITUTE(SUBSTITUTE(UPPER(Tasks[[#This Row],[_Predecessors]]),";",",")," ",""),",",REPT(" ",99)),1,99)))</f>
        <v/>
      </c>
      <c r="CV187" s="42">
        <f>IF(Tasks[[#This Row],[_Pred1Text]]="","",IFERROR(VALUE(LEFT(Tasks[[#This Row],[_Pred1Text]],MIN(FIND("F",Tasks[[#This Row],[_Pred1Text]]&amp;"F"),FIND("S",Tasks[[#This Row],[_Pred1Text]]&amp;"S"),FIND("+",Tasks[[#This Row],[_Pred1Text]]&amp;"+"),FIND("-",Tasks[[#This Row],[_Pred1Text]]&amp;"-"))-1)),""))</f>
        <v/>
      </c>
      <c r="CW18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7" s="42">
        <f>IF(Tasks[[#This Row],[_Pred1Text]]="","",TRIM(MID(SUBSTITUTE(SUBSTITUTE(SUBSTITUTE(UPPER(Tasks[[#This Row],[_Predecessors]]),";",",")," ",""),",",REPT(" ",99)),100,99)))</f>
        <v/>
      </c>
      <c r="CZ187" s="42">
        <f>IF(Tasks[[#This Row],[_Pred2Text]]="","",IFERROR(VALUE(LEFT(Tasks[[#This Row],[_Pred2Text]],MIN(FIND("F",Tasks[[#This Row],[_Pred2Text]]&amp;"F"),FIND("S",Tasks[[#This Row],[_Pred2Text]]&amp;"S"),FIND("+",Tasks[[#This Row],[_Pred2Text]]&amp;"+"),FIND("-",Tasks[[#This Row],[_Pred2Text]]&amp;"-"))-1)),""))</f>
        <v/>
      </c>
      <c r="DA18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7" s="42">
        <f>IF(Tasks[[#This Row],[_Pred2Text]]="","",TRIM(MID(SUBSTITUTE(SUBSTITUTE(SUBSTITUTE(UPPER(Tasks[[#This Row],[_Predecessors]]),";",",")," ",""),",",REPT(" ",99)),199,99)))</f>
        <v/>
      </c>
      <c r="DD187" s="42">
        <f>IF(Tasks[[#This Row],[_Pred3Text]]="","",IFERROR(VALUE(LEFT(Tasks[[#This Row],[_Pred3Text]],MIN(FIND("F",Tasks[[#This Row],[_Pred3Text]]&amp;"F"),FIND("S",Tasks[[#This Row],[_Pred3Text]]&amp;"S"),FIND("+",Tasks[[#This Row],[_Pred3Text]]&amp;"+"),FIND("-",Tasks[[#This Row],[_Pred3Text]]&amp;"-"))-1)),""))</f>
        <v/>
      </c>
      <c r="DE18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7" s="42">
        <f>IF(Tasks[[#This Row],[_Pred3Text]]="","",TRIM(MID(SUBSTITUTE(SUBSTITUTE(SUBSTITUTE(UPPER(Tasks[[#This Row],[_Predecessors]]),";",",")," ",""),",",REPT(" ",99)),298,99)))</f>
        <v/>
      </c>
      <c r="DH187" s="42">
        <f>IF(Tasks[[#This Row],[_Pred4Text]]="","",IFERROR(VALUE(LEFT(Tasks[[#This Row],[_Pred4Text]],MIN(FIND("F",Tasks[[#This Row],[_Pred4Text]]&amp;"F"),FIND("S",Tasks[[#This Row],[_Pred4Text]]&amp;"S"),FIND("+",Tasks[[#This Row],[_Pred4Text]]&amp;"+"),FIND("-",Tasks[[#This Row],[_Pred4Text]]&amp;"-"))-1)),""))</f>
        <v/>
      </c>
      <c r="DI18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7" s="42">
        <f>IF(OR(Tasks[[#This Row],[Task Name]]="",Tasks[[#This Row],[_Resources]]=""),"",TRIM(MID(SUBSTITUTE(Tasks[[#This Row],[_Resources]],",",REPT(" ",99)),1,99)))</f>
        <v/>
      </c>
      <c r="DL187" s="42">
        <f>IF(Tasks[[#This Row],[_Res1Text]]="","",TRIM(MID(SUBSTITUTE(Tasks[[#This Row],[_Resources]],",",REPT(" ",99)),100,99)))</f>
        <v/>
      </c>
      <c r="DM187" s="42">
        <f>IF(Tasks[[#This Row],[_Res2Text]]="","",TRIM(MID(SUBSTITUTE(Tasks[[#This Row],[_Resources]],",",REPT(" ",99)),199,99)))</f>
        <v/>
      </c>
      <c r="DN187" s="42">
        <f>IF(Tasks[[#This Row],[_Res3Text]]="","",TRIM(MID(SUBSTITUTE(Tasks[[#This Row],[_Resources]],",",REPT(" ",99)),298,99)))</f>
        <v/>
      </c>
      <c r="DO187" s="42">
        <f>IF(Tasks[[#This Row],[_Res1Text]]="",0,IFERROR(MATCH(TRIM(LEFT(Tasks[[#This Row],[_Res1Text]],FIND("[",Tasks[[#This Row],[_Res1Text]]&amp;"[")-1)),res_Name,0),IFERROR(MATCH(TRIM(LEFT(Tasks[[#This Row],[_Res1Text]],FIND("[",Tasks[[#This Row],[_Res1Text]]&amp;"[")-1)),res_Initials,0),0)))</f>
        <v/>
      </c>
      <c r="DP187" s="42">
        <f>IF(Tasks[[#This Row],[_Res2Text]]="",0,IFERROR(MATCH(TRIM(LEFT(Tasks[[#This Row],[_Res2Text]],FIND("[",Tasks[[#This Row],[_Res2Text]]&amp;"[")-1)),res_Name,0),IFERROR(MATCH(TRIM(LEFT(Tasks[[#This Row],[_Res2Text]],FIND("[",Tasks[[#This Row],[_Res2Text]]&amp;"[")-1)),res_Initials,0),0)))</f>
        <v/>
      </c>
      <c r="DQ187" s="42">
        <f>IF(Tasks[[#This Row],[_Res3Text]]="",0,IFERROR(MATCH(TRIM(LEFT(Tasks[[#This Row],[_Res3Text]],FIND("[",Tasks[[#This Row],[_Res3Text]]&amp;"[")-1)),res_Name,0),IFERROR(MATCH(TRIM(LEFT(Tasks[[#This Row],[_Res3Text]],FIND("[",Tasks[[#This Row],[_Res3Text]]&amp;"[")-1)),res_Initials,0),0)))</f>
        <v/>
      </c>
      <c r="DR187" s="42">
        <f>IF(Tasks[[#This Row],[_Res4Text]]="",0,IFERROR(MATCH(TRIM(LEFT(Tasks[[#This Row],[_Res4Text]],FIND("[",Tasks[[#This Row],[_Res4Text]]&amp;"[")-1)),res_Name,0),IFERROR(MATCH(TRIM(LEFT(Tasks[[#This Row],[_Res4Text]],FIND("[",Tasks[[#This Row],[_Res4Text]]&amp;"[")-1)),res_Initials,0),0)))</f>
        <v/>
      </c>
      <c r="DS187" s="42">
        <f>IF(Tasks[[#This Row],[_Res1Text]]="","",IF(Tasks[[#This Row],[_Res1Row]]&gt;0,INDEX(res_Name,Tasks[[#This Row],[_Res1Row]]),TRIM(LEFT(Tasks[[#This Row],[_Res1Text]],FIND("[",Tasks[[#This Row],[_Res1Text]]&amp;"[")-1))))</f>
        <v/>
      </c>
      <c r="DT18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7" s="42">
        <f>IF(NOT(Tasks[[#This Row],[_IsLeaf]]=1),0,(Tasks[[#This Row],[_Resource1]]&lt;&gt;"")+(Tasks[[#This Row],[_Res2]]&lt;&gt;"")+(Tasks[[#This Row],[_Res3]]&lt;&gt;"")+(Tasks[[#This Row],[_Res4]]&lt;&gt;""))</f>
        <v/>
      </c>
      <c r="DV187" s="42">
        <f>IF(Tasks[[#This Row],[_Res2Text]]="","",IF(Tasks[[#This Row],[_Res2Row]]&gt;0,INDEX(res_Name,Tasks[[#This Row],[_Res2Row]]),TRIM(LEFT(Tasks[[#This Row],[_Res2Text]],FIND("[",Tasks[[#This Row],[_Res2Text]]&amp;"[")-1))))</f>
        <v/>
      </c>
      <c r="DW18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7" s="42">
        <f>IF(OR(NOT(Tasks[[#This Row],[_IsLeaf]]=1),Tasks[[#This Row],[_Res2Row]]=0),0,N(Tasks[[#This Row],[_Days]])*HoursPerDay*IF(Tasks[[#This Row],[_Res2Units]]="",DefaultUnits,Tasks[[#This Row],[_Res2Units]]))</f>
        <v/>
      </c>
      <c r="DY187" s="42">
        <f>IF(AND(AND(Tasks[[#This Row],[_IsLeaf]]=1,Tasks[[#This Row],[_LeafTotalWork]]&gt;0),Tasks[[#This Row],[_Res2Work]]&gt;0),Tasks[[#This Row],[_Res2Work]]/(Tasks[[#This Row],[_FinishWorkday]]-Tasks[[#This Row],[_StartWorkday]]+1),0)</f>
        <v/>
      </c>
      <c r="DZ187" s="42">
        <f>Tasks[[#This Row],[_Res2WorkPerWD]]*MAX(0,Tasks[[#This Row],[_StartWorkday]]-1)</f>
        <v/>
      </c>
      <c r="EA187" s="42">
        <f>Tasks[[#This Row],[_Res2Work]]*Tasks[[#This Row],[_LeafProgress]]</f>
        <v/>
      </c>
      <c r="EB187" s="42">
        <f>IF(Tasks[[#This Row],[_Res3Text]]="","",IF(Tasks[[#This Row],[_Res3Row]]&gt;0,INDEX(res_Name,Tasks[[#This Row],[_Res3Row]]),TRIM(LEFT(Tasks[[#This Row],[_Res3Text]],FIND("[",Tasks[[#This Row],[_Res3Text]]&amp;"[")-1))))</f>
        <v/>
      </c>
      <c r="EC18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7" s="42">
        <f>IF(OR(NOT(Tasks[[#This Row],[_IsLeaf]]=1),Tasks[[#This Row],[_Res3Row]]=0),0,N(Tasks[[#This Row],[_Days]])*HoursPerDay*IF(Tasks[[#This Row],[_Res3Units]]="",DefaultUnits,Tasks[[#This Row],[_Res3Units]]))</f>
        <v/>
      </c>
      <c r="EE187" s="42">
        <f>IF(AND(AND(Tasks[[#This Row],[_IsLeaf]]=1,Tasks[[#This Row],[_LeafTotalWork]]&gt;0),Tasks[[#This Row],[_Res3Work]]&gt;0),Tasks[[#This Row],[_Res3Work]]/(Tasks[[#This Row],[_FinishWorkday]]-Tasks[[#This Row],[_StartWorkday]]+1),0)</f>
        <v/>
      </c>
      <c r="EF187" s="42">
        <f>Tasks[[#This Row],[_Res3WorkPerWD]]*MAX(0,Tasks[[#This Row],[_StartWorkday]]-1)</f>
        <v/>
      </c>
      <c r="EG187" s="42">
        <f>Tasks[[#This Row],[_Res3Work]]*Tasks[[#This Row],[_LeafProgress]]</f>
        <v/>
      </c>
      <c r="EH187" s="42">
        <f>IF(Tasks[[#This Row],[_Res4Text]]="","",IF(Tasks[[#This Row],[_Res4Row]]&gt;0,INDEX(res_Name,Tasks[[#This Row],[_Res4Row]]),TRIM(LEFT(Tasks[[#This Row],[_Res4Text]],FIND("[",Tasks[[#This Row],[_Res4Text]]&amp;"[")-1))))</f>
        <v/>
      </c>
      <c r="EI18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7" s="42">
        <f>IF(OR(NOT(Tasks[[#This Row],[_IsLeaf]]=1),Tasks[[#This Row],[_Res4Row]]=0),0,N(Tasks[[#This Row],[_Days]])*HoursPerDay*IF(Tasks[[#This Row],[_Res4Units]]="",DefaultUnits,Tasks[[#This Row],[_Res4Units]]))</f>
        <v/>
      </c>
      <c r="EK187" s="42">
        <f>IF(AND(AND(Tasks[[#This Row],[_IsLeaf]]=1,Tasks[[#This Row],[_LeafTotalWork]]&gt;0),Tasks[[#This Row],[_Res4Work]]&gt;0),Tasks[[#This Row],[_Res4Work]]/(Tasks[[#This Row],[_FinishWorkday]]-Tasks[[#This Row],[_StartWorkday]]+1),0)</f>
        <v/>
      </c>
      <c r="EL187" s="42">
        <f>Tasks[[#This Row],[_Res4WorkPerWD]]*MAX(0,Tasks[[#This Row],[_StartWorkday]]-1)</f>
        <v/>
      </c>
      <c r="EM187" s="42">
        <f>Tasks[[#This Row],[_Res4Work]]*Tasks[[#This Row],[_LeafProgress]]</f>
        <v/>
      </c>
      <c r="EN187" s="42">
        <f>IF(ISNUMBER(Tasks[[#This Row],[% Complete]]),Tasks[[#This Row],[% Complete]],IF(Tasks[[#This Row],[Stage]]="",0,IFERROR(INDEX(stg_Pct,MATCH(Tasks[[#This Row],[Stage]],stg_Name,0)),0)))</f>
        <v/>
      </c>
      <c r="EO187" s="42">
        <f>IF(NOT(Tasks[[#This Row],[_IsLeaf]]=1),0,IF(N(Tasks[[#This Row],[Actual Finish]])&gt;0,1,MIN(1,Tasks[[#This Row],[_Pct]])))</f>
        <v/>
      </c>
      <c r="EP187" s="42">
        <f>IF(OR(NOT(Tasks[[#This Row],[_IsLeaf]]=1),Tasks[[#This Row],[_Res1Row]]=0),0,N(Tasks[[#This Row],[_Days]])*HoursPerDay*IF(Tasks[[#This Row],[_Units1]]="",DefaultUnits,Tasks[[#This Row],[_Units1]]))</f>
        <v/>
      </c>
      <c r="EQ187" s="42">
        <f>Tasks[[#This Row],[_LeafWork]]+Tasks[[#This Row],[_Res2Work]]+Tasks[[#This Row],[_Res3Work]]+Tasks[[#This Row],[_Res4Work]]</f>
        <v/>
      </c>
      <c r="ER18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7" s="42">
        <f>IF(NOT(Tasks[[#This Row],[_IsLeaf]]=1),0,MAX(_xlfn.MAXIFS(Tasks[_Row],Tasks[_Pred1UID],Tasks[[#This Row],[UID]]),_xlfn.MAXIFS(Tasks[_Row],Tasks[_Pred2UID],Tasks[[#This Row],[UID]]),_xlfn.MAXIFS(Tasks[_Row],Tasks[_Pred3UID],Tasks[[#This Row],[UID]]),_xlfn.MAXIFS(Tasks[_Row],Tasks[_Pred4UID],Tasks[[#This Row],[UID]])))</f>
        <v/>
      </c>
      <c r="FA18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7" s="88">
        <f>IF(NOT(Tasks[[#This Row],[_IsLeaf]]=1),"",IF(N(Tasks[[#This Row],[_Days]])&lt;=0,Tasks[[#This Row],[_LeafLateFinish]],WORKDAY.INTL(Tasks[[#This Row],[_LeafLateFinish]],-(Tasks[[#This Row],[_Days]]-1),WorkWeek,Holidays)))</f>
        <v/>
      </c>
      <c r="FD18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7" s="42">
        <f>AND(Tasks[[#This Row],[_IsLeaf]]=1,Tasks[[#This Row],[_LeafProgress]]&lt;1,N(Tasks[[#This Row],[_LeafTotalSlack]])&lt;=CriticalSlackDays)</f>
        <v/>
      </c>
      <c r="FF187" s="42">
        <f>IF(AND(Tasks[[#This Row],[_IsLeaf]]=1,Tasks[[#This Row],[_ConstraintCode]]=1,Tasks[[#This Row],[Mode]]&lt;&gt;"Manual",N(Tasks[[#This Row],[Actual Start]])=0),MAX(0,N(Tasks[[#This Row],[Free Slack]])),0)</f>
        <v/>
      </c>
      <c r="FG187" s="88">
        <f>IF(NOT(Tasks[[#This Row],[_IsLeaf]]=1),"",IF(Tasks[[#This Row],[_AlapShift]]=0,Tasks[[#This Row],[_LeafCalcStart]],WORKDAY.INTL(Tasks[[#This Row],[_LeafCalcStart]],Tasks[[#This Row],[_AlapShift]],WorkWeek,Holidays)))</f>
        <v/>
      </c>
      <c r="FH187" s="88">
        <f>IF(NOT(Tasks[[#This Row],[_IsLeaf]]=1),"",IF(Tasks[[#This Row],[_AlapShift]]=0,Tasks[[#This Row],[_LeafCalcFinish]],WORKDAY.INTL(Tasks[[#This Row],[_LeafCalcFinish]],Tasks[[#This Row],[_AlapShift]],WorkWeek,Holidays)))</f>
        <v/>
      </c>
      <c r="FI187" s="88">
        <f>IF(NOT(Tasks[[#This Row],[_IsLeaf]]=1),"",IF(Tasks[[#This Row],[_AlapShift]]=0,Tasks[[#This Row],[_LeafFcstStart]],WORKDAY.INTL(Tasks[[#This Row],[_LeafFcstStart]],Tasks[[#This Row],[_AlapShift]],WorkWeek,Holidays)))</f>
        <v/>
      </c>
      <c r="FJ187" s="88">
        <f>IF(NOT(Tasks[[#This Row],[_IsLeaf]]=1),"",IF(Tasks[[#This Row],[_AlapShift]]=0,Tasks[[#This Row],[_LeafFcstFinish]],WORKDAY.INTL(Tasks[[#This Row],[_LeafFcstFinish]],Tasks[[#This Row],[_AlapShift]],WorkWeek,Holidays)))</f>
        <v/>
      </c>
      <c r="FK187" s="88">
        <f>IF(Tasks[[#This Row],[Task Name]]="","",IF(Tasks[[#This Row],[_IsSummary]],MIN(INDEX(Tasks[_ShownCalcStart],Tasks[[#This Row],[_Row]]+1):INDEX(Tasks[_ShownCalcStart],Tasks[[#This Row],[_Row]]+Tasks[[#This Row],[_Descendants]])),Tasks[[#This Row],[_ShownCalcStart]]))</f>
        <v/>
      </c>
      <c r="FL187" s="88">
        <f>IF(Tasks[[#This Row],[Task Name]]="","",IF(Tasks[[#This Row],[_IsSummary]],MAX(INDEX(Tasks[_ShownCalcFinish],Tasks[[#This Row],[_Row]]+1):INDEX(Tasks[_ShownCalcFinish],Tasks[[#This Row],[_Row]]+Tasks[[#This Row],[_Descendants]])),Tasks[[#This Row],[_ShownCalcFinish]]))</f>
        <v/>
      </c>
      <c r="FM18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7" s="42">
        <f>IF(AND(Tasks[[#This Row],[_IsLeaf]]=1,Tasks[[#This Row],[_LeafTotalWork]]&gt;0),NETWORKDAYS.INTL(ProjectStart,Tasks[[#This Row],[_ShownFcstStart]],WorkWeek,Holidays),0)</f>
        <v/>
      </c>
      <c r="FZ187" s="42">
        <f>IF(AND(Tasks[[#This Row],[_IsLeaf]]=1,Tasks[[#This Row],[_LeafTotalWork]]&gt;0),MAX(Tasks[[#This Row],[_StartWorkday]],NETWORKDAYS.INTL(ProjectStart,Tasks[[#This Row],[_ShownFcstFinish]],WorkWeek,Holidays)),0)</f>
        <v/>
      </c>
      <c r="GA187" s="42">
        <f>IF(AND(Tasks[[#This Row],[_IsLeaf]]=1,Tasks[[#This Row],[_LeafTotalWork]]&gt;0),Tasks[[#This Row],[_LeafWork]]/(Tasks[[#This Row],[_FinishWorkday]]-Tasks[[#This Row],[_StartWorkday]]+1),0)</f>
        <v/>
      </c>
      <c r="GB187" s="42">
        <f>Tasks[[#This Row],[_WorkPerWorkday]]*(Tasks[[#This Row],[_StartWorkday]]-1)</f>
        <v/>
      </c>
      <c r="GC187" s="42">
        <f>IF(Tasks[[#This Row],[_IsLeaf]]=1,MAX(N(Tasks[[#This Row],[_Days]]),0.1),0)</f>
        <v/>
      </c>
      <c r="GD187" s="42">
        <f>Tasks[[#This Row],[_WeightDur]]*Tasks[[#This Row],[_LeafProgress]]</f>
        <v/>
      </c>
      <c r="GE187" s="42">
        <f>Tasks[[#This Row],[_WeightDur]]*Tasks[[#This Row],[_PlannedPct]]</f>
        <v/>
      </c>
      <c r="GF18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7" s="42">
        <f>IF(AND(Tasks[[#This Row],[_IsLeaf]]=1,N(Tasks[[#This Row],[_Days]])=0,Tasks[[#This Row],[_LeafProgress]]&lt;1),Tasks[[#This Row],[_ShownFcstFinish]]+Tasks[[#This Row],[_Row]]/100000,"")</f>
        <v/>
      </c>
      <c r="GH18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7" s="42">
        <f>IF(Tasks[[#This Row],[Task Name]]="","",LEFT(Tasks[[#This Row],[WBS]],FIND(".",Tasks[[#This Row],[WBS]]&amp;".")-1))</f>
        <v/>
      </c>
      <c r="GJ187" s="42">
        <f>IF(AND(Tasks[[#This Row],[Task Name]]&lt;&gt;"",Tasks[[#This Row],[_Level]]=1),Tasks[[#This Row],[_Row]],"")</f>
        <v/>
      </c>
      <c r="GK187" s="42">
        <f>IF(AND(Tasks[[#This Row],[_IsLeaf]]=1,N(Tasks[[#This Row],[_Days]])=0),Tasks[[#This Row],[Planned Finish]]+Tasks[[#This Row],[_Row]]/100000,"")</f>
        <v/>
      </c>
      <c r="GL187" s="42">
        <f>IF(AND(Tasks[[#This Row],[_IsLeaf]]=1,Tasks[[#This Row],[_LeafProgress]]&lt;1,OR(N(Tasks[[#This Row],[Finish Var]])&gt;0,Tasks[[#This Row],[Status]]="Late Start")),MAX(0,Tasks[[#This Row],[Finish Var]])+1-Tasks[[#This Row],[_Row]]/1000000,"")</f>
        <v/>
      </c>
      <c r="GM187" s="42">
        <f>IF(AND(Tasks[[#This Row],[_IsLeaf]]=1,N(Tasks[[#This Row],[Actual Start]])=0,Tasks[[#This Row],[_ShownFcstStart]]&gt;=StatusDate,Tasks[[#This Row],[_ShownFcstStart]]&lt;=LookaheadEnd),Tasks[[#This Row],[_ShownFcstStart]]+Tasks[[#This Row],[_Row]]/100000,"")</f>
        <v/>
      </c>
      <c r="GN187" s="42">
        <f>IF(AND(Tasks[[#This Row],[_IsLeaf]]=1,Tasks[[#This Row],[_LeafProgress]]&lt;1,Tasks[[#This Row],[_ShownFcstFinish]]&gt;=StatusDate,Tasks[[#This Row],[_ShownFcstFinish]]&lt;=LookaheadEnd),Tasks[[#This Row],[_ShownFcstFinish]]+Tasks[[#This Row],[_Row]]/100000,"")</f>
        <v/>
      </c>
      <c r="GO187" s="42">
        <f>IF(Tasks[[#This Row],[_LeafCritical]],Tasks[[#This Row],[_ShownFcstStart]]+Tasks[[#This Row],[_Row]]/100000,"")</f>
        <v/>
      </c>
      <c r="GP187" s="42">
        <f>Tasks[[#This Row],[_LeafWork]]*Tasks[[#This Row],[_LeafProgress]]</f>
        <v/>
      </c>
      <c r="GQ187" s="88">
        <f>IF(AND(Tasks[[#This Row],[_IsLeaf]]=1,Tasks[[#This Row],[_LeafProgress]]&gt;=1),IF(N(Tasks[[#This Row],[Actual Finish]])&gt;0,Tasks[[#This Row],[Actual Finish]],Tasks[[#This Row],[_ShownFcstFinish]]),"")</f>
        <v/>
      </c>
      <c r="GR187" s="42">
        <f>IF(Tasks[[#This Row],[_IsLeaf]]=1,N(Tasks[[#This Row],[Story Points]]),0)</f>
        <v/>
      </c>
      <c r="GS187" s="42">
        <f>""</f>
        <v/>
      </c>
      <c r="GT187" s="42">
        <f>IF(Tasks[[#This Row],[Task Name]]="",FALSE(),AND(Tasks[[#This Row],[_IsLeaf]]=1,N(Tasks[[#This Row],[_Days]])=0))</f>
        <v/>
      </c>
      <c r="GU187" s="88">
        <f>IF(Tasks[[#This Row],[Task Name]]="",0,IF(AND(Tasks[[#This Row],[_IsLeaf]]=1,NOT(Tasks[[#This Row],[_IsMilestone]]),N(Tasks[[#This Row],[Progress]])&gt;0),Tasks[[#This Row],[Start]],0))</f>
        <v/>
      </c>
      <c r="GV187" s="88">
        <f>IF(Tasks[[#This Row],[_DoneFrom]]=0,0,IF(Tasks[[#This Row],[Progress]]&gt;=1,Tasks[[#This Row],[Finish]],MAX(Tasks[[#This Row],[_DoneFrom]],Tasks[[#This Row],[Start]]+ROUND((Tasks[[#This Row],[Finish]]-Tasks[[#This Row],[Start]]+1)*Tasks[[#This Row],[Progress]],0)-1)))</f>
        <v/>
      </c>
      <c r="GW187" s="88">
        <f>IF(Tasks[[#This Row],[Task Name]]="",0,IF(OR(NOT(Tasks[[#This Row],[_IsLeaf]]=1),Tasks[[#This Row],[_IsMilestone]],N(Tasks[[#This Row],[Progress]])&gt;=1),0,IF(Tasks[[#This Row],[_DoneTo]]&gt;0,Tasks[[#This Row],[_DoneTo]]+1,Tasks[[#This Row],[Start]])))</f>
        <v/>
      </c>
      <c r="GX187" s="88">
        <f>IF(Tasks[[#This Row],[_RemFrom]]=0,0,Tasks[[#This Row],[Finish]])</f>
        <v/>
      </c>
      <c r="GY187" s="42">
        <f>IF(Tasks[[#This Row],[Task Name]]="",FALSE(),OR(NOT(BaselineSet),N(Tasks[[#This Row],[Baseline Start]])&gt;0))</f>
        <v/>
      </c>
      <c r="GZ187" s="42">
        <f>IF(AND(Sandbox="Yes",L_PARSE_DURATION(Tasks[[#This Row],[Sandbox Duration]])&lt;&gt;""),L_PARSE_DURATION(Tasks[[#This Row],[Sandbox Duration]]),L_PARSE_DURATION(Tasks[[#This Row],[Duration]]))</f>
        <v/>
      </c>
      <c r="HA18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7" s="42">
        <f>IF(Tasks[[#This Row],[_IsLeaf]]=1,Tasks[[#This Row],[_Row]],"")</f>
        <v/>
      </c>
      <c r="HD187" s="42">
        <f>IFERROR(INDEX(Tasks[UID],SMALL(Tasks[_PickKey],Tasks[[#This Row],[_Row]]))&amp;" "&amp;INDEX(Tasks[Task Name],SMALL(Tasks[_PickKey],Tasks[[#This Row],[_Row]])),"")</f>
        <v/>
      </c>
      <c r="HE187" s="42">
        <f>IF(Tasks[[#This Row],[Task Name]]="","",IF(Tasks[[#This Row],[_IsSummary]],NETWORKDAYS.INTL(Tasks[[#This Row],[Start]],Tasks[[#This Row],[Finish]],WorkWeek,Holidays),N(Tasks[[#This Row],[_Days]])))</f>
        <v/>
      </c>
      <c r="HF187" s="42">
        <f>IF(Tasks[[#This Row],[Expected]]="",0,((Tasks[[#This Row],[Pessimistic]]-Tasks[[#This Row],[Optimistic]])/6)^2)</f>
        <v/>
      </c>
      <c r="HG187" s="42">
        <f>IF(Tasks[[#This Row],[Expected]]="",0,Tasks[[#This Row],[Expected]]-N(Tasks[[#This Row],[_Days]]))</f>
        <v/>
      </c>
    </row>
    <row r="188">
      <c r="A188" s="21">
        <f>IF(Tasks[[#This Row],[Task Name]]="","",COUNTA(Tasks[[#Headers],[Task Name]]:Tasks[[#This Row],[Task Name]])-1)</f>
        <v/>
      </c>
      <c r="B188" s="22" t="n">
        <v>196</v>
      </c>
      <c r="C188" s="22" t="n"/>
      <c r="D188" s="23" t="n"/>
      <c r="E188" s="22" t="n"/>
      <c r="F188" s="23" t="n"/>
      <c r="G188" s="22" t="n"/>
      <c r="H188" s="22" t="n"/>
      <c r="I188" s="23" t="n"/>
      <c r="J188" s="22" t="n"/>
      <c r="K188" s="22" t="n"/>
      <c r="L188" s="23" t="n"/>
      <c r="M188" s="22" t="n"/>
      <c r="N188" s="22" t="n"/>
      <c r="O188" s="23" t="n"/>
      <c r="P188" s="22" t="n"/>
      <c r="Q188" s="22" t="n"/>
      <c r="R188" s="23" t="n"/>
      <c r="S188" s="23" t="n"/>
      <c r="T188" s="82" t="n"/>
      <c r="U188" s="23" t="n"/>
      <c r="V188" s="82" t="n"/>
      <c r="W188" s="23" t="n"/>
      <c r="X188" s="82" t="n"/>
      <c r="Y188" s="23" t="n"/>
      <c r="Z188" s="82" t="n"/>
      <c r="AA188" s="23" t="n"/>
      <c r="AB188" s="23" t="n"/>
      <c r="AC188" s="7" t="n"/>
      <c r="AD188" s="7" t="n"/>
      <c r="AE188" s="61">
        <f>IF(Tasks[[#This Row],[Task Name]]="","",IF(Tasks[[#This Row],[_IsSummary]],MIN(INDEX(Tasks[_ShownFcstStart],Tasks[[#This Row],[_Row]]+1):INDEX(Tasks[_ShownFcstStart],Tasks[[#This Row],[_Row]]+Tasks[[#This Row],[_Descendants]])),Tasks[[#This Row],[_ShownFcstStart]]))</f>
        <v/>
      </c>
      <c r="AF188" s="61">
        <f>IF(Tasks[[#This Row],[Task Name]]="","",IF(Tasks[[#This Row],[_IsSummary]],MAX(INDEX(Tasks[_ShownFcstFinish],Tasks[[#This Row],[_Row]]+1):INDEX(Tasks[_ShownFcstFinish],Tasks[[#This Row],[_Row]]+Tasks[[#This Row],[_Descendants]])),Tasks[[#This Row],[_ShownFcstFinish]]))</f>
        <v/>
      </c>
      <c r="AG188" s="21">
        <f>""</f>
        <v/>
      </c>
      <c r="AH188" s="23" t="n"/>
      <c r="AI18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8" s="7" t="n"/>
      <c r="AK188" s="22" t="n"/>
      <c r="AL188" s="23" t="n"/>
      <c r="AM188" s="7" t="n"/>
      <c r="AN188" s="21">
        <f>IF(Tasks[[#This Row],[Task Name]]="","",IF(Tasks[[#This Row],[Finish]]&gt;=Tasks[[#This Row],[Planned Finish]],NETWORKDAYS.INTL(Tasks[[#This Row],[Planned Finish]],Tasks[[#This Row],[Finish]],WorkWeek,Holidays)-1,1-NETWORKDAYS.INTL(Tasks[[#This Row],[Finish]],Tasks[[#This Row],[Planned Finish]],WorkWeek,Holidays)))</f>
        <v/>
      </c>
      <c r="AO188" s="21">
        <f>IF(Tasks[[#This Row],[Task Name]]="","",IF(Tasks[[#This Row],[Progress]]&gt;=1,"Complete",IF(OR(N(Tasks[[#This Row],[Actual Start]])&gt;0,Tasks[[#This Row],[Progress]]&gt;0),IF(Tasks[[#This Row],[Finish Var]]&gt;0,"Behind","In Progress"),IF(Tasks[[#This Row],[Planned Start]]&lt;StatusDate,"Late Start","Not Started"))))</f>
        <v/>
      </c>
      <c r="AP188" s="21">
        <f>IF(Tasks[[#This Row],[Task Name]]="","",IF(IF(Tasks[[#This Row],[_IsSummary]],COUNTIF(INDEX(Tasks[_LeafCritical],Tasks[[#This Row],[_Row]]+1):INDEX(Tasks[_LeafCritical],Tasks[[#This Row],[_Row]]+Tasks[[#This Row],[_Descendants]]),TRUE())&gt;0,Tasks[[#This Row],[_LeafCritical]]),"Yes",""))</f>
        <v/>
      </c>
      <c r="AQ188" s="61">
        <f>IF(Tasks[[#This Row],[Task Name]]="","",IF(N(Tasks[[#This Row],[Baseline Start]])&gt;0,Tasks[[#This Row],[Baseline Start]],Tasks[[#This Row],[_CalcStart]]))</f>
        <v/>
      </c>
      <c r="AR188" s="61">
        <f>IF(Tasks[[#This Row],[Task Name]]="","",IF(N(Tasks[[#This Row],[Baseline Finish]])&gt;0,Tasks[[#This Row],[Baseline Finish]],Tasks[[#This Row],[_CalcFinish]]))</f>
        <v/>
      </c>
      <c r="AS188" s="21">
        <f>IF(Tasks[[#This Row],[Task Name]]="","",IF(Tasks[[#This Row],[Start]]&gt;=Tasks[[#This Row],[Planned Start]],NETWORKDAYS.INTL(Tasks[[#This Row],[Planned Start]],Tasks[[#This Row],[Start]],WorkWeek,Holidays)-1,1-NETWORKDAYS.INTL(Tasks[[#This Row],[Start]],Tasks[[#This Row],[Planned Start]],WorkWeek,Holidays)))</f>
        <v/>
      </c>
      <c r="AT188" s="61">
        <f>IF(Tasks[[#This Row],[Task Name]]="","",IF(Tasks[[#This Row],[_IsSummary]],MIN(INDEX(Tasks[_LeafLateStart],Tasks[[#This Row],[_Row]]+1):INDEX(Tasks[_LeafLateStart],Tasks[[#This Row],[_Row]]+Tasks[[#This Row],[_Descendants]])),Tasks[[#This Row],[_LeafLateStart]]))</f>
        <v/>
      </c>
      <c r="AU188" s="61">
        <f>IF(Tasks[[#This Row],[Task Name]]="","",IF(Tasks[[#This Row],[_IsSummary]],MAX(INDEX(Tasks[_LeafLateFinish],Tasks[[#This Row],[_Row]]+1):INDEX(Tasks[_LeafLateFinish],Tasks[[#This Row],[_Row]]+Tasks[[#This Row],[_Descendants]])),Tasks[[#This Row],[_LeafLateFinish]]))</f>
        <v/>
      </c>
      <c r="AV188" s="21">
        <f>IF(Tasks[[#This Row],[Task Name]]="","",IF(Tasks[[#This Row],[_IsSummary]],MIN(INDEX(Tasks[_LeafTotalSlack],Tasks[[#This Row],[_Row]]+1):INDEX(Tasks[_LeafTotalSlack],Tasks[[#This Row],[_Row]]+Tasks[[#This Row],[_Descendants]])),Tasks[[#This Row],[_LeafTotalSlack]]))</f>
        <v/>
      </c>
      <c r="AW18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3" t="n"/>
      <c r="BA18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f>IF(Tasks[[#This Row],[Task Name]]="","",IF(Tasks[[#This Row],[_Level]]&lt;=OutlineShowLevel,"Yes","No"))</f>
        <v/>
      </c>
      <c r="BE188" s="84">
        <f>IF(Tasks[[#This Row],[Task Name]]="","",IF(Tasks[[#This Row],[_IsSummary]],SUM(INDEX(Tasks[_LeafTotalWork],Tasks[[#This Row],[_Row]]+1):INDEX(Tasks[_LeafTotalWork],Tasks[[#This Row],[_Row]]+Tasks[[#This Row],[_Descendants]])),Tasks[[#This Row],[_LeafTotalWork]]))</f>
        <v/>
      </c>
      <c r="BF188" s="23" t="n"/>
      <c r="BG18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f>""</f>
        <v/>
      </c>
      <c r="BI188" s="85" t="n"/>
      <c r="BJ188" s="22" t="n"/>
      <c r="BK188" s="21">
        <f>IF(OR(Tasks[[#This Row],[Task Name]]="",Tasks[[#This Row],[Baseline Duration]]=""),"",Tasks[[#This Row],[_SpanDays]]-N(Tasks[[#This Row],[Baseline Duration]]))</f>
        <v/>
      </c>
      <c r="BL188" s="84">
        <f>IF(OR(Tasks[[#This Row],[Task Name]]="",Tasks[[#This Row],[Baseline Work]]=""),"",Tasks[[#This Row],[Work]]-N(Tasks[[#This Row],[Baseline Work]]))</f>
        <v/>
      </c>
      <c r="BM188" s="61">
        <f>IF(Tasks[[#This Row],[Task Name]]="","",IF(OR(TakeBaseline="Yes",N(Tasks[[#This Row],[Baseline Start]])=0),Tasks[[#This Row],[Start]],Tasks[[#This Row],[Baseline Start]]))</f>
        <v/>
      </c>
      <c r="BN188" s="61">
        <f>IF(Tasks[[#This Row],[Task Name]]="","",IF(OR(TakeBaseline="Yes",N(Tasks[[#This Row],[Baseline Finish]])=0),Tasks[[#This Row],[Finish]],Tasks[[#This Row],[Baseline Finish]]))</f>
        <v/>
      </c>
      <c r="BO188" s="21">
        <f>IF(Tasks[[#This Row],[Task Name]]="","",IF(OR(TakeBaseline="Yes",N(Tasks[[#This Row],[Baseline Duration]])=0),Tasks[[#This Row],[_SpanDays]],Tasks[[#This Row],[Baseline Duration]]))</f>
        <v/>
      </c>
      <c r="BP188" s="84">
        <f>IF(Tasks[[#This Row],[Task Name]]="","",IF(OR(TakeBaseline="Yes",N(Tasks[[#This Row],[Baseline Work]])=0),Tasks[[#This Row],[Work]],Tasks[[#This Row],[Baseline Work]]))</f>
        <v/>
      </c>
      <c r="BQ188" s="7" t="n"/>
      <c r="BR188" s="7" t="n"/>
      <c r="BS188" s="22" t="n"/>
      <c r="BT188" s="86" t="n"/>
      <c r="BU188" s="23" t="n"/>
      <c r="BV188" s="23" t="n"/>
      <c r="BW188" s="23" t="n"/>
      <c r="BX188" s="87">
        <f>IF(AND(Tasks[[#This Row],[_IsLeaf]]=1,ISNUMBER(Tasks[[#This Row],[Optimistic]]),ISNUMBER(Tasks[[#This Row],[Pessimistic]])),ROUND((Tasks[[#This Row],[Optimistic]]+4*N(Tasks[[#This Row],[_Days]])+Tasks[[#This Row],[Pessimistic]])/6,1),"")</f>
        <v/>
      </c>
      <c r="BY188" s="85" t="n"/>
      <c r="BZ188" s="85" t="n"/>
      <c r="CA188" s="22" t="n"/>
      <c r="CB188" s="42">
        <f>IF(Tasks[[#This Row],[Task Name]]="","",MAX(1,N(Tasks[[#This Row],[Level]])))</f>
        <v/>
      </c>
      <c r="CC188" s="42">
        <f>ROW()-ROW(Tasks[[#Headers],[ID]])</f>
        <v/>
      </c>
      <c r="CD188" s="42">
        <f>IF(OR(Tasks[[#This Row],[Task Name]]="",Tasks[[#This Row],[_Level]]&lt;=1),0,IFERROR(LOOKUP(2,1/(Tasks[[#Headers],[_Level]]:Tasks[[#This Row],[_Level]]=Tasks[[#This Row],[_Level]]-1),ROW(Tasks[[#Headers],[_Level]]:Tasks[[#This Row],[_Level]])),0))</f>
        <v/>
      </c>
      <c r="CE188" s="42">
        <f>IFERROR(N(INDEX(Tasks[_Level],Tasks[[#This Row],[_Row]]+1)),0)</f>
        <v/>
      </c>
      <c r="CF188" s="42">
        <f>AND(Tasks[[#This Row],[Task Name]]&lt;&gt;"",Tasks[[#This Row],[_NextLevel]]&gt;Tasks[[#This Row],[_Level]])</f>
        <v/>
      </c>
      <c r="CG188" s="42">
        <f>IF(Tasks[[#This Row],[_IsSummary]],COUNTIF(Tasks[WBS],Tasks[[#This Row],[WBS]]&amp;".*"),0)</f>
        <v/>
      </c>
      <c r="CH188" s="42">
        <f>IF(AND(Tasks[[#This Row],[Task Name]]&lt;&gt;"",NOT(Tasks[[#This Row],[_IsSummary]])),1,0)</f>
        <v/>
      </c>
      <c r="CI188" s="42">
        <f>IF(N(Tasks[[#This Row],[_Pred1UID]])=0,0,IFERROR(MATCH(Tasks[[#This Row],[_Pred1UID]],Tasks[UID],0),-1))</f>
        <v/>
      </c>
      <c r="CJ188" s="42">
        <f>IF(N(Tasks[[#This Row],[_Pred2UID]])=0,0,IFERROR(MATCH(Tasks[[#This Row],[_Pred2UID]],Tasks[UID],0),-1))</f>
        <v/>
      </c>
      <c r="CK188" s="42">
        <f>IF(N(Tasks[[#This Row],[_Pred3UID]])=0,0,IFERROR(MATCH(Tasks[[#This Row],[_Pred3UID]],Tasks[UID],0),-1))</f>
        <v/>
      </c>
      <c r="CL188" s="42">
        <f>IF(N(Tasks[[#This Row],[_Pred4UID]])=0,0,IFERROR(MATCH(Tasks[[#This Row],[_Pred4UID]],Tasks[UID],0),-1))</f>
        <v/>
      </c>
      <c r="CM18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8" s="88">
        <f>IF(N(Tasks[[#This Row],[Constraint Date]])=0,0,IF(AND(OR(Tasks[[#This Row],[_ConstraintCode]]=3,Tasks[[#This Row],[_ConstraintCode]]=6,Tasks[[#This Row],[_ConstraintCode]]=7),N(Tasks[[#This Row],[_Days]])&gt;1),WORKDAY.INTL(N(Tasks[[#This Row],[Constraint Date]]),-(N(Tasks[[#This Row],[_Days]])-1),WorkWeek,Holidays),N(Tasks[[#This Row],[Constraint Date]])))</f>
        <v/>
      </c>
      <c r="CO188" s="88">
        <f>IF(OR(Tasks[[#This Row],[_ConstraintCode]]=2,Tasks[[#This Row],[_ConstraintCode]]=3,Tasks[[#This Row],[_ConstraintCode]]=4,Tasks[[#This Row],[_ConstraintCode]]=6),Tasks[[#This Row],[_ConstraintStart]],0)</f>
        <v/>
      </c>
      <c r="CP188" s="88">
        <f>IF(OR(Tasks[[#This Row],[_ConstraintCode]]=2,Tasks[[#This Row],[_ConstraintCode]]=3,Tasks[[#This Row],[_ConstraintCode]]=5,Tasks[[#This Row],[_ConstraintCode]]=7),Tasks[[#This Row],[_ConstraintStart]],2958465)</f>
        <v/>
      </c>
      <c r="CQ18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8" s="88">
        <f>IF(NOT(Tasks[[#This Row],[_IsLeaf]]=1),"",IF(N(Tasks[[#This Row],[_Days]])&lt;=0,Tasks[[#This Row],[_LeafCalcStart]],WORKDAY.INTL(Tasks[[#This Row],[_LeafCalcStart]],Tasks[[#This Row],[_Days]]-1,WorkWeek,Holidays)))</f>
        <v/>
      </c>
      <c r="CS18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8" s="42">
        <f>IF(Tasks[[#This Row],[_Predecessors]]="","",TRIM(MID(SUBSTITUTE(SUBSTITUTE(SUBSTITUTE(UPPER(Tasks[[#This Row],[_Predecessors]]),";",",")," ",""),",",REPT(" ",99)),1,99)))</f>
        <v/>
      </c>
      <c r="CV188" s="42">
        <f>IF(Tasks[[#This Row],[_Pred1Text]]="","",IFERROR(VALUE(LEFT(Tasks[[#This Row],[_Pred1Text]],MIN(FIND("F",Tasks[[#This Row],[_Pred1Text]]&amp;"F"),FIND("S",Tasks[[#This Row],[_Pred1Text]]&amp;"S"),FIND("+",Tasks[[#This Row],[_Pred1Text]]&amp;"+"),FIND("-",Tasks[[#This Row],[_Pred1Text]]&amp;"-"))-1)),""))</f>
        <v/>
      </c>
      <c r="CW18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8" s="42">
        <f>IF(Tasks[[#This Row],[_Pred1Text]]="","",TRIM(MID(SUBSTITUTE(SUBSTITUTE(SUBSTITUTE(UPPER(Tasks[[#This Row],[_Predecessors]]),";",",")," ",""),",",REPT(" ",99)),100,99)))</f>
        <v/>
      </c>
      <c r="CZ188" s="42">
        <f>IF(Tasks[[#This Row],[_Pred2Text]]="","",IFERROR(VALUE(LEFT(Tasks[[#This Row],[_Pred2Text]],MIN(FIND("F",Tasks[[#This Row],[_Pred2Text]]&amp;"F"),FIND("S",Tasks[[#This Row],[_Pred2Text]]&amp;"S"),FIND("+",Tasks[[#This Row],[_Pred2Text]]&amp;"+"),FIND("-",Tasks[[#This Row],[_Pred2Text]]&amp;"-"))-1)),""))</f>
        <v/>
      </c>
      <c r="DA18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8" s="42">
        <f>IF(Tasks[[#This Row],[_Pred2Text]]="","",TRIM(MID(SUBSTITUTE(SUBSTITUTE(SUBSTITUTE(UPPER(Tasks[[#This Row],[_Predecessors]]),";",",")," ",""),",",REPT(" ",99)),199,99)))</f>
        <v/>
      </c>
      <c r="DD188" s="42">
        <f>IF(Tasks[[#This Row],[_Pred3Text]]="","",IFERROR(VALUE(LEFT(Tasks[[#This Row],[_Pred3Text]],MIN(FIND("F",Tasks[[#This Row],[_Pred3Text]]&amp;"F"),FIND("S",Tasks[[#This Row],[_Pred3Text]]&amp;"S"),FIND("+",Tasks[[#This Row],[_Pred3Text]]&amp;"+"),FIND("-",Tasks[[#This Row],[_Pred3Text]]&amp;"-"))-1)),""))</f>
        <v/>
      </c>
      <c r="DE18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8" s="42">
        <f>IF(Tasks[[#This Row],[_Pred3Text]]="","",TRIM(MID(SUBSTITUTE(SUBSTITUTE(SUBSTITUTE(UPPER(Tasks[[#This Row],[_Predecessors]]),";",",")," ",""),",",REPT(" ",99)),298,99)))</f>
        <v/>
      </c>
      <c r="DH188" s="42">
        <f>IF(Tasks[[#This Row],[_Pred4Text]]="","",IFERROR(VALUE(LEFT(Tasks[[#This Row],[_Pred4Text]],MIN(FIND("F",Tasks[[#This Row],[_Pred4Text]]&amp;"F"),FIND("S",Tasks[[#This Row],[_Pred4Text]]&amp;"S"),FIND("+",Tasks[[#This Row],[_Pred4Text]]&amp;"+"),FIND("-",Tasks[[#This Row],[_Pred4Text]]&amp;"-"))-1)),""))</f>
        <v/>
      </c>
      <c r="DI18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8" s="42">
        <f>IF(OR(Tasks[[#This Row],[Task Name]]="",Tasks[[#This Row],[_Resources]]=""),"",TRIM(MID(SUBSTITUTE(Tasks[[#This Row],[_Resources]],",",REPT(" ",99)),1,99)))</f>
        <v/>
      </c>
      <c r="DL188" s="42">
        <f>IF(Tasks[[#This Row],[_Res1Text]]="","",TRIM(MID(SUBSTITUTE(Tasks[[#This Row],[_Resources]],",",REPT(" ",99)),100,99)))</f>
        <v/>
      </c>
      <c r="DM188" s="42">
        <f>IF(Tasks[[#This Row],[_Res2Text]]="","",TRIM(MID(SUBSTITUTE(Tasks[[#This Row],[_Resources]],",",REPT(" ",99)),199,99)))</f>
        <v/>
      </c>
      <c r="DN188" s="42">
        <f>IF(Tasks[[#This Row],[_Res3Text]]="","",TRIM(MID(SUBSTITUTE(Tasks[[#This Row],[_Resources]],",",REPT(" ",99)),298,99)))</f>
        <v/>
      </c>
      <c r="DO188" s="42">
        <f>IF(Tasks[[#This Row],[_Res1Text]]="",0,IFERROR(MATCH(TRIM(LEFT(Tasks[[#This Row],[_Res1Text]],FIND("[",Tasks[[#This Row],[_Res1Text]]&amp;"[")-1)),res_Name,0),IFERROR(MATCH(TRIM(LEFT(Tasks[[#This Row],[_Res1Text]],FIND("[",Tasks[[#This Row],[_Res1Text]]&amp;"[")-1)),res_Initials,0),0)))</f>
        <v/>
      </c>
      <c r="DP188" s="42">
        <f>IF(Tasks[[#This Row],[_Res2Text]]="",0,IFERROR(MATCH(TRIM(LEFT(Tasks[[#This Row],[_Res2Text]],FIND("[",Tasks[[#This Row],[_Res2Text]]&amp;"[")-1)),res_Name,0),IFERROR(MATCH(TRIM(LEFT(Tasks[[#This Row],[_Res2Text]],FIND("[",Tasks[[#This Row],[_Res2Text]]&amp;"[")-1)),res_Initials,0),0)))</f>
        <v/>
      </c>
      <c r="DQ188" s="42">
        <f>IF(Tasks[[#This Row],[_Res3Text]]="",0,IFERROR(MATCH(TRIM(LEFT(Tasks[[#This Row],[_Res3Text]],FIND("[",Tasks[[#This Row],[_Res3Text]]&amp;"[")-1)),res_Name,0),IFERROR(MATCH(TRIM(LEFT(Tasks[[#This Row],[_Res3Text]],FIND("[",Tasks[[#This Row],[_Res3Text]]&amp;"[")-1)),res_Initials,0),0)))</f>
        <v/>
      </c>
      <c r="DR188" s="42">
        <f>IF(Tasks[[#This Row],[_Res4Text]]="",0,IFERROR(MATCH(TRIM(LEFT(Tasks[[#This Row],[_Res4Text]],FIND("[",Tasks[[#This Row],[_Res4Text]]&amp;"[")-1)),res_Name,0),IFERROR(MATCH(TRIM(LEFT(Tasks[[#This Row],[_Res4Text]],FIND("[",Tasks[[#This Row],[_Res4Text]]&amp;"[")-1)),res_Initials,0),0)))</f>
        <v/>
      </c>
      <c r="DS188" s="42">
        <f>IF(Tasks[[#This Row],[_Res1Text]]="","",IF(Tasks[[#This Row],[_Res1Row]]&gt;0,INDEX(res_Name,Tasks[[#This Row],[_Res1Row]]),TRIM(LEFT(Tasks[[#This Row],[_Res1Text]],FIND("[",Tasks[[#This Row],[_Res1Text]]&amp;"[")-1))))</f>
        <v/>
      </c>
      <c r="DT18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8" s="42">
        <f>IF(NOT(Tasks[[#This Row],[_IsLeaf]]=1),0,(Tasks[[#This Row],[_Resource1]]&lt;&gt;"")+(Tasks[[#This Row],[_Res2]]&lt;&gt;"")+(Tasks[[#This Row],[_Res3]]&lt;&gt;"")+(Tasks[[#This Row],[_Res4]]&lt;&gt;""))</f>
        <v/>
      </c>
      <c r="DV188" s="42">
        <f>IF(Tasks[[#This Row],[_Res2Text]]="","",IF(Tasks[[#This Row],[_Res2Row]]&gt;0,INDEX(res_Name,Tasks[[#This Row],[_Res2Row]]),TRIM(LEFT(Tasks[[#This Row],[_Res2Text]],FIND("[",Tasks[[#This Row],[_Res2Text]]&amp;"[")-1))))</f>
        <v/>
      </c>
      <c r="DW18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8" s="42">
        <f>IF(OR(NOT(Tasks[[#This Row],[_IsLeaf]]=1),Tasks[[#This Row],[_Res2Row]]=0),0,N(Tasks[[#This Row],[_Days]])*HoursPerDay*IF(Tasks[[#This Row],[_Res2Units]]="",DefaultUnits,Tasks[[#This Row],[_Res2Units]]))</f>
        <v/>
      </c>
      <c r="DY188" s="42">
        <f>IF(AND(AND(Tasks[[#This Row],[_IsLeaf]]=1,Tasks[[#This Row],[_LeafTotalWork]]&gt;0),Tasks[[#This Row],[_Res2Work]]&gt;0),Tasks[[#This Row],[_Res2Work]]/(Tasks[[#This Row],[_FinishWorkday]]-Tasks[[#This Row],[_StartWorkday]]+1),0)</f>
        <v/>
      </c>
      <c r="DZ188" s="42">
        <f>Tasks[[#This Row],[_Res2WorkPerWD]]*MAX(0,Tasks[[#This Row],[_StartWorkday]]-1)</f>
        <v/>
      </c>
      <c r="EA188" s="42">
        <f>Tasks[[#This Row],[_Res2Work]]*Tasks[[#This Row],[_LeafProgress]]</f>
        <v/>
      </c>
      <c r="EB188" s="42">
        <f>IF(Tasks[[#This Row],[_Res3Text]]="","",IF(Tasks[[#This Row],[_Res3Row]]&gt;0,INDEX(res_Name,Tasks[[#This Row],[_Res3Row]]),TRIM(LEFT(Tasks[[#This Row],[_Res3Text]],FIND("[",Tasks[[#This Row],[_Res3Text]]&amp;"[")-1))))</f>
        <v/>
      </c>
      <c r="EC18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8" s="42">
        <f>IF(OR(NOT(Tasks[[#This Row],[_IsLeaf]]=1),Tasks[[#This Row],[_Res3Row]]=0),0,N(Tasks[[#This Row],[_Days]])*HoursPerDay*IF(Tasks[[#This Row],[_Res3Units]]="",DefaultUnits,Tasks[[#This Row],[_Res3Units]]))</f>
        <v/>
      </c>
      <c r="EE188" s="42">
        <f>IF(AND(AND(Tasks[[#This Row],[_IsLeaf]]=1,Tasks[[#This Row],[_LeafTotalWork]]&gt;0),Tasks[[#This Row],[_Res3Work]]&gt;0),Tasks[[#This Row],[_Res3Work]]/(Tasks[[#This Row],[_FinishWorkday]]-Tasks[[#This Row],[_StartWorkday]]+1),0)</f>
        <v/>
      </c>
      <c r="EF188" s="42">
        <f>Tasks[[#This Row],[_Res3WorkPerWD]]*MAX(0,Tasks[[#This Row],[_StartWorkday]]-1)</f>
        <v/>
      </c>
      <c r="EG188" s="42">
        <f>Tasks[[#This Row],[_Res3Work]]*Tasks[[#This Row],[_LeafProgress]]</f>
        <v/>
      </c>
      <c r="EH188" s="42">
        <f>IF(Tasks[[#This Row],[_Res4Text]]="","",IF(Tasks[[#This Row],[_Res4Row]]&gt;0,INDEX(res_Name,Tasks[[#This Row],[_Res4Row]]),TRIM(LEFT(Tasks[[#This Row],[_Res4Text]],FIND("[",Tasks[[#This Row],[_Res4Text]]&amp;"[")-1))))</f>
        <v/>
      </c>
      <c r="EI18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8" s="42">
        <f>IF(OR(NOT(Tasks[[#This Row],[_IsLeaf]]=1),Tasks[[#This Row],[_Res4Row]]=0),0,N(Tasks[[#This Row],[_Days]])*HoursPerDay*IF(Tasks[[#This Row],[_Res4Units]]="",DefaultUnits,Tasks[[#This Row],[_Res4Units]]))</f>
        <v/>
      </c>
      <c r="EK188" s="42">
        <f>IF(AND(AND(Tasks[[#This Row],[_IsLeaf]]=1,Tasks[[#This Row],[_LeafTotalWork]]&gt;0),Tasks[[#This Row],[_Res4Work]]&gt;0),Tasks[[#This Row],[_Res4Work]]/(Tasks[[#This Row],[_FinishWorkday]]-Tasks[[#This Row],[_StartWorkday]]+1),0)</f>
        <v/>
      </c>
      <c r="EL188" s="42">
        <f>Tasks[[#This Row],[_Res4WorkPerWD]]*MAX(0,Tasks[[#This Row],[_StartWorkday]]-1)</f>
        <v/>
      </c>
      <c r="EM188" s="42">
        <f>Tasks[[#This Row],[_Res4Work]]*Tasks[[#This Row],[_LeafProgress]]</f>
        <v/>
      </c>
      <c r="EN188" s="42">
        <f>IF(ISNUMBER(Tasks[[#This Row],[% Complete]]),Tasks[[#This Row],[% Complete]],IF(Tasks[[#This Row],[Stage]]="",0,IFERROR(INDEX(stg_Pct,MATCH(Tasks[[#This Row],[Stage]],stg_Name,0)),0)))</f>
        <v/>
      </c>
      <c r="EO188" s="42">
        <f>IF(NOT(Tasks[[#This Row],[_IsLeaf]]=1),0,IF(N(Tasks[[#This Row],[Actual Finish]])&gt;0,1,MIN(1,Tasks[[#This Row],[_Pct]])))</f>
        <v/>
      </c>
      <c r="EP188" s="42">
        <f>IF(OR(NOT(Tasks[[#This Row],[_IsLeaf]]=1),Tasks[[#This Row],[_Res1Row]]=0),0,N(Tasks[[#This Row],[_Days]])*HoursPerDay*IF(Tasks[[#This Row],[_Units1]]="",DefaultUnits,Tasks[[#This Row],[_Units1]]))</f>
        <v/>
      </c>
      <c r="EQ188" s="42">
        <f>Tasks[[#This Row],[_LeafWork]]+Tasks[[#This Row],[_Res2Work]]+Tasks[[#This Row],[_Res3Work]]+Tasks[[#This Row],[_Res4Work]]</f>
        <v/>
      </c>
      <c r="ER18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8" s="42">
        <f>IF(NOT(Tasks[[#This Row],[_IsLeaf]]=1),0,MAX(_xlfn.MAXIFS(Tasks[_Row],Tasks[_Pred1UID],Tasks[[#This Row],[UID]]),_xlfn.MAXIFS(Tasks[_Row],Tasks[_Pred2UID],Tasks[[#This Row],[UID]]),_xlfn.MAXIFS(Tasks[_Row],Tasks[_Pred3UID],Tasks[[#This Row],[UID]]),_xlfn.MAXIFS(Tasks[_Row],Tasks[_Pred4UID],Tasks[[#This Row],[UID]])))</f>
        <v/>
      </c>
      <c r="FA18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8" s="88">
        <f>IF(NOT(Tasks[[#This Row],[_IsLeaf]]=1),"",IF(N(Tasks[[#This Row],[_Days]])&lt;=0,Tasks[[#This Row],[_LeafLateFinish]],WORKDAY.INTL(Tasks[[#This Row],[_LeafLateFinish]],-(Tasks[[#This Row],[_Days]]-1),WorkWeek,Holidays)))</f>
        <v/>
      </c>
      <c r="FD18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8" s="42">
        <f>AND(Tasks[[#This Row],[_IsLeaf]]=1,Tasks[[#This Row],[_LeafProgress]]&lt;1,N(Tasks[[#This Row],[_LeafTotalSlack]])&lt;=CriticalSlackDays)</f>
        <v/>
      </c>
      <c r="FF188" s="42">
        <f>IF(AND(Tasks[[#This Row],[_IsLeaf]]=1,Tasks[[#This Row],[_ConstraintCode]]=1,Tasks[[#This Row],[Mode]]&lt;&gt;"Manual",N(Tasks[[#This Row],[Actual Start]])=0),MAX(0,N(Tasks[[#This Row],[Free Slack]])),0)</f>
        <v/>
      </c>
      <c r="FG188" s="88">
        <f>IF(NOT(Tasks[[#This Row],[_IsLeaf]]=1),"",IF(Tasks[[#This Row],[_AlapShift]]=0,Tasks[[#This Row],[_LeafCalcStart]],WORKDAY.INTL(Tasks[[#This Row],[_LeafCalcStart]],Tasks[[#This Row],[_AlapShift]],WorkWeek,Holidays)))</f>
        <v/>
      </c>
      <c r="FH188" s="88">
        <f>IF(NOT(Tasks[[#This Row],[_IsLeaf]]=1),"",IF(Tasks[[#This Row],[_AlapShift]]=0,Tasks[[#This Row],[_LeafCalcFinish]],WORKDAY.INTL(Tasks[[#This Row],[_LeafCalcFinish]],Tasks[[#This Row],[_AlapShift]],WorkWeek,Holidays)))</f>
        <v/>
      </c>
      <c r="FI188" s="88">
        <f>IF(NOT(Tasks[[#This Row],[_IsLeaf]]=1),"",IF(Tasks[[#This Row],[_AlapShift]]=0,Tasks[[#This Row],[_LeafFcstStart]],WORKDAY.INTL(Tasks[[#This Row],[_LeafFcstStart]],Tasks[[#This Row],[_AlapShift]],WorkWeek,Holidays)))</f>
        <v/>
      </c>
      <c r="FJ188" s="88">
        <f>IF(NOT(Tasks[[#This Row],[_IsLeaf]]=1),"",IF(Tasks[[#This Row],[_AlapShift]]=0,Tasks[[#This Row],[_LeafFcstFinish]],WORKDAY.INTL(Tasks[[#This Row],[_LeafFcstFinish]],Tasks[[#This Row],[_AlapShift]],WorkWeek,Holidays)))</f>
        <v/>
      </c>
      <c r="FK188" s="88">
        <f>IF(Tasks[[#This Row],[Task Name]]="","",IF(Tasks[[#This Row],[_IsSummary]],MIN(INDEX(Tasks[_ShownCalcStart],Tasks[[#This Row],[_Row]]+1):INDEX(Tasks[_ShownCalcStart],Tasks[[#This Row],[_Row]]+Tasks[[#This Row],[_Descendants]])),Tasks[[#This Row],[_ShownCalcStart]]))</f>
        <v/>
      </c>
      <c r="FL188" s="88">
        <f>IF(Tasks[[#This Row],[Task Name]]="","",IF(Tasks[[#This Row],[_IsSummary]],MAX(INDEX(Tasks[_ShownCalcFinish],Tasks[[#This Row],[_Row]]+1):INDEX(Tasks[_ShownCalcFinish],Tasks[[#This Row],[_Row]]+Tasks[[#This Row],[_Descendants]])),Tasks[[#This Row],[_ShownCalcFinish]]))</f>
        <v/>
      </c>
      <c r="FM18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8" s="42">
        <f>IF(AND(Tasks[[#This Row],[_IsLeaf]]=1,Tasks[[#This Row],[_LeafTotalWork]]&gt;0),NETWORKDAYS.INTL(ProjectStart,Tasks[[#This Row],[_ShownFcstStart]],WorkWeek,Holidays),0)</f>
        <v/>
      </c>
      <c r="FZ188" s="42">
        <f>IF(AND(Tasks[[#This Row],[_IsLeaf]]=1,Tasks[[#This Row],[_LeafTotalWork]]&gt;0),MAX(Tasks[[#This Row],[_StartWorkday]],NETWORKDAYS.INTL(ProjectStart,Tasks[[#This Row],[_ShownFcstFinish]],WorkWeek,Holidays)),0)</f>
        <v/>
      </c>
      <c r="GA188" s="42">
        <f>IF(AND(Tasks[[#This Row],[_IsLeaf]]=1,Tasks[[#This Row],[_LeafTotalWork]]&gt;0),Tasks[[#This Row],[_LeafWork]]/(Tasks[[#This Row],[_FinishWorkday]]-Tasks[[#This Row],[_StartWorkday]]+1),0)</f>
        <v/>
      </c>
      <c r="GB188" s="42">
        <f>Tasks[[#This Row],[_WorkPerWorkday]]*(Tasks[[#This Row],[_StartWorkday]]-1)</f>
        <v/>
      </c>
      <c r="GC188" s="42">
        <f>IF(Tasks[[#This Row],[_IsLeaf]]=1,MAX(N(Tasks[[#This Row],[_Days]]),0.1),0)</f>
        <v/>
      </c>
      <c r="GD188" s="42">
        <f>Tasks[[#This Row],[_WeightDur]]*Tasks[[#This Row],[_LeafProgress]]</f>
        <v/>
      </c>
      <c r="GE188" s="42">
        <f>Tasks[[#This Row],[_WeightDur]]*Tasks[[#This Row],[_PlannedPct]]</f>
        <v/>
      </c>
      <c r="GF18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8" s="42">
        <f>IF(AND(Tasks[[#This Row],[_IsLeaf]]=1,N(Tasks[[#This Row],[_Days]])=0,Tasks[[#This Row],[_LeafProgress]]&lt;1),Tasks[[#This Row],[_ShownFcstFinish]]+Tasks[[#This Row],[_Row]]/100000,"")</f>
        <v/>
      </c>
      <c r="GH18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8" s="42">
        <f>IF(Tasks[[#This Row],[Task Name]]="","",LEFT(Tasks[[#This Row],[WBS]],FIND(".",Tasks[[#This Row],[WBS]]&amp;".")-1))</f>
        <v/>
      </c>
      <c r="GJ188" s="42">
        <f>IF(AND(Tasks[[#This Row],[Task Name]]&lt;&gt;"",Tasks[[#This Row],[_Level]]=1),Tasks[[#This Row],[_Row]],"")</f>
        <v/>
      </c>
      <c r="GK188" s="42">
        <f>IF(AND(Tasks[[#This Row],[_IsLeaf]]=1,N(Tasks[[#This Row],[_Days]])=0),Tasks[[#This Row],[Planned Finish]]+Tasks[[#This Row],[_Row]]/100000,"")</f>
        <v/>
      </c>
      <c r="GL188" s="42">
        <f>IF(AND(Tasks[[#This Row],[_IsLeaf]]=1,Tasks[[#This Row],[_LeafProgress]]&lt;1,OR(N(Tasks[[#This Row],[Finish Var]])&gt;0,Tasks[[#This Row],[Status]]="Late Start")),MAX(0,Tasks[[#This Row],[Finish Var]])+1-Tasks[[#This Row],[_Row]]/1000000,"")</f>
        <v/>
      </c>
      <c r="GM188" s="42">
        <f>IF(AND(Tasks[[#This Row],[_IsLeaf]]=1,N(Tasks[[#This Row],[Actual Start]])=0,Tasks[[#This Row],[_ShownFcstStart]]&gt;=StatusDate,Tasks[[#This Row],[_ShownFcstStart]]&lt;=LookaheadEnd),Tasks[[#This Row],[_ShownFcstStart]]+Tasks[[#This Row],[_Row]]/100000,"")</f>
        <v/>
      </c>
      <c r="GN188" s="42">
        <f>IF(AND(Tasks[[#This Row],[_IsLeaf]]=1,Tasks[[#This Row],[_LeafProgress]]&lt;1,Tasks[[#This Row],[_ShownFcstFinish]]&gt;=StatusDate,Tasks[[#This Row],[_ShownFcstFinish]]&lt;=LookaheadEnd),Tasks[[#This Row],[_ShownFcstFinish]]+Tasks[[#This Row],[_Row]]/100000,"")</f>
        <v/>
      </c>
      <c r="GO188" s="42">
        <f>IF(Tasks[[#This Row],[_LeafCritical]],Tasks[[#This Row],[_ShownFcstStart]]+Tasks[[#This Row],[_Row]]/100000,"")</f>
        <v/>
      </c>
      <c r="GP188" s="42">
        <f>Tasks[[#This Row],[_LeafWork]]*Tasks[[#This Row],[_LeafProgress]]</f>
        <v/>
      </c>
      <c r="GQ188" s="88">
        <f>IF(AND(Tasks[[#This Row],[_IsLeaf]]=1,Tasks[[#This Row],[_LeafProgress]]&gt;=1),IF(N(Tasks[[#This Row],[Actual Finish]])&gt;0,Tasks[[#This Row],[Actual Finish]],Tasks[[#This Row],[_ShownFcstFinish]]),"")</f>
        <v/>
      </c>
      <c r="GR188" s="42">
        <f>IF(Tasks[[#This Row],[_IsLeaf]]=1,N(Tasks[[#This Row],[Story Points]]),0)</f>
        <v/>
      </c>
      <c r="GS188" s="42">
        <f>""</f>
        <v/>
      </c>
      <c r="GT188" s="42">
        <f>IF(Tasks[[#This Row],[Task Name]]="",FALSE(),AND(Tasks[[#This Row],[_IsLeaf]]=1,N(Tasks[[#This Row],[_Days]])=0))</f>
        <v/>
      </c>
      <c r="GU188" s="88">
        <f>IF(Tasks[[#This Row],[Task Name]]="",0,IF(AND(Tasks[[#This Row],[_IsLeaf]]=1,NOT(Tasks[[#This Row],[_IsMilestone]]),N(Tasks[[#This Row],[Progress]])&gt;0),Tasks[[#This Row],[Start]],0))</f>
        <v/>
      </c>
      <c r="GV188" s="88">
        <f>IF(Tasks[[#This Row],[_DoneFrom]]=0,0,IF(Tasks[[#This Row],[Progress]]&gt;=1,Tasks[[#This Row],[Finish]],MAX(Tasks[[#This Row],[_DoneFrom]],Tasks[[#This Row],[Start]]+ROUND((Tasks[[#This Row],[Finish]]-Tasks[[#This Row],[Start]]+1)*Tasks[[#This Row],[Progress]],0)-1)))</f>
        <v/>
      </c>
      <c r="GW188" s="88">
        <f>IF(Tasks[[#This Row],[Task Name]]="",0,IF(OR(NOT(Tasks[[#This Row],[_IsLeaf]]=1),Tasks[[#This Row],[_IsMilestone]],N(Tasks[[#This Row],[Progress]])&gt;=1),0,IF(Tasks[[#This Row],[_DoneTo]]&gt;0,Tasks[[#This Row],[_DoneTo]]+1,Tasks[[#This Row],[Start]])))</f>
        <v/>
      </c>
      <c r="GX188" s="88">
        <f>IF(Tasks[[#This Row],[_RemFrom]]=0,0,Tasks[[#This Row],[Finish]])</f>
        <v/>
      </c>
      <c r="GY188" s="42">
        <f>IF(Tasks[[#This Row],[Task Name]]="",FALSE(),OR(NOT(BaselineSet),N(Tasks[[#This Row],[Baseline Start]])&gt;0))</f>
        <v/>
      </c>
      <c r="GZ188" s="42">
        <f>IF(AND(Sandbox="Yes",L_PARSE_DURATION(Tasks[[#This Row],[Sandbox Duration]])&lt;&gt;""),L_PARSE_DURATION(Tasks[[#This Row],[Sandbox Duration]]),L_PARSE_DURATION(Tasks[[#This Row],[Duration]]))</f>
        <v/>
      </c>
      <c r="HA18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8" s="42">
        <f>IF(Tasks[[#This Row],[_IsLeaf]]=1,Tasks[[#This Row],[_Row]],"")</f>
        <v/>
      </c>
      <c r="HD188" s="42">
        <f>IFERROR(INDEX(Tasks[UID],SMALL(Tasks[_PickKey],Tasks[[#This Row],[_Row]]))&amp;" "&amp;INDEX(Tasks[Task Name],SMALL(Tasks[_PickKey],Tasks[[#This Row],[_Row]])),"")</f>
        <v/>
      </c>
      <c r="HE188" s="42">
        <f>IF(Tasks[[#This Row],[Task Name]]="","",IF(Tasks[[#This Row],[_IsSummary]],NETWORKDAYS.INTL(Tasks[[#This Row],[Start]],Tasks[[#This Row],[Finish]],WorkWeek,Holidays),N(Tasks[[#This Row],[_Days]])))</f>
        <v/>
      </c>
      <c r="HF188" s="42">
        <f>IF(Tasks[[#This Row],[Expected]]="",0,((Tasks[[#This Row],[Pessimistic]]-Tasks[[#This Row],[Optimistic]])/6)^2)</f>
        <v/>
      </c>
      <c r="HG188" s="42">
        <f>IF(Tasks[[#This Row],[Expected]]="",0,Tasks[[#This Row],[Expected]]-N(Tasks[[#This Row],[_Days]]))</f>
        <v/>
      </c>
    </row>
    <row r="189">
      <c r="A189" s="21">
        <f>IF(Tasks[[#This Row],[Task Name]]="","",COUNTA(Tasks[[#Headers],[Task Name]]:Tasks[[#This Row],[Task Name]])-1)</f>
        <v/>
      </c>
      <c r="B189" s="22" t="n">
        <v>197</v>
      </c>
      <c r="C189" s="22" t="n"/>
      <c r="D189" s="23" t="n"/>
      <c r="E189" s="22" t="n"/>
      <c r="F189" s="23" t="n"/>
      <c r="G189" s="22" t="n"/>
      <c r="H189" s="22" t="n"/>
      <c r="I189" s="23" t="n"/>
      <c r="J189" s="22" t="n"/>
      <c r="K189" s="22" t="n"/>
      <c r="L189" s="23" t="n"/>
      <c r="M189" s="22" t="n"/>
      <c r="N189" s="22" t="n"/>
      <c r="O189" s="23" t="n"/>
      <c r="P189" s="22" t="n"/>
      <c r="Q189" s="22" t="n"/>
      <c r="R189" s="23" t="n"/>
      <c r="S189" s="23" t="n"/>
      <c r="T189" s="82" t="n"/>
      <c r="U189" s="23" t="n"/>
      <c r="V189" s="82" t="n"/>
      <c r="W189" s="23" t="n"/>
      <c r="X189" s="82" t="n"/>
      <c r="Y189" s="23" t="n"/>
      <c r="Z189" s="82" t="n"/>
      <c r="AA189" s="23" t="n"/>
      <c r="AB189" s="23" t="n"/>
      <c r="AC189" s="7" t="n"/>
      <c r="AD189" s="7" t="n"/>
      <c r="AE189" s="61">
        <f>IF(Tasks[[#This Row],[Task Name]]="","",IF(Tasks[[#This Row],[_IsSummary]],MIN(INDEX(Tasks[_ShownFcstStart],Tasks[[#This Row],[_Row]]+1):INDEX(Tasks[_ShownFcstStart],Tasks[[#This Row],[_Row]]+Tasks[[#This Row],[_Descendants]])),Tasks[[#This Row],[_ShownFcstStart]]))</f>
        <v/>
      </c>
      <c r="AF189" s="61">
        <f>IF(Tasks[[#This Row],[Task Name]]="","",IF(Tasks[[#This Row],[_IsSummary]],MAX(INDEX(Tasks[_ShownFcstFinish],Tasks[[#This Row],[_Row]]+1):INDEX(Tasks[_ShownFcstFinish],Tasks[[#This Row],[_Row]]+Tasks[[#This Row],[_Descendants]])),Tasks[[#This Row],[_ShownFcstFinish]]))</f>
        <v/>
      </c>
      <c r="AG189" s="21">
        <f>""</f>
        <v/>
      </c>
      <c r="AH189" s="23" t="n"/>
      <c r="AI18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89" s="7" t="n"/>
      <c r="AK189" s="22" t="n"/>
      <c r="AL189" s="23" t="n"/>
      <c r="AM189" s="7" t="n"/>
      <c r="AN189" s="21">
        <f>IF(Tasks[[#This Row],[Task Name]]="","",IF(Tasks[[#This Row],[Finish]]&gt;=Tasks[[#This Row],[Planned Finish]],NETWORKDAYS.INTL(Tasks[[#This Row],[Planned Finish]],Tasks[[#This Row],[Finish]],WorkWeek,Holidays)-1,1-NETWORKDAYS.INTL(Tasks[[#This Row],[Finish]],Tasks[[#This Row],[Planned Finish]],WorkWeek,Holidays)))</f>
        <v/>
      </c>
      <c r="AO189" s="21">
        <f>IF(Tasks[[#This Row],[Task Name]]="","",IF(Tasks[[#This Row],[Progress]]&gt;=1,"Complete",IF(OR(N(Tasks[[#This Row],[Actual Start]])&gt;0,Tasks[[#This Row],[Progress]]&gt;0),IF(Tasks[[#This Row],[Finish Var]]&gt;0,"Behind","In Progress"),IF(Tasks[[#This Row],[Planned Start]]&lt;StatusDate,"Late Start","Not Started"))))</f>
        <v/>
      </c>
      <c r="AP189" s="21">
        <f>IF(Tasks[[#This Row],[Task Name]]="","",IF(IF(Tasks[[#This Row],[_IsSummary]],COUNTIF(INDEX(Tasks[_LeafCritical],Tasks[[#This Row],[_Row]]+1):INDEX(Tasks[_LeafCritical],Tasks[[#This Row],[_Row]]+Tasks[[#This Row],[_Descendants]]),TRUE())&gt;0,Tasks[[#This Row],[_LeafCritical]]),"Yes",""))</f>
        <v/>
      </c>
      <c r="AQ189" s="61">
        <f>IF(Tasks[[#This Row],[Task Name]]="","",IF(N(Tasks[[#This Row],[Baseline Start]])&gt;0,Tasks[[#This Row],[Baseline Start]],Tasks[[#This Row],[_CalcStart]]))</f>
        <v/>
      </c>
      <c r="AR189" s="61">
        <f>IF(Tasks[[#This Row],[Task Name]]="","",IF(N(Tasks[[#This Row],[Baseline Finish]])&gt;0,Tasks[[#This Row],[Baseline Finish]],Tasks[[#This Row],[_CalcFinish]]))</f>
        <v/>
      </c>
      <c r="AS189" s="21">
        <f>IF(Tasks[[#This Row],[Task Name]]="","",IF(Tasks[[#This Row],[Start]]&gt;=Tasks[[#This Row],[Planned Start]],NETWORKDAYS.INTL(Tasks[[#This Row],[Planned Start]],Tasks[[#This Row],[Start]],WorkWeek,Holidays)-1,1-NETWORKDAYS.INTL(Tasks[[#This Row],[Start]],Tasks[[#This Row],[Planned Start]],WorkWeek,Holidays)))</f>
        <v/>
      </c>
      <c r="AT189" s="61">
        <f>IF(Tasks[[#This Row],[Task Name]]="","",IF(Tasks[[#This Row],[_IsSummary]],MIN(INDEX(Tasks[_LeafLateStart],Tasks[[#This Row],[_Row]]+1):INDEX(Tasks[_LeafLateStart],Tasks[[#This Row],[_Row]]+Tasks[[#This Row],[_Descendants]])),Tasks[[#This Row],[_LeafLateStart]]))</f>
        <v/>
      </c>
      <c r="AU189" s="61">
        <f>IF(Tasks[[#This Row],[Task Name]]="","",IF(Tasks[[#This Row],[_IsSummary]],MAX(INDEX(Tasks[_LeafLateFinish],Tasks[[#This Row],[_Row]]+1):INDEX(Tasks[_LeafLateFinish],Tasks[[#This Row],[_Row]]+Tasks[[#This Row],[_Descendants]])),Tasks[[#This Row],[_LeafLateFinish]]))</f>
        <v/>
      </c>
      <c r="AV189" s="21">
        <f>IF(Tasks[[#This Row],[Task Name]]="","",IF(Tasks[[#This Row],[_IsSummary]],MIN(INDEX(Tasks[_LeafTotalSlack],Tasks[[#This Row],[_Row]]+1):INDEX(Tasks[_LeafTotalSlack],Tasks[[#This Row],[_Row]]+Tasks[[#This Row],[_Descendants]])),Tasks[[#This Row],[_LeafTotalSlack]]))</f>
        <v/>
      </c>
      <c r="AW18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3" t="n"/>
      <c r="BA18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f>IF(Tasks[[#This Row],[Task Name]]="","",IF(Tasks[[#This Row],[_Level]]&lt;=OutlineShowLevel,"Yes","No"))</f>
        <v/>
      </c>
      <c r="BE189" s="84">
        <f>IF(Tasks[[#This Row],[Task Name]]="","",IF(Tasks[[#This Row],[_IsSummary]],SUM(INDEX(Tasks[_LeafTotalWork],Tasks[[#This Row],[_Row]]+1):INDEX(Tasks[_LeafTotalWork],Tasks[[#This Row],[_Row]]+Tasks[[#This Row],[_Descendants]])),Tasks[[#This Row],[_LeafTotalWork]]))</f>
        <v/>
      </c>
      <c r="BF189" s="23" t="n"/>
      <c r="BG18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f>""</f>
        <v/>
      </c>
      <c r="BI189" s="85" t="n"/>
      <c r="BJ189" s="22" t="n"/>
      <c r="BK189" s="21">
        <f>IF(OR(Tasks[[#This Row],[Task Name]]="",Tasks[[#This Row],[Baseline Duration]]=""),"",Tasks[[#This Row],[_SpanDays]]-N(Tasks[[#This Row],[Baseline Duration]]))</f>
        <v/>
      </c>
      <c r="BL189" s="84">
        <f>IF(OR(Tasks[[#This Row],[Task Name]]="",Tasks[[#This Row],[Baseline Work]]=""),"",Tasks[[#This Row],[Work]]-N(Tasks[[#This Row],[Baseline Work]]))</f>
        <v/>
      </c>
      <c r="BM189" s="61">
        <f>IF(Tasks[[#This Row],[Task Name]]="","",IF(OR(TakeBaseline="Yes",N(Tasks[[#This Row],[Baseline Start]])=0),Tasks[[#This Row],[Start]],Tasks[[#This Row],[Baseline Start]]))</f>
        <v/>
      </c>
      <c r="BN189" s="61">
        <f>IF(Tasks[[#This Row],[Task Name]]="","",IF(OR(TakeBaseline="Yes",N(Tasks[[#This Row],[Baseline Finish]])=0),Tasks[[#This Row],[Finish]],Tasks[[#This Row],[Baseline Finish]]))</f>
        <v/>
      </c>
      <c r="BO189" s="21">
        <f>IF(Tasks[[#This Row],[Task Name]]="","",IF(OR(TakeBaseline="Yes",N(Tasks[[#This Row],[Baseline Duration]])=0),Tasks[[#This Row],[_SpanDays]],Tasks[[#This Row],[Baseline Duration]]))</f>
        <v/>
      </c>
      <c r="BP189" s="84">
        <f>IF(Tasks[[#This Row],[Task Name]]="","",IF(OR(TakeBaseline="Yes",N(Tasks[[#This Row],[Baseline Work]])=0),Tasks[[#This Row],[Work]],Tasks[[#This Row],[Baseline Work]]))</f>
        <v/>
      </c>
      <c r="BQ189" s="7" t="n"/>
      <c r="BR189" s="7" t="n"/>
      <c r="BS189" s="22" t="n"/>
      <c r="BT189" s="86" t="n"/>
      <c r="BU189" s="23" t="n"/>
      <c r="BV189" s="23" t="n"/>
      <c r="BW189" s="23" t="n"/>
      <c r="BX189" s="87">
        <f>IF(AND(Tasks[[#This Row],[_IsLeaf]]=1,ISNUMBER(Tasks[[#This Row],[Optimistic]]),ISNUMBER(Tasks[[#This Row],[Pessimistic]])),ROUND((Tasks[[#This Row],[Optimistic]]+4*N(Tasks[[#This Row],[_Days]])+Tasks[[#This Row],[Pessimistic]])/6,1),"")</f>
        <v/>
      </c>
      <c r="BY189" s="85" t="n"/>
      <c r="BZ189" s="85" t="n"/>
      <c r="CA189" s="22" t="n"/>
      <c r="CB189" s="42">
        <f>IF(Tasks[[#This Row],[Task Name]]="","",MAX(1,N(Tasks[[#This Row],[Level]])))</f>
        <v/>
      </c>
      <c r="CC189" s="42">
        <f>ROW()-ROW(Tasks[[#Headers],[ID]])</f>
        <v/>
      </c>
      <c r="CD189" s="42">
        <f>IF(OR(Tasks[[#This Row],[Task Name]]="",Tasks[[#This Row],[_Level]]&lt;=1),0,IFERROR(LOOKUP(2,1/(Tasks[[#Headers],[_Level]]:Tasks[[#This Row],[_Level]]=Tasks[[#This Row],[_Level]]-1),ROW(Tasks[[#Headers],[_Level]]:Tasks[[#This Row],[_Level]])),0))</f>
        <v/>
      </c>
      <c r="CE189" s="42">
        <f>IFERROR(N(INDEX(Tasks[_Level],Tasks[[#This Row],[_Row]]+1)),0)</f>
        <v/>
      </c>
      <c r="CF189" s="42">
        <f>AND(Tasks[[#This Row],[Task Name]]&lt;&gt;"",Tasks[[#This Row],[_NextLevel]]&gt;Tasks[[#This Row],[_Level]])</f>
        <v/>
      </c>
      <c r="CG189" s="42">
        <f>IF(Tasks[[#This Row],[_IsSummary]],COUNTIF(Tasks[WBS],Tasks[[#This Row],[WBS]]&amp;".*"),0)</f>
        <v/>
      </c>
      <c r="CH189" s="42">
        <f>IF(AND(Tasks[[#This Row],[Task Name]]&lt;&gt;"",NOT(Tasks[[#This Row],[_IsSummary]])),1,0)</f>
        <v/>
      </c>
      <c r="CI189" s="42">
        <f>IF(N(Tasks[[#This Row],[_Pred1UID]])=0,0,IFERROR(MATCH(Tasks[[#This Row],[_Pred1UID]],Tasks[UID],0),-1))</f>
        <v/>
      </c>
      <c r="CJ189" s="42">
        <f>IF(N(Tasks[[#This Row],[_Pred2UID]])=0,0,IFERROR(MATCH(Tasks[[#This Row],[_Pred2UID]],Tasks[UID],0),-1))</f>
        <v/>
      </c>
      <c r="CK189" s="42">
        <f>IF(N(Tasks[[#This Row],[_Pred3UID]])=0,0,IFERROR(MATCH(Tasks[[#This Row],[_Pred3UID]],Tasks[UID],0),-1))</f>
        <v/>
      </c>
      <c r="CL189" s="42">
        <f>IF(N(Tasks[[#This Row],[_Pred4UID]])=0,0,IFERROR(MATCH(Tasks[[#This Row],[_Pred4UID]],Tasks[UID],0),-1))</f>
        <v/>
      </c>
      <c r="CM18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9" s="88">
        <f>IF(N(Tasks[[#This Row],[Constraint Date]])=0,0,IF(AND(OR(Tasks[[#This Row],[_ConstraintCode]]=3,Tasks[[#This Row],[_ConstraintCode]]=6,Tasks[[#This Row],[_ConstraintCode]]=7),N(Tasks[[#This Row],[_Days]])&gt;1),WORKDAY.INTL(N(Tasks[[#This Row],[Constraint Date]]),-(N(Tasks[[#This Row],[_Days]])-1),WorkWeek,Holidays),N(Tasks[[#This Row],[Constraint Date]])))</f>
        <v/>
      </c>
      <c r="CO189" s="88">
        <f>IF(OR(Tasks[[#This Row],[_ConstraintCode]]=2,Tasks[[#This Row],[_ConstraintCode]]=3,Tasks[[#This Row],[_ConstraintCode]]=4,Tasks[[#This Row],[_ConstraintCode]]=6),Tasks[[#This Row],[_ConstraintStart]],0)</f>
        <v/>
      </c>
      <c r="CP189" s="88">
        <f>IF(OR(Tasks[[#This Row],[_ConstraintCode]]=2,Tasks[[#This Row],[_ConstraintCode]]=3,Tasks[[#This Row],[_ConstraintCode]]=5,Tasks[[#This Row],[_ConstraintCode]]=7),Tasks[[#This Row],[_ConstraintStart]],2958465)</f>
        <v/>
      </c>
      <c r="CQ18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9" s="88">
        <f>IF(NOT(Tasks[[#This Row],[_IsLeaf]]=1),"",IF(N(Tasks[[#This Row],[_Days]])&lt;=0,Tasks[[#This Row],[_LeafCalcStart]],WORKDAY.INTL(Tasks[[#This Row],[_LeafCalcStart]],Tasks[[#This Row],[_Days]]-1,WorkWeek,Holidays)))</f>
        <v/>
      </c>
      <c r="CS18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9" s="42">
        <f>IF(Tasks[[#This Row],[_Predecessors]]="","",TRIM(MID(SUBSTITUTE(SUBSTITUTE(SUBSTITUTE(UPPER(Tasks[[#This Row],[_Predecessors]]),";",",")," ",""),",",REPT(" ",99)),1,99)))</f>
        <v/>
      </c>
      <c r="CV189" s="42">
        <f>IF(Tasks[[#This Row],[_Pred1Text]]="","",IFERROR(VALUE(LEFT(Tasks[[#This Row],[_Pred1Text]],MIN(FIND("F",Tasks[[#This Row],[_Pred1Text]]&amp;"F"),FIND("S",Tasks[[#This Row],[_Pred1Text]]&amp;"S"),FIND("+",Tasks[[#This Row],[_Pred1Text]]&amp;"+"),FIND("-",Tasks[[#This Row],[_Pred1Text]]&amp;"-"))-1)),""))</f>
        <v/>
      </c>
      <c r="CW18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9" s="42">
        <f>IF(Tasks[[#This Row],[_Pred1Text]]="","",TRIM(MID(SUBSTITUTE(SUBSTITUTE(SUBSTITUTE(UPPER(Tasks[[#This Row],[_Predecessors]]),";",",")," ",""),",",REPT(" ",99)),100,99)))</f>
        <v/>
      </c>
      <c r="CZ189" s="42">
        <f>IF(Tasks[[#This Row],[_Pred2Text]]="","",IFERROR(VALUE(LEFT(Tasks[[#This Row],[_Pred2Text]],MIN(FIND("F",Tasks[[#This Row],[_Pred2Text]]&amp;"F"),FIND("S",Tasks[[#This Row],[_Pred2Text]]&amp;"S"),FIND("+",Tasks[[#This Row],[_Pred2Text]]&amp;"+"),FIND("-",Tasks[[#This Row],[_Pred2Text]]&amp;"-"))-1)),""))</f>
        <v/>
      </c>
      <c r="DA18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9" s="42">
        <f>IF(Tasks[[#This Row],[_Pred2Text]]="","",TRIM(MID(SUBSTITUTE(SUBSTITUTE(SUBSTITUTE(UPPER(Tasks[[#This Row],[_Predecessors]]),";",",")," ",""),",",REPT(" ",99)),199,99)))</f>
        <v/>
      </c>
      <c r="DD189" s="42">
        <f>IF(Tasks[[#This Row],[_Pred3Text]]="","",IFERROR(VALUE(LEFT(Tasks[[#This Row],[_Pred3Text]],MIN(FIND("F",Tasks[[#This Row],[_Pred3Text]]&amp;"F"),FIND("S",Tasks[[#This Row],[_Pred3Text]]&amp;"S"),FIND("+",Tasks[[#This Row],[_Pred3Text]]&amp;"+"),FIND("-",Tasks[[#This Row],[_Pred3Text]]&amp;"-"))-1)),""))</f>
        <v/>
      </c>
      <c r="DE18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9" s="42">
        <f>IF(Tasks[[#This Row],[_Pred3Text]]="","",TRIM(MID(SUBSTITUTE(SUBSTITUTE(SUBSTITUTE(UPPER(Tasks[[#This Row],[_Predecessors]]),";",",")," ",""),",",REPT(" ",99)),298,99)))</f>
        <v/>
      </c>
      <c r="DH189" s="42">
        <f>IF(Tasks[[#This Row],[_Pred4Text]]="","",IFERROR(VALUE(LEFT(Tasks[[#This Row],[_Pred4Text]],MIN(FIND("F",Tasks[[#This Row],[_Pred4Text]]&amp;"F"),FIND("S",Tasks[[#This Row],[_Pred4Text]]&amp;"S"),FIND("+",Tasks[[#This Row],[_Pred4Text]]&amp;"+"),FIND("-",Tasks[[#This Row],[_Pred4Text]]&amp;"-"))-1)),""))</f>
        <v/>
      </c>
      <c r="DI18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9" s="42">
        <f>IF(OR(Tasks[[#This Row],[Task Name]]="",Tasks[[#This Row],[_Resources]]=""),"",TRIM(MID(SUBSTITUTE(Tasks[[#This Row],[_Resources]],",",REPT(" ",99)),1,99)))</f>
        <v/>
      </c>
      <c r="DL189" s="42">
        <f>IF(Tasks[[#This Row],[_Res1Text]]="","",TRIM(MID(SUBSTITUTE(Tasks[[#This Row],[_Resources]],",",REPT(" ",99)),100,99)))</f>
        <v/>
      </c>
      <c r="DM189" s="42">
        <f>IF(Tasks[[#This Row],[_Res2Text]]="","",TRIM(MID(SUBSTITUTE(Tasks[[#This Row],[_Resources]],",",REPT(" ",99)),199,99)))</f>
        <v/>
      </c>
      <c r="DN189" s="42">
        <f>IF(Tasks[[#This Row],[_Res3Text]]="","",TRIM(MID(SUBSTITUTE(Tasks[[#This Row],[_Resources]],",",REPT(" ",99)),298,99)))</f>
        <v/>
      </c>
      <c r="DO189" s="42">
        <f>IF(Tasks[[#This Row],[_Res1Text]]="",0,IFERROR(MATCH(TRIM(LEFT(Tasks[[#This Row],[_Res1Text]],FIND("[",Tasks[[#This Row],[_Res1Text]]&amp;"[")-1)),res_Name,0),IFERROR(MATCH(TRIM(LEFT(Tasks[[#This Row],[_Res1Text]],FIND("[",Tasks[[#This Row],[_Res1Text]]&amp;"[")-1)),res_Initials,0),0)))</f>
        <v/>
      </c>
      <c r="DP189" s="42">
        <f>IF(Tasks[[#This Row],[_Res2Text]]="",0,IFERROR(MATCH(TRIM(LEFT(Tasks[[#This Row],[_Res2Text]],FIND("[",Tasks[[#This Row],[_Res2Text]]&amp;"[")-1)),res_Name,0),IFERROR(MATCH(TRIM(LEFT(Tasks[[#This Row],[_Res2Text]],FIND("[",Tasks[[#This Row],[_Res2Text]]&amp;"[")-1)),res_Initials,0),0)))</f>
        <v/>
      </c>
      <c r="DQ189" s="42">
        <f>IF(Tasks[[#This Row],[_Res3Text]]="",0,IFERROR(MATCH(TRIM(LEFT(Tasks[[#This Row],[_Res3Text]],FIND("[",Tasks[[#This Row],[_Res3Text]]&amp;"[")-1)),res_Name,0),IFERROR(MATCH(TRIM(LEFT(Tasks[[#This Row],[_Res3Text]],FIND("[",Tasks[[#This Row],[_Res3Text]]&amp;"[")-1)),res_Initials,0),0)))</f>
        <v/>
      </c>
      <c r="DR189" s="42">
        <f>IF(Tasks[[#This Row],[_Res4Text]]="",0,IFERROR(MATCH(TRIM(LEFT(Tasks[[#This Row],[_Res4Text]],FIND("[",Tasks[[#This Row],[_Res4Text]]&amp;"[")-1)),res_Name,0),IFERROR(MATCH(TRIM(LEFT(Tasks[[#This Row],[_Res4Text]],FIND("[",Tasks[[#This Row],[_Res4Text]]&amp;"[")-1)),res_Initials,0),0)))</f>
        <v/>
      </c>
      <c r="DS189" s="42">
        <f>IF(Tasks[[#This Row],[_Res1Text]]="","",IF(Tasks[[#This Row],[_Res1Row]]&gt;0,INDEX(res_Name,Tasks[[#This Row],[_Res1Row]]),TRIM(LEFT(Tasks[[#This Row],[_Res1Text]],FIND("[",Tasks[[#This Row],[_Res1Text]]&amp;"[")-1))))</f>
        <v/>
      </c>
      <c r="DT18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9" s="42">
        <f>IF(NOT(Tasks[[#This Row],[_IsLeaf]]=1),0,(Tasks[[#This Row],[_Resource1]]&lt;&gt;"")+(Tasks[[#This Row],[_Res2]]&lt;&gt;"")+(Tasks[[#This Row],[_Res3]]&lt;&gt;"")+(Tasks[[#This Row],[_Res4]]&lt;&gt;""))</f>
        <v/>
      </c>
      <c r="DV189" s="42">
        <f>IF(Tasks[[#This Row],[_Res2Text]]="","",IF(Tasks[[#This Row],[_Res2Row]]&gt;0,INDEX(res_Name,Tasks[[#This Row],[_Res2Row]]),TRIM(LEFT(Tasks[[#This Row],[_Res2Text]],FIND("[",Tasks[[#This Row],[_Res2Text]]&amp;"[")-1))))</f>
        <v/>
      </c>
      <c r="DW18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9" s="42">
        <f>IF(OR(NOT(Tasks[[#This Row],[_IsLeaf]]=1),Tasks[[#This Row],[_Res2Row]]=0),0,N(Tasks[[#This Row],[_Days]])*HoursPerDay*IF(Tasks[[#This Row],[_Res2Units]]="",DefaultUnits,Tasks[[#This Row],[_Res2Units]]))</f>
        <v/>
      </c>
      <c r="DY189" s="42">
        <f>IF(AND(AND(Tasks[[#This Row],[_IsLeaf]]=1,Tasks[[#This Row],[_LeafTotalWork]]&gt;0),Tasks[[#This Row],[_Res2Work]]&gt;0),Tasks[[#This Row],[_Res2Work]]/(Tasks[[#This Row],[_FinishWorkday]]-Tasks[[#This Row],[_StartWorkday]]+1),0)</f>
        <v/>
      </c>
      <c r="DZ189" s="42">
        <f>Tasks[[#This Row],[_Res2WorkPerWD]]*MAX(0,Tasks[[#This Row],[_StartWorkday]]-1)</f>
        <v/>
      </c>
      <c r="EA189" s="42">
        <f>Tasks[[#This Row],[_Res2Work]]*Tasks[[#This Row],[_LeafProgress]]</f>
        <v/>
      </c>
      <c r="EB189" s="42">
        <f>IF(Tasks[[#This Row],[_Res3Text]]="","",IF(Tasks[[#This Row],[_Res3Row]]&gt;0,INDEX(res_Name,Tasks[[#This Row],[_Res3Row]]),TRIM(LEFT(Tasks[[#This Row],[_Res3Text]],FIND("[",Tasks[[#This Row],[_Res3Text]]&amp;"[")-1))))</f>
        <v/>
      </c>
      <c r="EC18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9" s="42">
        <f>IF(OR(NOT(Tasks[[#This Row],[_IsLeaf]]=1),Tasks[[#This Row],[_Res3Row]]=0),0,N(Tasks[[#This Row],[_Days]])*HoursPerDay*IF(Tasks[[#This Row],[_Res3Units]]="",DefaultUnits,Tasks[[#This Row],[_Res3Units]]))</f>
        <v/>
      </c>
      <c r="EE189" s="42">
        <f>IF(AND(AND(Tasks[[#This Row],[_IsLeaf]]=1,Tasks[[#This Row],[_LeafTotalWork]]&gt;0),Tasks[[#This Row],[_Res3Work]]&gt;0),Tasks[[#This Row],[_Res3Work]]/(Tasks[[#This Row],[_FinishWorkday]]-Tasks[[#This Row],[_StartWorkday]]+1),0)</f>
        <v/>
      </c>
      <c r="EF189" s="42">
        <f>Tasks[[#This Row],[_Res3WorkPerWD]]*MAX(0,Tasks[[#This Row],[_StartWorkday]]-1)</f>
        <v/>
      </c>
      <c r="EG189" s="42">
        <f>Tasks[[#This Row],[_Res3Work]]*Tasks[[#This Row],[_LeafProgress]]</f>
        <v/>
      </c>
      <c r="EH189" s="42">
        <f>IF(Tasks[[#This Row],[_Res4Text]]="","",IF(Tasks[[#This Row],[_Res4Row]]&gt;0,INDEX(res_Name,Tasks[[#This Row],[_Res4Row]]),TRIM(LEFT(Tasks[[#This Row],[_Res4Text]],FIND("[",Tasks[[#This Row],[_Res4Text]]&amp;"[")-1))))</f>
        <v/>
      </c>
      <c r="EI18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9" s="42">
        <f>IF(OR(NOT(Tasks[[#This Row],[_IsLeaf]]=1),Tasks[[#This Row],[_Res4Row]]=0),0,N(Tasks[[#This Row],[_Days]])*HoursPerDay*IF(Tasks[[#This Row],[_Res4Units]]="",DefaultUnits,Tasks[[#This Row],[_Res4Units]]))</f>
        <v/>
      </c>
      <c r="EK189" s="42">
        <f>IF(AND(AND(Tasks[[#This Row],[_IsLeaf]]=1,Tasks[[#This Row],[_LeafTotalWork]]&gt;0),Tasks[[#This Row],[_Res4Work]]&gt;0),Tasks[[#This Row],[_Res4Work]]/(Tasks[[#This Row],[_FinishWorkday]]-Tasks[[#This Row],[_StartWorkday]]+1),0)</f>
        <v/>
      </c>
      <c r="EL189" s="42">
        <f>Tasks[[#This Row],[_Res4WorkPerWD]]*MAX(0,Tasks[[#This Row],[_StartWorkday]]-1)</f>
        <v/>
      </c>
      <c r="EM189" s="42">
        <f>Tasks[[#This Row],[_Res4Work]]*Tasks[[#This Row],[_LeafProgress]]</f>
        <v/>
      </c>
      <c r="EN189" s="42">
        <f>IF(ISNUMBER(Tasks[[#This Row],[% Complete]]),Tasks[[#This Row],[% Complete]],IF(Tasks[[#This Row],[Stage]]="",0,IFERROR(INDEX(stg_Pct,MATCH(Tasks[[#This Row],[Stage]],stg_Name,0)),0)))</f>
        <v/>
      </c>
      <c r="EO189" s="42">
        <f>IF(NOT(Tasks[[#This Row],[_IsLeaf]]=1),0,IF(N(Tasks[[#This Row],[Actual Finish]])&gt;0,1,MIN(1,Tasks[[#This Row],[_Pct]])))</f>
        <v/>
      </c>
      <c r="EP189" s="42">
        <f>IF(OR(NOT(Tasks[[#This Row],[_IsLeaf]]=1),Tasks[[#This Row],[_Res1Row]]=0),0,N(Tasks[[#This Row],[_Days]])*HoursPerDay*IF(Tasks[[#This Row],[_Units1]]="",DefaultUnits,Tasks[[#This Row],[_Units1]]))</f>
        <v/>
      </c>
      <c r="EQ189" s="42">
        <f>Tasks[[#This Row],[_LeafWork]]+Tasks[[#This Row],[_Res2Work]]+Tasks[[#This Row],[_Res3Work]]+Tasks[[#This Row],[_Res4Work]]</f>
        <v/>
      </c>
      <c r="ER18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9" s="42">
        <f>IF(NOT(Tasks[[#This Row],[_IsLeaf]]=1),0,MAX(_xlfn.MAXIFS(Tasks[_Row],Tasks[_Pred1UID],Tasks[[#This Row],[UID]]),_xlfn.MAXIFS(Tasks[_Row],Tasks[_Pred2UID],Tasks[[#This Row],[UID]]),_xlfn.MAXIFS(Tasks[_Row],Tasks[_Pred3UID],Tasks[[#This Row],[UID]]),_xlfn.MAXIFS(Tasks[_Row],Tasks[_Pred4UID],Tasks[[#This Row],[UID]])))</f>
        <v/>
      </c>
      <c r="FA18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9" s="88">
        <f>IF(NOT(Tasks[[#This Row],[_IsLeaf]]=1),"",IF(N(Tasks[[#This Row],[_Days]])&lt;=0,Tasks[[#This Row],[_LeafLateFinish]],WORKDAY.INTL(Tasks[[#This Row],[_LeafLateFinish]],-(Tasks[[#This Row],[_Days]]-1),WorkWeek,Holidays)))</f>
        <v/>
      </c>
      <c r="FD18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9" s="42">
        <f>AND(Tasks[[#This Row],[_IsLeaf]]=1,Tasks[[#This Row],[_LeafProgress]]&lt;1,N(Tasks[[#This Row],[_LeafTotalSlack]])&lt;=CriticalSlackDays)</f>
        <v/>
      </c>
      <c r="FF189" s="42">
        <f>IF(AND(Tasks[[#This Row],[_IsLeaf]]=1,Tasks[[#This Row],[_ConstraintCode]]=1,Tasks[[#This Row],[Mode]]&lt;&gt;"Manual",N(Tasks[[#This Row],[Actual Start]])=0),MAX(0,N(Tasks[[#This Row],[Free Slack]])),0)</f>
        <v/>
      </c>
      <c r="FG189" s="88">
        <f>IF(NOT(Tasks[[#This Row],[_IsLeaf]]=1),"",IF(Tasks[[#This Row],[_AlapShift]]=0,Tasks[[#This Row],[_LeafCalcStart]],WORKDAY.INTL(Tasks[[#This Row],[_LeafCalcStart]],Tasks[[#This Row],[_AlapShift]],WorkWeek,Holidays)))</f>
        <v/>
      </c>
      <c r="FH189" s="88">
        <f>IF(NOT(Tasks[[#This Row],[_IsLeaf]]=1),"",IF(Tasks[[#This Row],[_AlapShift]]=0,Tasks[[#This Row],[_LeafCalcFinish]],WORKDAY.INTL(Tasks[[#This Row],[_LeafCalcFinish]],Tasks[[#This Row],[_AlapShift]],WorkWeek,Holidays)))</f>
        <v/>
      </c>
      <c r="FI189" s="88">
        <f>IF(NOT(Tasks[[#This Row],[_IsLeaf]]=1),"",IF(Tasks[[#This Row],[_AlapShift]]=0,Tasks[[#This Row],[_LeafFcstStart]],WORKDAY.INTL(Tasks[[#This Row],[_LeafFcstStart]],Tasks[[#This Row],[_AlapShift]],WorkWeek,Holidays)))</f>
        <v/>
      </c>
      <c r="FJ189" s="88">
        <f>IF(NOT(Tasks[[#This Row],[_IsLeaf]]=1),"",IF(Tasks[[#This Row],[_AlapShift]]=0,Tasks[[#This Row],[_LeafFcstFinish]],WORKDAY.INTL(Tasks[[#This Row],[_LeafFcstFinish]],Tasks[[#This Row],[_AlapShift]],WorkWeek,Holidays)))</f>
        <v/>
      </c>
      <c r="FK189" s="88">
        <f>IF(Tasks[[#This Row],[Task Name]]="","",IF(Tasks[[#This Row],[_IsSummary]],MIN(INDEX(Tasks[_ShownCalcStart],Tasks[[#This Row],[_Row]]+1):INDEX(Tasks[_ShownCalcStart],Tasks[[#This Row],[_Row]]+Tasks[[#This Row],[_Descendants]])),Tasks[[#This Row],[_ShownCalcStart]]))</f>
        <v/>
      </c>
      <c r="FL189" s="88">
        <f>IF(Tasks[[#This Row],[Task Name]]="","",IF(Tasks[[#This Row],[_IsSummary]],MAX(INDEX(Tasks[_ShownCalcFinish],Tasks[[#This Row],[_Row]]+1):INDEX(Tasks[_ShownCalcFinish],Tasks[[#This Row],[_Row]]+Tasks[[#This Row],[_Descendants]])),Tasks[[#This Row],[_ShownCalcFinish]]))</f>
        <v/>
      </c>
      <c r="FM18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9" s="42">
        <f>IF(AND(Tasks[[#This Row],[_IsLeaf]]=1,Tasks[[#This Row],[_LeafTotalWork]]&gt;0),NETWORKDAYS.INTL(ProjectStart,Tasks[[#This Row],[_ShownFcstStart]],WorkWeek,Holidays),0)</f>
        <v/>
      </c>
      <c r="FZ189" s="42">
        <f>IF(AND(Tasks[[#This Row],[_IsLeaf]]=1,Tasks[[#This Row],[_LeafTotalWork]]&gt;0),MAX(Tasks[[#This Row],[_StartWorkday]],NETWORKDAYS.INTL(ProjectStart,Tasks[[#This Row],[_ShownFcstFinish]],WorkWeek,Holidays)),0)</f>
        <v/>
      </c>
      <c r="GA189" s="42">
        <f>IF(AND(Tasks[[#This Row],[_IsLeaf]]=1,Tasks[[#This Row],[_LeafTotalWork]]&gt;0),Tasks[[#This Row],[_LeafWork]]/(Tasks[[#This Row],[_FinishWorkday]]-Tasks[[#This Row],[_StartWorkday]]+1),0)</f>
        <v/>
      </c>
      <c r="GB189" s="42">
        <f>Tasks[[#This Row],[_WorkPerWorkday]]*(Tasks[[#This Row],[_StartWorkday]]-1)</f>
        <v/>
      </c>
      <c r="GC189" s="42">
        <f>IF(Tasks[[#This Row],[_IsLeaf]]=1,MAX(N(Tasks[[#This Row],[_Days]]),0.1),0)</f>
        <v/>
      </c>
      <c r="GD189" s="42">
        <f>Tasks[[#This Row],[_WeightDur]]*Tasks[[#This Row],[_LeafProgress]]</f>
        <v/>
      </c>
      <c r="GE189" s="42">
        <f>Tasks[[#This Row],[_WeightDur]]*Tasks[[#This Row],[_PlannedPct]]</f>
        <v/>
      </c>
      <c r="GF18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9" s="42">
        <f>IF(AND(Tasks[[#This Row],[_IsLeaf]]=1,N(Tasks[[#This Row],[_Days]])=0,Tasks[[#This Row],[_LeafProgress]]&lt;1),Tasks[[#This Row],[_ShownFcstFinish]]+Tasks[[#This Row],[_Row]]/100000,"")</f>
        <v/>
      </c>
      <c r="GH18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9" s="42">
        <f>IF(Tasks[[#This Row],[Task Name]]="","",LEFT(Tasks[[#This Row],[WBS]],FIND(".",Tasks[[#This Row],[WBS]]&amp;".")-1))</f>
        <v/>
      </c>
      <c r="GJ189" s="42">
        <f>IF(AND(Tasks[[#This Row],[Task Name]]&lt;&gt;"",Tasks[[#This Row],[_Level]]=1),Tasks[[#This Row],[_Row]],"")</f>
        <v/>
      </c>
      <c r="GK189" s="42">
        <f>IF(AND(Tasks[[#This Row],[_IsLeaf]]=1,N(Tasks[[#This Row],[_Days]])=0),Tasks[[#This Row],[Planned Finish]]+Tasks[[#This Row],[_Row]]/100000,"")</f>
        <v/>
      </c>
      <c r="GL189" s="42">
        <f>IF(AND(Tasks[[#This Row],[_IsLeaf]]=1,Tasks[[#This Row],[_LeafProgress]]&lt;1,OR(N(Tasks[[#This Row],[Finish Var]])&gt;0,Tasks[[#This Row],[Status]]="Late Start")),MAX(0,Tasks[[#This Row],[Finish Var]])+1-Tasks[[#This Row],[_Row]]/1000000,"")</f>
        <v/>
      </c>
      <c r="GM189" s="42">
        <f>IF(AND(Tasks[[#This Row],[_IsLeaf]]=1,N(Tasks[[#This Row],[Actual Start]])=0,Tasks[[#This Row],[_ShownFcstStart]]&gt;=StatusDate,Tasks[[#This Row],[_ShownFcstStart]]&lt;=LookaheadEnd),Tasks[[#This Row],[_ShownFcstStart]]+Tasks[[#This Row],[_Row]]/100000,"")</f>
        <v/>
      </c>
      <c r="GN189" s="42">
        <f>IF(AND(Tasks[[#This Row],[_IsLeaf]]=1,Tasks[[#This Row],[_LeafProgress]]&lt;1,Tasks[[#This Row],[_ShownFcstFinish]]&gt;=StatusDate,Tasks[[#This Row],[_ShownFcstFinish]]&lt;=LookaheadEnd),Tasks[[#This Row],[_ShownFcstFinish]]+Tasks[[#This Row],[_Row]]/100000,"")</f>
        <v/>
      </c>
      <c r="GO189" s="42">
        <f>IF(Tasks[[#This Row],[_LeafCritical]],Tasks[[#This Row],[_ShownFcstStart]]+Tasks[[#This Row],[_Row]]/100000,"")</f>
        <v/>
      </c>
      <c r="GP189" s="42">
        <f>Tasks[[#This Row],[_LeafWork]]*Tasks[[#This Row],[_LeafProgress]]</f>
        <v/>
      </c>
      <c r="GQ189" s="88">
        <f>IF(AND(Tasks[[#This Row],[_IsLeaf]]=1,Tasks[[#This Row],[_LeafProgress]]&gt;=1),IF(N(Tasks[[#This Row],[Actual Finish]])&gt;0,Tasks[[#This Row],[Actual Finish]],Tasks[[#This Row],[_ShownFcstFinish]]),"")</f>
        <v/>
      </c>
      <c r="GR189" s="42">
        <f>IF(Tasks[[#This Row],[_IsLeaf]]=1,N(Tasks[[#This Row],[Story Points]]),0)</f>
        <v/>
      </c>
      <c r="GS189" s="42">
        <f>""</f>
        <v/>
      </c>
      <c r="GT189" s="42">
        <f>IF(Tasks[[#This Row],[Task Name]]="",FALSE(),AND(Tasks[[#This Row],[_IsLeaf]]=1,N(Tasks[[#This Row],[_Days]])=0))</f>
        <v/>
      </c>
      <c r="GU189" s="88">
        <f>IF(Tasks[[#This Row],[Task Name]]="",0,IF(AND(Tasks[[#This Row],[_IsLeaf]]=1,NOT(Tasks[[#This Row],[_IsMilestone]]),N(Tasks[[#This Row],[Progress]])&gt;0),Tasks[[#This Row],[Start]],0))</f>
        <v/>
      </c>
      <c r="GV189" s="88">
        <f>IF(Tasks[[#This Row],[_DoneFrom]]=0,0,IF(Tasks[[#This Row],[Progress]]&gt;=1,Tasks[[#This Row],[Finish]],MAX(Tasks[[#This Row],[_DoneFrom]],Tasks[[#This Row],[Start]]+ROUND((Tasks[[#This Row],[Finish]]-Tasks[[#This Row],[Start]]+1)*Tasks[[#This Row],[Progress]],0)-1)))</f>
        <v/>
      </c>
      <c r="GW189" s="88">
        <f>IF(Tasks[[#This Row],[Task Name]]="",0,IF(OR(NOT(Tasks[[#This Row],[_IsLeaf]]=1),Tasks[[#This Row],[_IsMilestone]],N(Tasks[[#This Row],[Progress]])&gt;=1),0,IF(Tasks[[#This Row],[_DoneTo]]&gt;0,Tasks[[#This Row],[_DoneTo]]+1,Tasks[[#This Row],[Start]])))</f>
        <v/>
      </c>
      <c r="GX189" s="88">
        <f>IF(Tasks[[#This Row],[_RemFrom]]=0,0,Tasks[[#This Row],[Finish]])</f>
        <v/>
      </c>
      <c r="GY189" s="42">
        <f>IF(Tasks[[#This Row],[Task Name]]="",FALSE(),OR(NOT(BaselineSet),N(Tasks[[#This Row],[Baseline Start]])&gt;0))</f>
        <v/>
      </c>
      <c r="GZ189" s="42">
        <f>IF(AND(Sandbox="Yes",L_PARSE_DURATION(Tasks[[#This Row],[Sandbox Duration]])&lt;&gt;""),L_PARSE_DURATION(Tasks[[#This Row],[Sandbox Duration]]),L_PARSE_DURATION(Tasks[[#This Row],[Duration]]))</f>
        <v/>
      </c>
      <c r="HA18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8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9" s="42">
        <f>IF(Tasks[[#This Row],[_IsLeaf]]=1,Tasks[[#This Row],[_Row]],"")</f>
        <v/>
      </c>
      <c r="HD189" s="42">
        <f>IFERROR(INDEX(Tasks[UID],SMALL(Tasks[_PickKey],Tasks[[#This Row],[_Row]]))&amp;" "&amp;INDEX(Tasks[Task Name],SMALL(Tasks[_PickKey],Tasks[[#This Row],[_Row]])),"")</f>
        <v/>
      </c>
      <c r="HE189" s="42">
        <f>IF(Tasks[[#This Row],[Task Name]]="","",IF(Tasks[[#This Row],[_IsSummary]],NETWORKDAYS.INTL(Tasks[[#This Row],[Start]],Tasks[[#This Row],[Finish]],WorkWeek,Holidays),N(Tasks[[#This Row],[_Days]])))</f>
        <v/>
      </c>
      <c r="HF189" s="42">
        <f>IF(Tasks[[#This Row],[Expected]]="",0,((Tasks[[#This Row],[Pessimistic]]-Tasks[[#This Row],[Optimistic]])/6)^2)</f>
        <v/>
      </c>
      <c r="HG189" s="42">
        <f>IF(Tasks[[#This Row],[Expected]]="",0,Tasks[[#This Row],[Expected]]-N(Tasks[[#This Row],[_Days]]))</f>
        <v/>
      </c>
    </row>
    <row r="190">
      <c r="A190" s="21">
        <f>IF(Tasks[[#This Row],[Task Name]]="","",COUNTA(Tasks[[#Headers],[Task Name]]:Tasks[[#This Row],[Task Name]])-1)</f>
        <v/>
      </c>
      <c r="B190" s="22" t="n">
        <v>198</v>
      </c>
      <c r="C190" s="22" t="n"/>
      <c r="D190" s="23" t="n"/>
      <c r="E190" s="22" t="n"/>
      <c r="F190" s="23" t="n"/>
      <c r="G190" s="22" t="n"/>
      <c r="H190" s="22" t="n"/>
      <c r="I190" s="23" t="n"/>
      <c r="J190" s="22" t="n"/>
      <c r="K190" s="22" t="n"/>
      <c r="L190" s="23" t="n"/>
      <c r="M190" s="22" t="n"/>
      <c r="N190" s="22" t="n"/>
      <c r="O190" s="23" t="n"/>
      <c r="P190" s="22" t="n"/>
      <c r="Q190" s="22" t="n"/>
      <c r="R190" s="23" t="n"/>
      <c r="S190" s="23" t="n"/>
      <c r="T190" s="82" t="n"/>
      <c r="U190" s="23" t="n"/>
      <c r="V190" s="82" t="n"/>
      <c r="W190" s="23" t="n"/>
      <c r="X190" s="82" t="n"/>
      <c r="Y190" s="23" t="n"/>
      <c r="Z190" s="82" t="n"/>
      <c r="AA190" s="23" t="n"/>
      <c r="AB190" s="23" t="n"/>
      <c r="AC190" s="7" t="n"/>
      <c r="AD190" s="7" t="n"/>
      <c r="AE190" s="61">
        <f>IF(Tasks[[#This Row],[Task Name]]="","",IF(Tasks[[#This Row],[_IsSummary]],MIN(INDEX(Tasks[_ShownFcstStart],Tasks[[#This Row],[_Row]]+1):INDEX(Tasks[_ShownFcstStart],Tasks[[#This Row],[_Row]]+Tasks[[#This Row],[_Descendants]])),Tasks[[#This Row],[_ShownFcstStart]]))</f>
        <v/>
      </c>
      <c r="AF190" s="61">
        <f>IF(Tasks[[#This Row],[Task Name]]="","",IF(Tasks[[#This Row],[_IsSummary]],MAX(INDEX(Tasks[_ShownFcstFinish],Tasks[[#This Row],[_Row]]+1):INDEX(Tasks[_ShownFcstFinish],Tasks[[#This Row],[_Row]]+Tasks[[#This Row],[_Descendants]])),Tasks[[#This Row],[_ShownFcstFinish]]))</f>
        <v/>
      </c>
      <c r="AG190" s="21">
        <f>""</f>
        <v/>
      </c>
      <c r="AH190" s="23" t="n"/>
      <c r="AI19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0" s="7" t="n"/>
      <c r="AK190" s="22" t="n"/>
      <c r="AL190" s="23" t="n"/>
      <c r="AM190" s="7" t="n"/>
      <c r="AN190" s="21">
        <f>IF(Tasks[[#This Row],[Task Name]]="","",IF(Tasks[[#This Row],[Finish]]&gt;=Tasks[[#This Row],[Planned Finish]],NETWORKDAYS.INTL(Tasks[[#This Row],[Planned Finish]],Tasks[[#This Row],[Finish]],WorkWeek,Holidays)-1,1-NETWORKDAYS.INTL(Tasks[[#This Row],[Finish]],Tasks[[#This Row],[Planned Finish]],WorkWeek,Holidays)))</f>
        <v/>
      </c>
      <c r="AO190" s="21">
        <f>IF(Tasks[[#This Row],[Task Name]]="","",IF(Tasks[[#This Row],[Progress]]&gt;=1,"Complete",IF(OR(N(Tasks[[#This Row],[Actual Start]])&gt;0,Tasks[[#This Row],[Progress]]&gt;0),IF(Tasks[[#This Row],[Finish Var]]&gt;0,"Behind","In Progress"),IF(Tasks[[#This Row],[Planned Start]]&lt;StatusDate,"Late Start","Not Started"))))</f>
        <v/>
      </c>
      <c r="AP190" s="21">
        <f>IF(Tasks[[#This Row],[Task Name]]="","",IF(IF(Tasks[[#This Row],[_IsSummary]],COUNTIF(INDEX(Tasks[_LeafCritical],Tasks[[#This Row],[_Row]]+1):INDEX(Tasks[_LeafCritical],Tasks[[#This Row],[_Row]]+Tasks[[#This Row],[_Descendants]]),TRUE())&gt;0,Tasks[[#This Row],[_LeafCritical]]),"Yes",""))</f>
        <v/>
      </c>
      <c r="AQ190" s="61">
        <f>IF(Tasks[[#This Row],[Task Name]]="","",IF(N(Tasks[[#This Row],[Baseline Start]])&gt;0,Tasks[[#This Row],[Baseline Start]],Tasks[[#This Row],[_CalcStart]]))</f>
        <v/>
      </c>
      <c r="AR190" s="61">
        <f>IF(Tasks[[#This Row],[Task Name]]="","",IF(N(Tasks[[#This Row],[Baseline Finish]])&gt;0,Tasks[[#This Row],[Baseline Finish]],Tasks[[#This Row],[_CalcFinish]]))</f>
        <v/>
      </c>
      <c r="AS190" s="21">
        <f>IF(Tasks[[#This Row],[Task Name]]="","",IF(Tasks[[#This Row],[Start]]&gt;=Tasks[[#This Row],[Planned Start]],NETWORKDAYS.INTL(Tasks[[#This Row],[Planned Start]],Tasks[[#This Row],[Start]],WorkWeek,Holidays)-1,1-NETWORKDAYS.INTL(Tasks[[#This Row],[Start]],Tasks[[#This Row],[Planned Start]],WorkWeek,Holidays)))</f>
        <v/>
      </c>
      <c r="AT190" s="61">
        <f>IF(Tasks[[#This Row],[Task Name]]="","",IF(Tasks[[#This Row],[_IsSummary]],MIN(INDEX(Tasks[_LeafLateStart],Tasks[[#This Row],[_Row]]+1):INDEX(Tasks[_LeafLateStart],Tasks[[#This Row],[_Row]]+Tasks[[#This Row],[_Descendants]])),Tasks[[#This Row],[_LeafLateStart]]))</f>
        <v/>
      </c>
      <c r="AU190" s="61">
        <f>IF(Tasks[[#This Row],[Task Name]]="","",IF(Tasks[[#This Row],[_IsSummary]],MAX(INDEX(Tasks[_LeafLateFinish],Tasks[[#This Row],[_Row]]+1):INDEX(Tasks[_LeafLateFinish],Tasks[[#This Row],[_Row]]+Tasks[[#This Row],[_Descendants]])),Tasks[[#This Row],[_LeafLateFinish]]))</f>
        <v/>
      </c>
      <c r="AV190" s="21">
        <f>IF(Tasks[[#This Row],[Task Name]]="","",IF(Tasks[[#This Row],[_IsSummary]],MIN(INDEX(Tasks[_LeafTotalSlack],Tasks[[#This Row],[_Row]]+1):INDEX(Tasks[_LeafTotalSlack],Tasks[[#This Row],[_Row]]+Tasks[[#This Row],[_Descendants]])),Tasks[[#This Row],[_LeafTotalSlack]]))</f>
        <v/>
      </c>
      <c r="AW19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3" t="n"/>
      <c r="BA19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f>IF(Tasks[[#This Row],[Task Name]]="","",IF(Tasks[[#This Row],[_Level]]&lt;=OutlineShowLevel,"Yes","No"))</f>
        <v/>
      </c>
      <c r="BE190" s="84">
        <f>IF(Tasks[[#This Row],[Task Name]]="","",IF(Tasks[[#This Row],[_IsSummary]],SUM(INDEX(Tasks[_LeafTotalWork],Tasks[[#This Row],[_Row]]+1):INDEX(Tasks[_LeafTotalWork],Tasks[[#This Row],[_Row]]+Tasks[[#This Row],[_Descendants]])),Tasks[[#This Row],[_LeafTotalWork]]))</f>
        <v/>
      </c>
      <c r="BF190" s="23" t="n"/>
      <c r="BG19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f>""</f>
        <v/>
      </c>
      <c r="BI190" s="85" t="n"/>
      <c r="BJ190" s="22" t="n"/>
      <c r="BK190" s="21">
        <f>IF(OR(Tasks[[#This Row],[Task Name]]="",Tasks[[#This Row],[Baseline Duration]]=""),"",Tasks[[#This Row],[_SpanDays]]-N(Tasks[[#This Row],[Baseline Duration]]))</f>
        <v/>
      </c>
      <c r="BL190" s="84">
        <f>IF(OR(Tasks[[#This Row],[Task Name]]="",Tasks[[#This Row],[Baseline Work]]=""),"",Tasks[[#This Row],[Work]]-N(Tasks[[#This Row],[Baseline Work]]))</f>
        <v/>
      </c>
      <c r="BM190" s="61">
        <f>IF(Tasks[[#This Row],[Task Name]]="","",IF(OR(TakeBaseline="Yes",N(Tasks[[#This Row],[Baseline Start]])=0),Tasks[[#This Row],[Start]],Tasks[[#This Row],[Baseline Start]]))</f>
        <v/>
      </c>
      <c r="BN190" s="61">
        <f>IF(Tasks[[#This Row],[Task Name]]="","",IF(OR(TakeBaseline="Yes",N(Tasks[[#This Row],[Baseline Finish]])=0),Tasks[[#This Row],[Finish]],Tasks[[#This Row],[Baseline Finish]]))</f>
        <v/>
      </c>
      <c r="BO190" s="21">
        <f>IF(Tasks[[#This Row],[Task Name]]="","",IF(OR(TakeBaseline="Yes",N(Tasks[[#This Row],[Baseline Duration]])=0),Tasks[[#This Row],[_SpanDays]],Tasks[[#This Row],[Baseline Duration]]))</f>
        <v/>
      </c>
      <c r="BP190" s="84">
        <f>IF(Tasks[[#This Row],[Task Name]]="","",IF(OR(TakeBaseline="Yes",N(Tasks[[#This Row],[Baseline Work]])=0),Tasks[[#This Row],[Work]],Tasks[[#This Row],[Baseline Work]]))</f>
        <v/>
      </c>
      <c r="BQ190" s="7" t="n"/>
      <c r="BR190" s="7" t="n"/>
      <c r="BS190" s="22" t="n"/>
      <c r="BT190" s="86" t="n"/>
      <c r="BU190" s="23" t="n"/>
      <c r="BV190" s="23" t="n"/>
      <c r="BW190" s="23" t="n"/>
      <c r="BX190" s="87">
        <f>IF(AND(Tasks[[#This Row],[_IsLeaf]]=1,ISNUMBER(Tasks[[#This Row],[Optimistic]]),ISNUMBER(Tasks[[#This Row],[Pessimistic]])),ROUND((Tasks[[#This Row],[Optimistic]]+4*N(Tasks[[#This Row],[_Days]])+Tasks[[#This Row],[Pessimistic]])/6,1),"")</f>
        <v/>
      </c>
      <c r="BY190" s="85" t="n"/>
      <c r="BZ190" s="85" t="n"/>
      <c r="CA190" s="22" t="n"/>
      <c r="CB190" s="42">
        <f>IF(Tasks[[#This Row],[Task Name]]="","",MAX(1,N(Tasks[[#This Row],[Level]])))</f>
        <v/>
      </c>
      <c r="CC190" s="42">
        <f>ROW()-ROW(Tasks[[#Headers],[ID]])</f>
        <v/>
      </c>
      <c r="CD190" s="42">
        <f>IF(OR(Tasks[[#This Row],[Task Name]]="",Tasks[[#This Row],[_Level]]&lt;=1),0,IFERROR(LOOKUP(2,1/(Tasks[[#Headers],[_Level]]:Tasks[[#This Row],[_Level]]=Tasks[[#This Row],[_Level]]-1),ROW(Tasks[[#Headers],[_Level]]:Tasks[[#This Row],[_Level]])),0))</f>
        <v/>
      </c>
      <c r="CE190" s="42">
        <f>IFERROR(N(INDEX(Tasks[_Level],Tasks[[#This Row],[_Row]]+1)),0)</f>
        <v/>
      </c>
      <c r="CF190" s="42">
        <f>AND(Tasks[[#This Row],[Task Name]]&lt;&gt;"",Tasks[[#This Row],[_NextLevel]]&gt;Tasks[[#This Row],[_Level]])</f>
        <v/>
      </c>
      <c r="CG190" s="42">
        <f>IF(Tasks[[#This Row],[_IsSummary]],COUNTIF(Tasks[WBS],Tasks[[#This Row],[WBS]]&amp;".*"),0)</f>
        <v/>
      </c>
      <c r="CH190" s="42">
        <f>IF(AND(Tasks[[#This Row],[Task Name]]&lt;&gt;"",NOT(Tasks[[#This Row],[_IsSummary]])),1,0)</f>
        <v/>
      </c>
      <c r="CI190" s="42">
        <f>IF(N(Tasks[[#This Row],[_Pred1UID]])=0,0,IFERROR(MATCH(Tasks[[#This Row],[_Pred1UID]],Tasks[UID],0),-1))</f>
        <v/>
      </c>
      <c r="CJ190" s="42">
        <f>IF(N(Tasks[[#This Row],[_Pred2UID]])=0,0,IFERROR(MATCH(Tasks[[#This Row],[_Pred2UID]],Tasks[UID],0),-1))</f>
        <v/>
      </c>
      <c r="CK190" s="42">
        <f>IF(N(Tasks[[#This Row],[_Pred3UID]])=0,0,IFERROR(MATCH(Tasks[[#This Row],[_Pred3UID]],Tasks[UID],0),-1))</f>
        <v/>
      </c>
      <c r="CL190" s="42">
        <f>IF(N(Tasks[[#This Row],[_Pred4UID]])=0,0,IFERROR(MATCH(Tasks[[#This Row],[_Pred4UID]],Tasks[UID],0),-1))</f>
        <v/>
      </c>
      <c r="CM19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0" s="88">
        <f>IF(N(Tasks[[#This Row],[Constraint Date]])=0,0,IF(AND(OR(Tasks[[#This Row],[_ConstraintCode]]=3,Tasks[[#This Row],[_ConstraintCode]]=6,Tasks[[#This Row],[_ConstraintCode]]=7),N(Tasks[[#This Row],[_Days]])&gt;1),WORKDAY.INTL(N(Tasks[[#This Row],[Constraint Date]]),-(N(Tasks[[#This Row],[_Days]])-1),WorkWeek,Holidays),N(Tasks[[#This Row],[Constraint Date]])))</f>
        <v/>
      </c>
      <c r="CO190" s="88">
        <f>IF(OR(Tasks[[#This Row],[_ConstraintCode]]=2,Tasks[[#This Row],[_ConstraintCode]]=3,Tasks[[#This Row],[_ConstraintCode]]=4,Tasks[[#This Row],[_ConstraintCode]]=6),Tasks[[#This Row],[_ConstraintStart]],0)</f>
        <v/>
      </c>
      <c r="CP190" s="88">
        <f>IF(OR(Tasks[[#This Row],[_ConstraintCode]]=2,Tasks[[#This Row],[_ConstraintCode]]=3,Tasks[[#This Row],[_ConstraintCode]]=5,Tasks[[#This Row],[_ConstraintCode]]=7),Tasks[[#This Row],[_ConstraintStart]],2958465)</f>
        <v/>
      </c>
      <c r="CQ19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0" s="88">
        <f>IF(NOT(Tasks[[#This Row],[_IsLeaf]]=1),"",IF(N(Tasks[[#This Row],[_Days]])&lt;=0,Tasks[[#This Row],[_LeafCalcStart]],WORKDAY.INTL(Tasks[[#This Row],[_LeafCalcStart]],Tasks[[#This Row],[_Days]]-1,WorkWeek,Holidays)))</f>
        <v/>
      </c>
      <c r="CS19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0" s="42">
        <f>IF(Tasks[[#This Row],[_Predecessors]]="","",TRIM(MID(SUBSTITUTE(SUBSTITUTE(SUBSTITUTE(UPPER(Tasks[[#This Row],[_Predecessors]]),";",",")," ",""),",",REPT(" ",99)),1,99)))</f>
        <v/>
      </c>
      <c r="CV190" s="42">
        <f>IF(Tasks[[#This Row],[_Pred1Text]]="","",IFERROR(VALUE(LEFT(Tasks[[#This Row],[_Pred1Text]],MIN(FIND("F",Tasks[[#This Row],[_Pred1Text]]&amp;"F"),FIND("S",Tasks[[#This Row],[_Pred1Text]]&amp;"S"),FIND("+",Tasks[[#This Row],[_Pred1Text]]&amp;"+"),FIND("-",Tasks[[#This Row],[_Pred1Text]]&amp;"-"))-1)),""))</f>
        <v/>
      </c>
      <c r="CW19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0" s="42">
        <f>IF(Tasks[[#This Row],[_Pred1Text]]="","",TRIM(MID(SUBSTITUTE(SUBSTITUTE(SUBSTITUTE(UPPER(Tasks[[#This Row],[_Predecessors]]),";",",")," ",""),",",REPT(" ",99)),100,99)))</f>
        <v/>
      </c>
      <c r="CZ190" s="42">
        <f>IF(Tasks[[#This Row],[_Pred2Text]]="","",IFERROR(VALUE(LEFT(Tasks[[#This Row],[_Pred2Text]],MIN(FIND("F",Tasks[[#This Row],[_Pred2Text]]&amp;"F"),FIND("S",Tasks[[#This Row],[_Pred2Text]]&amp;"S"),FIND("+",Tasks[[#This Row],[_Pred2Text]]&amp;"+"),FIND("-",Tasks[[#This Row],[_Pred2Text]]&amp;"-"))-1)),""))</f>
        <v/>
      </c>
      <c r="DA19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0" s="42">
        <f>IF(Tasks[[#This Row],[_Pred2Text]]="","",TRIM(MID(SUBSTITUTE(SUBSTITUTE(SUBSTITUTE(UPPER(Tasks[[#This Row],[_Predecessors]]),";",",")," ",""),",",REPT(" ",99)),199,99)))</f>
        <v/>
      </c>
      <c r="DD190" s="42">
        <f>IF(Tasks[[#This Row],[_Pred3Text]]="","",IFERROR(VALUE(LEFT(Tasks[[#This Row],[_Pred3Text]],MIN(FIND("F",Tasks[[#This Row],[_Pred3Text]]&amp;"F"),FIND("S",Tasks[[#This Row],[_Pred3Text]]&amp;"S"),FIND("+",Tasks[[#This Row],[_Pred3Text]]&amp;"+"),FIND("-",Tasks[[#This Row],[_Pred3Text]]&amp;"-"))-1)),""))</f>
        <v/>
      </c>
      <c r="DE19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0" s="42">
        <f>IF(Tasks[[#This Row],[_Pred3Text]]="","",TRIM(MID(SUBSTITUTE(SUBSTITUTE(SUBSTITUTE(UPPER(Tasks[[#This Row],[_Predecessors]]),";",",")," ",""),",",REPT(" ",99)),298,99)))</f>
        <v/>
      </c>
      <c r="DH190" s="42">
        <f>IF(Tasks[[#This Row],[_Pred4Text]]="","",IFERROR(VALUE(LEFT(Tasks[[#This Row],[_Pred4Text]],MIN(FIND("F",Tasks[[#This Row],[_Pred4Text]]&amp;"F"),FIND("S",Tasks[[#This Row],[_Pred4Text]]&amp;"S"),FIND("+",Tasks[[#This Row],[_Pred4Text]]&amp;"+"),FIND("-",Tasks[[#This Row],[_Pred4Text]]&amp;"-"))-1)),""))</f>
        <v/>
      </c>
      <c r="DI19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0" s="42">
        <f>IF(OR(Tasks[[#This Row],[Task Name]]="",Tasks[[#This Row],[_Resources]]=""),"",TRIM(MID(SUBSTITUTE(Tasks[[#This Row],[_Resources]],",",REPT(" ",99)),1,99)))</f>
        <v/>
      </c>
      <c r="DL190" s="42">
        <f>IF(Tasks[[#This Row],[_Res1Text]]="","",TRIM(MID(SUBSTITUTE(Tasks[[#This Row],[_Resources]],",",REPT(" ",99)),100,99)))</f>
        <v/>
      </c>
      <c r="DM190" s="42">
        <f>IF(Tasks[[#This Row],[_Res2Text]]="","",TRIM(MID(SUBSTITUTE(Tasks[[#This Row],[_Resources]],",",REPT(" ",99)),199,99)))</f>
        <v/>
      </c>
      <c r="DN190" s="42">
        <f>IF(Tasks[[#This Row],[_Res3Text]]="","",TRIM(MID(SUBSTITUTE(Tasks[[#This Row],[_Resources]],",",REPT(" ",99)),298,99)))</f>
        <v/>
      </c>
      <c r="DO190" s="42">
        <f>IF(Tasks[[#This Row],[_Res1Text]]="",0,IFERROR(MATCH(TRIM(LEFT(Tasks[[#This Row],[_Res1Text]],FIND("[",Tasks[[#This Row],[_Res1Text]]&amp;"[")-1)),res_Name,0),IFERROR(MATCH(TRIM(LEFT(Tasks[[#This Row],[_Res1Text]],FIND("[",Tasks[[#This Row],[_Res1Text]]&amp;"[")-1)),res_Initials,0),0)))</f>
        <v/>
      </c>
      <c r="DP190" s="42">
        <f>IF(Tasks[[#This Row],[_Res2Text]]="",0,IFERROR(MATCH(TRIM(LEFT(Tasks[[#This Row],[_Res2Text]],FIND("[",Tasks[[#This Row],[_Res2Text]]&amp;"[")-1)),res_Name,0),IFERROR(MATCH(TRIM(LEFT(Tasks[[#This Row],[_Res2Text]],FIND("[",Tasks[[#This Row],[_Res2Text]]&amp;"[")-1)),res_Initials,0),0)))</f>
        <v/>
      </c>
      <c r="DQ190" s="42">
        <f>IF(Tasks[[#This Row],[_Res3Text]]="",0,IFERROR(MATCH(TRIM(LEFT(Tasks[[#This Row],[_Res3Text]],FIND("[",Tasks[[#This Row],[_Res3Text]]&amp;"[")-1)),res_Name,0),IFERROR(MATCH(TRIM(LEFT(Tasks[[#This Row],[_Res3Text]],FIND("[",Tasks[[#This Row],[_Res3Text]]&amp;"[")-1)),res_Initials,0),0)))</f>
        <v/>
      </c>
      <c r="DR190" s="42">
        <f>IF(Tasks[[#This Row],[_Res4Text]]="",0,IFERROR(MATCH(TRIM(LEFT(Tasks[[#This Row],[_Res4Text]],FIND("[",Tasks[[#This Row],[_Res4Text]]&amp;"[")-1)),res_Name,0),IFERROR(MATCH(TRIM(LEFT(Tasks[[#This Row],[_Res4Text]],FIND("[",Tasks[[#This Row],[_Res4Text]]&amp;"[")-1)),res_Initials,0),0)))</f>
        <v/>
      </c>
      <c r="DS190" s="42">
        <f>IF(Tasks[[#This Row],[_Res1Text]]="","",IF(Tasks[[#This Row],[_Res1Row]]&gt;0,INDEX(res_Name,Tasks[[#This Row],[_Res1Row]]),TRIM(LEFT(Tasks[[#This Row],[_Res1Text]],FIND("[",Tasks[[#This Row],[_Res1Text]]&amp;"[")-1))))</f>
        <v/>
      </c>
      <c r="DT19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0" s="42">
        <f>IF(NOT(Tasks[[#This Row],[_IsLeaf]]=1),0,(Tasks[[#This Row],[_Resource1]]&lt;&gt;"")+(Tasks[[#This Row],[_Res2]]&lt;&gt;"")+(Tasks[[#This Row],[_Res3]]&lt;&gt;"")+(Tasks[[#This Row],[_Res4]]&lt;&gt;""))</f>
        <v/>
      </c>
      <c r="DV190" s="42">
        <f>IF(Tasks[[#This Row],[_Res2Text]]="","",IF(Tasks[[#This Row],[_Res2Row]]&gt;0,INDEX(res_Name,Tasks[[#This Row],[_Res2Row]]),TRIM(LEFT(Tasks[[#This Row],[_Res2Text]],FIND("[",Tasks[[#This Row],[_Res2Text]]&amp;"[")-1))))</f>
        <v/>
      </c>
      <c r="DW19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0" s="42">
        <f>IF(OR(NOT(Tasks[[#This Row],[_IsLeaf]]=1),Tasks[[#This Row],[_Res2Row]]=0),0,N(Tasks[[#This Row],[_Days]])*HoursPerDay*IF(Tasks[[#This Row],[_Res2Units]]="",DefaultUnits,Tasks[[#This Row],[_Res2Units]]))</f>
        <v/>
      </c>
      <c r="DY190" s="42">
        <f>IF(AND(AND(Tasks[[#This Row],[_IsLeaf]]=1,Tasks[[#This Row],[_LeafTotalWork]]&gt;0),Tasks[[#This Row],[_Res2Work]]&gt;0),Tasks[[#This Row],[_Res2Work]]/(Tasks[[#This Row],[_FinishWorkday]]-Tasks[[#This Row],[_StartWorkday]]+1),0)</f>
        <v/>
      </c>
      <c r="DZ190" s="42">
        <f>Tasks[[#This Row],[_Res2WorkPerWD]]*MAX(0,Tasks[[#This Row],[_StartWorkday]]-1)</f>
        <v/>
      </c>
      <c r="EA190" s="42">
        <f>Tasks[[#This Row],[_Res2Work]]*Tasks[[#This Row],[_LeafProgress]]</f>
        <v/>
      </c>
      <c r="EB190" s="42">
        <f>IF(Tasks[[#This Row],[_Res3Text]]="","",IF(Tasks[[#This Row],[_Res3Row]]&gt;0,INDEX(res_Name,Tasks[[#This Row],[_Res3Row]]),TRIM(LEFT(Tasks[[#This Row],[_Res3Text]],FIND("[",Tasks[[#This Row],[_Res3Text]]&amp;"[")-1))))</f>
        <v/>
      </c>
      <c r="EC19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0" s="42">
        <f>IF(OR(NOT(Tasks[[#This Row],[_IsLeaf]]=1),Tasks[[#This Row],[_Res3Row]]=0),0,N(Tasks[[#This Row],[_Days]])*HoursPerDay*IF(Tasks[[#This Row],[_Res3Units]]="",DefaultUnits,Tasks[[#This Row],[_Res3Units]]))</f>
        <v/>
      </c>
      <c r="EE190" s="42">
        <f>IF(AND(AND(Tasks[[#This Row],[_IsLeaf]]=1,Tasks[[#This Row],[_LeafTotalWork]]&gt;0),Tasks[[#This Row],[_Res3Work]]&gt;0),Tasks[[#This Row],[_Res3Work]]/(Tasks[[#This Row],[_FinishWorkday]]-Tasks[[#This Row],[_StartWorkday]]+1),0)</f>
        <v/>
      </c>
      <c r="EF190" s="42">
        <f>Tasks[[#This Row],[_Res3WorkPerWD]]*MAX(0,Tasks[[#This Row],[_StartWorkday]]-1)</f>
        <v/>
      </c>
      <c r="EG190" s="42">
        <f>Tasks[[#This Row],[_Res3Work]]*Tasks[[#This Row],[_LeafProgress]]</f>
        <v/>
      </c>
      <c r="EH190" s="42">
        <f>IF(Tasks[[#This Row],[_Res4Text]]="","",IF(Tasks[[#This Row],[_Res4Row]]&gt;0,INDEX(res_Name,Tasks[[#This Row],[_Res4Row]]),TRIM(LEFT(Tasks[[#This Row],[_Res4Text]],FIND("[",Tasks[[#This Row],[_Res4Text]]&amp;"[")-1))))</f>
        <v/>
      </c>
      <c r="EI19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0" s="42">
        <f>IF(OR(NOT(Tasks[[#This Row],[_IsLeaf]]=1),Tasks[[#This Row],[_Res4Row]]=0),0,N(Tasks[[#This Row],[_Days]])*HoursPerDay*IF(Tasks[[#This Row],[_Res4Units]]="",DefaultUnits,Tasks[[#This Row],[_Res4Units]]))</f>
        <v/>
      </c>
      <c r="EK190" s="42">
        <f>IF(AND(AND(Tasks[[#This Row],[_IsLeaf]]=1,Tasks[[#This Row],[_LeafTotalWork]]&gt;0),Tasks[[#This Row],[_Res4Work]]&gt;0),Tasks[[#This Row],[_Res4Work]]/(Tasks[[#This Row],[_FinishWorkday]]-Tasks[[#This Row],[_StartWorkday]]+1),0)</f>
        <v/>
      </c>
      <c r="EL190" s="42">
        <f>Tasks[[#This Row],[_Res4WorkPerWD]]*MAX(0,Tasks[[#This Row],[_StartWorkday]]-1)</f>
        <v/>
      </c>
      <c r="EM190" s="42">
        <f>Tasks[[#This Row],[_Res4Work]]*Tasks[[#This Row],[_LeafProgress]]</f>
        <v/>
      </c>
      <c r="EN190" s="42">
        <f>IF(ISNUMBER(Tasks[[#This Row],[% Complete]]),Tasks[[#This Row],[% Complete]],IF(Tasks[[#This Row],[Stage]]="",0,IFERROR(INDEX(stg_Pct,MATCH(Tasks[[#This Row],[Stage]],stg_Name,0)),0)))</f>
        <v/>
      </c>
      <c r="EO190" s="42">
        <f>IF(NOT(Tasks[[#This Row],[_IsLeaf]]=1),0,IF(N(Tasks[[#This Row],[Actual Finish]])&gt;0,1,MIN(1,Tasks[[#This Row],[_Pct]])))</f>
        <v/>
      </c>
      <c r="EP190" s="42">
        <f>IF(OR(NOT(Tasks[[#This Row],[_IsLeaf]]=1),Tasks[[#This Row],[_Res1Row]]=0),0,N(Tasks[[#This Row],[_Days]])*HoursPerDay*IF(Tasks[[#This Row],[_Units1]]="",DefaultUnits,Tasks[[#This Row],[_Units1]]))</f>
        <v/>
      </c>
      <c r="EQ190" s="42">
        <f>Tasks[[#This Row],[_LeafWork]]+Tasks[[#This Row],[_Res2Work]]+Tasks[[#This Row],[_Res3Work]]+Tasks[[#This Row],[_Res4Work]]</f>
        <v/>
      </c>
      <c r="ER19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0" s="42">
        <f>IF(NOT(Tasks[[#This Row],[_IsLeaf]]=1),0,MAX(_xlfn.MAXIFS(Tasks[_Row],Tasks[_Pred1UID],Tasks[[#This Row],[UID]]),_xlfn.MAXIFS(Tasks[_Row],Tasks[_Pred2UID],Tasks[[#This Row],[UID]]),_xlfn.MAXIFS(Tasks[_Row],Tasks[_Pred3UID],Tasks[[#This Row],[UID]]),_xlfn.MAXIFS(Tasks[_Row],Tasks[_Pred4UID],Tasks[[#This Row],[UID]])))</f>
        <v/>
      </c>
      <c r="FA19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0" s="88">
        <f>IF(NOT(Tasks[[#This Row],[_IsLeaf]]=1),"",IF(N(Tasks[[#This Row],[_Days]])&lt;=0,Tasks[[#This Row],[_LeafLateFinish]],WORKDAY.INTL(Tasks[[#This Row],[_LeafLateFinish]],-(Tasks[[#This Row],[_Days]]-1),WorkWeek,Holidays)))</f>
        <v/>
      </c>
      <c r="FD19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0" s="42">
        <f>AND(Tasks[[#This Row],[_IsLeaf]]=1,Tasks[[#This Row],[_LeafProgress]]&lt;1,N(Tasks[[#This Row],[_LeafTotalSlack]])&lt;=CriticalSlackDays)</f>
        <v/>
      </c>
      <c r="FF190" s="42">
        <f>IF(AND(Tasks[[#This Row],[_IsLeaf]]=1,Tasks[[#This Row],[_ConstraintCode]]=1,Tasks[[#This Row],[Mode]]&lt;&gt;"Manual",N(Tasks[[#This Row],[Actual Start]])=0),MAX(0,N(Tasks[[#This Row],[Free Slack]])),0)</f>
        <v/>
      </c>
      <c r="FG190" s="88">
        <f>IF(NOT(Tasks[[#This Row],[_IsLeaf]]=1),"",IF(Tasks[[#This Row],[_AlapShift]]=0,Tasks[[#This Row],[_LeafCalcStart]],WORKDAY.INTL(Tasks[[#This Row],[_LeafCalcStart]],Tasks[[#This Row],[_AlapShift]],WorkWeek,Holidays)))</f>
        <v/>
      </c>
      <c r="FH190" s="88">
        <f>IF(NOT(Tasks[[#This Row],[_IsLeaf]]=1),"",IF(Tasks[[#This Row],[_AlapShift]]=0,Tasks[[#This Row],[_LeafCalcFinish]],WORKDAY.INTL(Tasks[[#This Row],[_LeafCalcFinish]],Tasks[[#This Row],[_AlapShift]],WorkWeek,Holidays)))</f>
        <v/>
      </c>
      <c r="FI190" s="88">
        <f>IF(NOT(Tasks[[#This Row],[_IsLeaf]]=1),"",IF(Tasks[[#This Row],[_AlapShift]]=0,Tasks[[#This Row],[_LeafFcstStart]],WORKDAY.INTL(Tasks[[#This Row],[_LeafFcstStart]],Tasks[[#This Row],[_AlapShift]],WorkWeek,Holidays)))</f>
        <v/>
      </c>
      <c r="FJ190" s="88">
        <f>IF(NOT(Tasks[[#This Row],[_IsLeaf]]=1),"",IF(Tasks[[#This Row],[_AlapShift]]=0,Tasks[[#This Row],[_LeafFcstFinish]],WORKDAY.INTL(Tasks[[#This Row],[_LeafFcstFinish]],Tasks[[#This Row],[_AlapShift]],WorkWeek,Holidays)))</f>
        <v/>
      </c>
      <c r="FK190" s="88">
        <f>IF(Tasks[[#This Row],[Task Name]]="","",IF(Tasks[[#This Row],[_IsSummary]],MIN(INDEX(Tasks[_ShownCalcStart],Tasks[[#This Row],[_Row]]+1):INDEX(Tasks[_ShownCalcStart],Tasks[[#This Row],[_Row]]+Tasks[[#This Row],[_Descendants]])),Tasks[[#This Row],[_ShownCalcStart]]))</f>
        <v/>
      </c>
      <c r="FL190" s="88">
        <f>IF(Tasks[[#This Row],[Task Name]]="","",IF(Tasks[[#This Row],[_IsSummary]],MAX(INDEX(Tasks[_ShownCalcFinish],Tasks[[#This Row],[_Row]]+1):INDEX(Tasks[_ShownCalcFinish],Tasks[[#This Row],[_Row]]+Tasks[[#This Row],[_Descendants]])),Tasks[[#This Row],[_ShownCalcFinish]]))</f>
        <v/>
      </c>
      <c r="FM19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0" s="42">
        <f>IF(AND(Tasks[[#This Row],[_IsLeaf]]=1,Tasks[[#This Row],[_LeafTotalWork]]&gt;0),NETWORKDAYS.INTL(ProjectStart,Tasks[[#This Row],[_ShownFcstStart]],WorkWeek,Holidays),0)</f>
        <v/>
      </c>
      <c r="FZ190" s="42">
        <f>IF(AND(Tasks[[#This Row],[_IsLeaf]]=1,Tasks[[#This Row],[_LeafTotalWork]]&gt;0),MAX(Tasks[[#This Row],[_StartWorkday]],NETWORKDAYS.INTL(ProjectStart,Tasks[[#This Row],[_ShownFcstFinish]],WorkWeek,Holidays)),0)</f>
        <v/>
      </c>
      <c r="GA190" s="42">
        <f>IF(AND(Tasks[[#This Row],[_IsLeaf]]=1,Tasks[[#This Row],[_LeafTotalWork]]&gt;0),Tasks[[#This Row],[_LeafWork]]/(Tasks[[#This Row],[_FinishWorkday]]-Tasks[[#This Row],[_StartWorkday]]+1),0)</f>
        <v/>
      </c>
      <c r="GB190" s="42">
        <f>Tasks[[#This Row],[_WorkPerWorkday]]*(Tasks[[#This Row],[_StartWorkday]]-1)</f>
        <v/>
      </c>
      <c r="GC190" s="42">
        <f>IF(Tasks[[#This Row],[_IsLeaf]]=1,MAX(N(Tasks[[#This Row],[_Days]]),0.1),0)</f>
        <v/>
      </c>
      <c r="GD190" s="42">
        <f>Tasks[[#This Row],[_WeightDur]]*Tasks[[#This Row],[_LeafProgress]]</f>
        <v/>
      </c>
      <c r="GE190" s="42">
        <f>Tasks[[#This Row],[_WeightDur]]*Tasks[[#This Row],[_PlannedPct]]</f>
        <v/>
      </c>
      <c r="GF19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0" s="42">
        <f>IF(AND(Tasks[[#This Row],[_IsLeaf]]=1,N(Tasks[[#This Row],[_Days]])=0,Tasks[[#This Row],[_LeafProgress]]&lt;1),Tasks[[#This Row],[_ShownFcstFinish]]+Tasks[[#This Row],[_Row]]/100000,"")</f>
        <v/>
      </c>
      <c r="GH19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0" s="42">
        <f>IF(Tasks[[#This Row],[Task Name]]="","",LEFT(Tasks[[#This Row],[WBS]],FIND(".",Tasks[[#This Row],[WBS]]&amp;".")-1))</f>
        <v/>
      </c>
      <c r="GJ190" s="42">
        <f>IF(AND(Tasks[[#This Row],[Task Name]]&lt;&gt;"",Tasks[[#This Row],[_Level]]=1),Tasks[[#This Row],[_Row]],"")</f>
        <v/>
      </c>
      <c r="GK190" s="42">
        <f>IF(AND(Tasks[[#This Row],[_IsLeaf]]=1,N(Tasks[[#This Row],[_Days]])=0),Tasks[[#This Row],[Planned Finish]]+Tasks[[#This Row],[_Row]]/100000,"")</f>
        <v/>
      </c>
      <c r="GL190" s="42">
        <f>IF(AND(Tasks[[#This Row],[_IsLeaf]]=1,Tasks[[#This Row],[_LeafProgress]]&lt;1,OR(N(Tasks[[#This Row],[Finish Var]])&gt;0,Tasks[[#This Row],[Status]]="Late Start")),MAX(0,Tasks[[#This Row],[Finish Var]])+1-Tasks[[#This Row],[_Row]]/1000000,"")</f>
        <v/>
      </c>
      <c r="GM190" s="42">
        <f>IF(AND(Tasks[[#This Row],[_IsLeaf]]=1,N(Tasks[[#This Row],[Actual Start]])=0,Tasks[[#This Row],[_ShownFcstStart]]&gt;=StatusDate,Tasks[[#This Row],[_ShownFcstStart]]&lt;=LookaheadEnd),Tasks[[#This Row],[_ShownFcstStart]]+Tasks[[#This Row],[_Row]]/100000,"")</f>
        <v/>
      </c>
      <c r="GN190" s="42">
        <f>IF(AND(Tasks[[#This Row],[_IsLeaf]]=1,Tasks[[#This Row],[_LeafProgress]]&lt;1,Tasks[[#This Row],[_ShownFcstFinish]]&gt;=StatusDate,Tasks[[#This Row],[_ShownFcstFinish]]&lt;=LookaheadEnd),Tasks[[#This Row],[_ShownFcstFinish]]+Tasks[[#This Row],[_Row]]/100000,"")</f>
        <v/>
      </c>
      <c r="GO190" s="42">
        <f>IF(Tasks[[#This Row],[_LeafCritical]],Tasks[[#This Row],[_ShownFcstStart]]+Tasks[[#This Row],[_Row]]/100000,"")</f>
        <v/>
      </c>
      <c r="GP190" s="42">
        <f>Tasks[[#This Row],[_LeafWork]]*Tasks[[#This Row],[_LeafProgress]]</f>
        <v/>
      </c>
      <c r="GQ190" s="88">
        <f>IF(AND(Tasks[[#This Row],[_IsLeaf]]=1,Tasks[[#This Row],[_LeafProgress]]&gt;=1),IF(N(Tasks[[#This Row],[Actual Finish]])&gt;0,Tasks[[#This Row],[Actual Finish]],Tasks[[#This Row],[_ShownFcstFinish]]),"")</f>
        <v/>
      </c>
      <c r="GR190" s="42">
        <f>IF(Tasks[[#This Row],[_IsLeaf]]=1,N(Tasks[[#This Row],[Story Points]]),0)</f>
        <v/>
      </c>
      <c r="GS190" s="42">
        <f>""</f>
        <v/>
      </c>
      <c r="GT190" s="42">
        <f>IF(Tasks[[#This Row],[Task Name]]="",FALSE(),AND(Tasks[[#This Row],[_IsLeaf]]=1,N(Tasks[[#This Row],[_Days]])=0))</f>
        <v/>
      </c>
      <c r="GU190" s="88">
        <f>IF(Tasks[[#This Row],[Task Name]]="",0,IF(AND(Tasks[[#This Row],[_IsLeaf]]=1,NOT(Tasks[[#This Row],[_IsMilestone]]),N(Tasks[[#This Row],[Progress]])&gt;0),Tasks[[#This Row],[Start]],0))</f>
        <v/>
      </c>
      <c r="GV190" s="88">
        <f>IF(Tasks[[#This Row],[_DoneFrom]]=0,0,IF(Tasks[[#This Row],[Progress]]&gt;=1,Tasks[[#This Row],[Finish]],MAX(Tasks[[#This Row],[_DoneFrom]],Tasks[[#This Row],[Start]]+ROUND((Tasks[[#This Row],[Finish]]-Tasks[[#This Row],[Start]]+1)*Tasks[[#This Row],[Progress]],0)-1)))</f>
        <v/>
      </c>
      <c r="GW190" s="88">
        <f>IF(Tasks[[#This Row],[Task Name]]="",0,IF(OR(NOT(Tasks[[#This Row],[_IsLeaf]]=1),Tasks[[#This Row],[_IsMilestone]],N(Tasks[[#This Row],[Progress]])&gt;=1),0,IF(Tasks[[#This Row],[_DoneTo]]&gt;0,Tasks[[#This Row],[_DoneTo]]+1,Tasks[[#This Row],[Start]])))</f>
        <v/>
      </c>
      <c r="GX190" s="88">
        <f>IF(Tasks[[#This Row],[_RemFrom]]=0,0,Tasks[[#This Row],[Finish]])</f>
        <v/>
      </c>
      <c r="GY190" s="42">
        <f>IF(Tasks[[#This Row],[Task Name]]="",FALSE(),OR(NOT(BaselineSet),N(Tasks[[#This Row],[Baseline Start]])&gt;0))</f>
        <v/>
      </c>
      <c r="GZ190" s="42">
        <f>IF(AND(Sandbox="Yes",L_PARSE_DURATION(Tasks[[#This Row],[Sandbox Duration]])&lt;&gt;""),L_PARSE_DURATION(Tasks[[#This Row],[Sandbox Duration]]),L_PARSE_DURATION(Tasks[[#This Row],[Duration]]))</f>
        <v/>
      </c>
      <c r="HA19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0" s="42">
        <f>IF(Tasks[[#This Row],[_IsLeaf]]=1,Tasks[[#This Row],[_Row]],"")</f>
        <v/>
      </c>
      <c r="HD190" s="42">
        <f>IFERROR(INDEX(Tasks[UID],SMALL(Tasks[_PickKey],Tasks[[#This Row],[_Row]]))&amp;" "&amp;INDEX(Tasks[Task Name],SMALL(Tasks[_PickKey],Tasks[[#This Row],[_Row]])),"")</f>
        <v/>
      </c>
      <c r="HE190" s="42">
        <f>IF(Tasks[[#This Row],[Task Name]]="","",IF(Tasks[[#This Row],[_IsSummary]],NETWORKDAYS.INTL(Tasks[[#This Row],[Start]],Tasks[[#This Row],[Finish]],WorkWeek,Holidays),N(Tasks[[#This Row],[_Days]])))</f>
        <v/>
      </c>
      <c r="HF190" s="42">
        <f>IF(Tasks[[#This Row],[Expected]]="",0,((Tasks[[#This Row],[Pessimistic]]-Tasks[[#This Row],[Optimistic]])/6)^2)</f>
        <v/>
      </c>
      <c r="HG190" s="42">
        <f>IF(Tasks[[#This Row],[Expected]]="",0,Tasks[[#This Row],[Expected]]-N(Tasks[[#This Row],[_Days]]))</f>
        <v/>
      </c>
    </row>
    <row r="191">
      <c r="A191" s="21">
        <f>IF(Tasks[[#This Row],[Task Name]]="","",COUNTA(Tasks[[#Headers],[Task Name]]:Tasks[[#This Row],[Task Name]])-1)</f>
        <v/>
      </c>
      <c r="B191" s="22" t="n">
        <v>199</v>
      </c>
      <c r="C191" s="22" t="n"/>
      <c r="D191" s="23" t="n"/>
      <c r="E191" s="22" t="n"/>
      <c r="F191" s="23" t="n"/>
      <c r="G191" s="22" t="n"/>
      <c r="H191" s="22" t="n"/>
      <c r="I191" s="23" t="n"/>
      <c r="J191" s="22" t="n"/>
      <c r="K191" s="22" t="n"/>
      <c r="L191" s="23" t="n"/>
      <c r="M191" s="22" t="n"/>
      <c r="N191" s="22" t="n"/>
      <c r="O191" s="23" t="n"/>
      <c r="P191" s="22" t="n"/>
      <c r="Q191" s="22" t="n"/>
      <c r="R191" s="23" t="n"/>
      <c r="S191" s="23" t="n"/>
      <c r="T191" s="82" t="n"/>
      <c r="U191" s="23" t="n"/>
      <c r="V191" s="82" t="n"/>
      <c r="W191" s="23" t="n"/>
      <c r="X191" s="82" t="n"/>
      <c r="Y191" s="23" t="n"/>
      <c r="Z191" s="82" t="n"/>
      <c r="AA191" s="23" t="n"/>
      <c r="AB191" s="23" t="n"/>
      <c r="AC191" s="7" t="n"/>
      <c r="AD191" s="7" t="n"/>
      <c r="AE191" s="61">
        <f>IF(Tasks[[#This Row],[Task Name]]="","",IF(Tasks[[#This Row],[_IsSummary]],MIN(INDEX(Tasks[_ShownFcstStart],Tasks[[#This Row],[_Row]]+1):INDEX(Tasks[_ShownFcstStart],Tasks[[#This Row],[_Row]]+Tasks[[#This Row],[_Descendants]])),Tasks[[#This Row],[_ShownFcstStart]]))</f>
        <v/>
      </c>
      <c r="AF191" s="61">
        <f>IF(Tasks[[#This Row],[Task Name]]="","",IF(Tasks[[#This Row],[_IsSummary]],MAX(INDEX(Tasks[_ShownFcstFinish],Tasks[[#This Row],[_Row]]+1):INDEX(Tasks[_ShownFcstFinish],Tasks[[#This Row],[_Row]]+Tasks[[#This Row],[_Descendants]])),Tasks[[#This Row],[_ShownFcstFinish]]))</f>
        <v/>
      </c>
      <c r="AG191" s="21">
        <f>""</f>
        <v/>
      </c>
      <c r="AH191" s="23" t="n"/>
      <c r="AI19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1" s="7" t="n"/>
      <c r="AK191" s="22" t="n"/>
      <c r="AL191" s="23" t="n"/>
      <c r="AM191" s="7" t="n"/>
      <c r="AN191" s="21">
        <f>IF(Tasks[[#This Row],[Task Name]]="","",IF(Tasks[[#This Row],[Finish]]&gt;=Tasks[[#This Row],[Planned Finish]],NETWORKDAYS.INTL(Tasks[[#This Row],[Planned Finish]],Tasks[[#This Row],[Finish]],WorkWeek,Holidays)-1,1-NETWORKDAYS.INTL(Tasks[[#This Row],[Finish]],Tasks[[#This Row],[Planned Finish]],WorkWeek,Holidays)))</f>
        <v/>
      </c>
      <c r="AO191" s="21">
        <f>IF(Tasks[[#This Row],[Task Name]]="","",IF(Tasks[[#This Row],[Progress]]&gt;=1,"Complete",IF(OR(N(Tasks[[#This Row],[Actual Start]])&gt;0,Tasks[[#This Row],[Progress]]&gt;0),IF(Tasks[[#This Row],[Finish Var]]&gt;0,"Behind","In Progress"),IF(Tasks[[#This Row],[Planned Start]]&lt;StatusDate,"Late Start","Not Started"))))</f>
        <v/>
      </c>
      <c r="AP191" s="21">
        <f>IF(Tasks[[#This Row],[Task Name]]="","",IF(IF(Tasks[[#This Row],[_IsSummary]],COUNTIF(INDEX(Tasks[_LeafCritical],Tasks[[#This Row],[_Row]]+1):INDEX(Tasks[_LeafCritical],Tasks[[#This Row],[_Row]]+Tasks[[#This Row],[_Descendants]]),TRUE())&gt;0,Tasks[[#This Row],[_LeafCritical]]),"Yes",""))</f>
        <v/>
      </c>
      <c r="AQ191" s="61">
        <f>IF(Tasks[[#This Row],[Task Name]]="","",IF(N(Tasks[[#This Row],[Baseline Start]])&gt;0,Tasks[[#This Row],[Baseline Start]],Tasks[[#This Row],[_CalcStart]]))</f>
        <v/>
      </c>
      <c r="AR191" s="61">
        <f>IF(Tasks[[#This Row],[Task Name]]="","",IF(N(Tasks[[#This Row],[Baseline Finish]])&gt;0,Tasks[[#This Row],[Baseline Finish]],Tasks[[#This Row],[_CalcFinish]]))</f>
        <v/>
      </c>
      <c r="AS191" s="21">
        <f>IF(Tasks[[#This Row],[Task Name]]="","",IF(Tasks[[#This Row],[Start]]&gt;=Tasks[[#This Row],[Planned Start]],NETWORKDAYS.INTL(Tasks[[#This Row],[Planned Start]],Tasks[[#This Row],[Start]],WorkWeek,Holidays)-1,1-NETWORKDAYS.INTL(Tasks[[#This Row],[Start]],Tasks[[#This Row],[Planned Start]],WorkWeek,Holidays)))</f>
        <v/>
      </c>
      <c r="AT191" s="61">
        <f>IF(Tasks[[#This Row],[Task Name]]="","",IF(Tasks[[#This Row],[_IsSummary]],MIN(INDEX(Tasks[_LeafLateStart],Tasks[[#This Row],[_Row]]+1):INDEX(Tasks[_LeafLateStart],Tasks[[#This Row],[_Row]]+Tasks[[#This Row],[_Descendants]])),Tasks[[#This Row],[_LeafLateStart]]))</f>
        <v/>
      </c>
      <c r="AU191" s="61">
        <f>IF(Tasks[[#This Row],[Task Name]]="","",IF(Tasks[[#This Row],[_IsSummary]],MAX(INDEX(Tasks[_LeafLateFinish],Tasks[[#This Row],[_Row]]+1):INDEX(Tasks[_LeafLateFinish],Tasks[[#This Row],[_Row]]+Tasks[[#This Row],[_Descendants]])),Tasks[[#This Row],[_LeafLateFinish]]))</f>
        <v/>
      </c>
      <c r="AV191" s="21">
        <f>IF(Tasks[[#This Row],[Task Name]]="","",IF(Tasks[[#This Row],[_IsSummary]],MIN(INDEX(Tasks[_LeafTotalSlack],Tasks[[#This Row],[_Row]]+1):INDEX(Tasks[_LeafTotalSlack],Tasks[[#This Row],[_Row]]+Tasks[[#This Row],[_Descendants]])),Tasks[[#This Row],[_LeafTotalSlack]]))</f>
        <v/>
      </c>
      <c r="AW19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3" t="n"/>
      <c r="BA19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f>IF(Tasks[[#This Row],[Task Name]]="","",IF(Tasks[[#This Row],[_Level]]&lt;=OutlineShowLevel,"Yes","No"))</f>
        <v/>
      </c>
      <c r="BE191" s="84">
        <f>IF(Tasks[[#This Row],[Task Name]]="","",IF(Tasks[[#This Row],[_IsSummary]],SUM(INDEX(Tasks[_LeafTotalWork],Tasks[[#This Row],[_Row]]+1):INDEX(Tasks[_LeafTotalWork],Tasks[[#This Row],[_Row]]+Tasks[[#This Row],[_Descendants]])),Tasks[[#This Row],[_LeafTotalWork]]))</f>
        <v/>
      </c>
      <c r="BF191" s="23" t="n"/>
      <c r="BG19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f>""</f>
        <v/>
      </c>
      <c r="BI191" s="85" t="n"/>
      <c r="BJ191" s="22" t="n"/>
      <c r="BK191" s="21">
        <f>IF(OR(Tasks[[#This Row],[Task Name]]="",Tasks[[#This Row],[Baseline Duration]]=""),"",Tasks[[#This Row],[_SpanDays]]-N(Tasks[[#This Row],[Baseline Duration]]))</f>
        <v/>
      </c>
      <c r="BL191" s="84">
        <f>IF(OR(Tasks[[#This Row],[Task Name]]="",Tasks[[#This Row],[Baseline Work]]=""),"",Tasks[[#This Row],[Work]]-N(Tasks[[#This Row],[Baseline Work]]))</f>
        <v/>
      </c>
      <c r="BM191" s="61">
        <f>IF(Tasks[[#This Row],[Task Name]]="","",IF(OR(TakeBaseline="Yes",N(Tasks[[#This Row],[Baseline Start]])=0),Tasks[[#This Row],[Start]],Tasks[[#This Row],[Baseline Start]]))</f>
        <v/>
      </c>
      <c r="BN191" s="61">
        <f>IF(Tasks[[#This Row],[Task Name]]="","",IF(OR(TakeBaseline="Yes",N(Tasks[[#This Row],[Baseline Finish]])=0),Tasks[[#This Row],[Finish]],Tasks[[#This Row],[Baseline Finish]]))</f>
        <v/>
      </c>
      <c r="BO191" s="21">
        <f>IF(Tasks[[#This Row],[Task Name]]="","",IF(OR(TakeBaseline="Yes",N(Tasks[[#This Row],[Baseline Duration]])=0),Tasks[[#This Row],[_SpanDays]],Tasks[[#This Row],[Baseline Duration]]))</f>
        <v/>
      </c>
      <c r="BP191" s="84">
        <f>IF(Tasks[[#This Row],[Task Name]]="","",IF(OR(TakeBaseline="Yes",N(Tasks[[#This Row],[Baseline Work]])=0),Tasks[[#This Row],[Work]],Tasks[[#This Row],[Baseline Work]]))</f>
        <v/>
      </c>
      <c r="BQ191" s="7" t="n"/>
      <c r="BR191" s="7" t="n"/>
      <c r="BS191" s="22" t="n"/>
      <c r="BT191" s="86" t="n"/>
      <c r="BU191" s="23" t="n"/>
      <c r="BV191" s="23" t="n"/>
      <c r="BW191" s="23" t="n"/>
      <c r="BX191" s="87">
        <f>IF(AND(Tasks[[#This Row],[_IsLeaf]]=1,ISNUMBER(Tasks[[#This Row],[Optimistic]]),ISNUMBER(Tasks[[#This Row],[Pessimistic]])),ROUND((Tasks[[#This Row],[Optimistic]]+4*N(Tasks[[#This Row],[_Days]])+Tasks[[#This Row],[Pessimistic]])/6,1),"")</f>
        <v/>
      </c>
      <c r="BY191" s="85" t="n"/>
      <c r="BZ191" s="85" t="n"/>
      <c r="CA191" s="22" t="n"/>
      <c r="CB191" s="42">
        <f>IF(Tasks[[#This Row],[Task Name]]="","",MAX(1,N(Tasks[[#This Row],[Level]])))</f>
        <v/>
      </c>
      <c r="CC191" s="42">
        <f>ROW()-ROW(Tasks[[#Headers],[ID]])</f>
        <v/>
      </c>
      <c r="CD191" s="42">
        <f>IF(OR(Tasks[[#This Row],[Task Name]]="",Tasks[[#This Row],[_Level]]&lt;=1),0,IFERROR(LOOKUP(2,1/(Tasks[[#Headers],[_Level]]:Tasks[[#This Row],[_Level]]=Tasks[[#This Row],[_Level]]-1),ROW(Tasks[[#Headers],[_Level]]:Tasks[[#This Row],[_Level]])),0))</f>
        <v/>
      </c>
      <c r="CE191" s="42">
        <f>IFERROR(N(INDEX(Tasks[_Level],Tasks[[#This Row],[_Row]]+1)),0)</f>
        <v/>
      </c>
      <c r="CF191" s="42">
        <f>AND(Tasks[[#This Row],[Task Name]]&lt;&gt;"",Tasks[[#This Row],[_NextLevel]]&gt;Tasks[[#This Row],[_Level]])</f>
        <v/>
      </c>
      <c r="CG191" s="42">
        <f>IF(Tasks[[#This Row],[_IsSummary]],COUNTIF(Tasks[WBS],Tasks[[#This Row],[WBS]]&amp;".*"),0)</f>
        <v/>
      </c>
      <c r="CH191" s="42">
        <f>IF(AND(Tasks[[#This Row],[Task Name]]&lt;&gt;"",NOT(Tasks[[#This Row],[_IsSummary]])),1,0)</f>
        <v/>
      </c>
      <c r="CI191" s="42">
        <f>IF(N(Tasks[[#This Row],[_Pred1UID]])=0,0,IFERROR(MATCH(Tasks[[#This Row],[_Pred1UID]],Tasks[UID],0),-1))</f>
        <v/>
      </c>
      <c r="CJ191" s="42">
        <f>IF(N(Tasks[[#This Row],[_Pred2UID]])=0,0,IFERROR(MATCH(Tasks[[#This Row],[_Pred2UID]],Tasks[UID],0),-1))</f>
        <v/>
      </c>
      <c r="CK191" s="42">
        <f>IF(N(Tasks[[#This Row],[_Pred3UID]])=0,0,IFERROR(MATCH(Tasks[[#This Row],[_Pred3UID]],Tasks[UID],0),-1))</f>
        <v/>
      </c>
      <c r="CL191" s="42">
        <f>IF(N(Tasks[[#This Row],[_Pred4UID]])=0,0,IFERROR(MATCH(Tasks[[#This Row],[_Pred4UID]],Tasks[UID],0),-1))</f>
        <v/>
      </c>
      <c r="CM19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1" s="88">
        <f>IF(N(Tasks[[#This Row],[Constraint Date]])=0,0,IF(AND(OR(Tasks[[#This Row],[_ConstraintCode]]=3,Tasks[[#This Row],[_ConstraintCode]]=6,Tasks[[#This Row],[_ConstraintCode]]=7),N(Tasks[[#This Row],[_Days]])&gt;1),WORKDAY.INTL(N(Tasks[[#This Row],[Constraint Date]]),-(N(Tasks[[#This Row],[_Days]])-1),WorkWeek,Holidays),N(Tasks[[#This Row],[Constraint Date]])))</f>
        <v/>
      </c>
      <c r="CO191" s="88">
        <f>IF(OR(Tasks[[#This Row],[_ConstraintCode]]=2,Tasks[[#This Row],[_ConstraintCode]]=3,Tasks[[#This Row],[_ConstraintCode]]=4,Tasks[[#This Row],[_ConstraintCode]]=6),Tasks[[#This Row],[_ConstraintStart]],0)</f>
        <v/>
      </c>
      <c r="CP191" s="88">
        <f>IF(OR(Tasks[[#This Row],[_ConstraintCode]]=2,Tasks[[#This Row],[_ConstraintCode]]=3,Tasks[[#This Row],[_ConstraintCode]]=5,Tasks[[#This Row],[_ConstraintCode]]=7),Tasks[[#This Row],[_ConstraintStart]],2958465)</f>
        <v/>
      </c>
      <c r="CQ19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1" s="88">
        <f>IF(NOT(Tasks[[#This Row],[_IsLeaf]]=1),"",IF(N(Tasks[[#This Row],[_Days]])&lt;=0,Tasks[[#This Row],[_LeafCalcStart]],WORKDAY.INTL(Tasks[[#This Row],[_LeafCalcStart]],Tasks[[#This Row],[_Days]]-1,WorkWeek,Holidays)))</f>
        <v/>
      </c>
      <c r="CS19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1" s="42">
        <f>IF(Tasks[[#This Row],[_Predecessors]]="","",TRIM(MID(SUBSTITUTE(SUBSTITUTE(SUBSTITUTE(UPPER(Tasks[[#This Row],[_Predecessors]]),";",",")," ",""),",",REPT(" ",99)),1,99)))</f>
        <v/>
      </c>
      <c r="CV191" s="42">
        <f>IF(Tasks[[#This Row],[_Pred1Text]]="","",IFERROR(VALUE(LEFT(Tasks[[#This Row],[_Pred1Text]],MIN(FIND("F",Tasks[[#This Row],[_Pred1Text]]&amp;"F"),FIND("S",Tasks[[#This Row],[_Pred1Text]]&amp;"S"),FIND("+",Tasks[[#This Row],[_Pred1Text]]&amp;"+"),FIND("-",Tasks[[#This Row],[_Pred1Text]]&amp;"-"))-1)),""))</f>
        <v/>
      </c>
      <c r="CW19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1" s="42">
        <f>IF(Tasks[[#This Row],[_Pred1Text]]="","",TRIM(MID(SUBSTITUTE(SUBSTITUTE(SUBSTITUTE(UPPER(Tasks[[#This Row],[_Predecessors]]),";",",")," ",""),",",REPT(" ",99)),100,99)))</f>
        <v/>
      </c>
      <c r="CZ191" s="42">
        <f>IF(Tasks[[#This Row],[_Pred2Text]]="","",IFERROR(VALUE(LEFT(Tasks[[#This Row],[_Pred2Text]],MIN(FIND("F",Tasks[[#This Row],[_Pred2Text]]&amp;"F"),FIND("S",Tasks[[#This Row],[_Pred2Text]]&amp;"S"),FIND("+",Tasks[[#This Row],[_Pred2Text]]&amp;"+"),FIND("-",Tasks[[#This Row],[_Pred2Text]]&amp;"-"))-1)),""))</f>
        <v/>
      </c>
      <c r="DA19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1" s="42">
        <f>IF(Tasks[[#This Row],[_Pred2Text]]="","",TRIM(MID(SUBSTITUTE(SUBSTITUTE(SUBSTITUTE(UPPER(Tasks[[#This Row],[_Predecessors]]),";",",")," ",""),",",REPT(" ",99)),199,99)))</f>
        <v/>
      </c>
      <c r="DD191" s="42">
        <f>IF(Tasks[[#This Row],[_Pred3Text]]="","",IFERROR(VALUE(LEFT(Tasks[[#This Row],[_Pred3Text]],MIN(FIND("F",Tasks[[#This Row],[_Pred3Text]]&amp;"F"),FIND("S",Tasks[[#This Row],[_Pred3Text]]&amp;"S"),FIND("+",Tasks[[#This Row],[_Pred3Text]]&amp;"+"),FIND("-",Tasks[[#This Row],[_Pred3Text]]&amp;"-"))-1)),""))</f>
        <v/>
      </c>
      <c r="DE19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1" s="42">
        <f>IF(Tasks[[#This Row],[_Pred3Text]]="","",TRIM(MID(SUBSTITUTE(SUBSTITUTE(SUBSTITUTE(UPPER(Tasks[[#This Row],[_Predecessors]]),";",",")," ",""),",",REPT(" ",99)),298,99)))</f>
        <v/>
      </c>
      <c r="DH191" s="42">
        <f>IF(Tasks[[#This Row],[_Pred4Text]]="","",IFERROR(VALUE(LEFT(Tasks[[#This Row],[_Pred4Text]],MIN(FIND("F",Tasks[[#This Row],[_Pred4Text]]&amp;"F"),FIND("S",Tasks[[#This Row],[_Pred4Text]]&amp;"S"),FIND("+",Tasks[[#This Row],[_Pred4Text]]&amp;"+"),FIND("-",Tasks[[#This Row],[_Pred4Text]]&amp;"-"))-1)),""))</f>
        <v/>
      </c>
      <c r="DI19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1" s="42">
        <f>IF(OR(Tasks[[#This Row],[Task Name]]="",Tasks[[#This Row],[_Resources]]=""),"",TRIM(MID(SUBSTITUTE(Tasks[[#This Row],[_Resources]],",",REPT(" ",99)),1,99)))</f>
        <v/>
      </c>
      <c r="DL191" s="42">
        <f>IF(Tasks[[#This Row],[_Res1Text]]="","",TRIM(MID(SUBSTITUTE(Tasks[[#This Row],[_Resources]],",",REPT(" ",99)),100,99)))</f>
        <v/>
      </c>
      <c r="DM191" s="42">
        <f>IF(Tasks[[#This Row],[_Res2Text]]="","",TRIM(MID(SUBSTITUTE(Tasks[[#This Row],[_Resources]],",",REPT(" ",99)),199,99)))</f>
        <v/>
      </c>
      <c r="DN191" s="42">
        <f>IF(Tasks[[#This Row],[_Res3Text]]="","",TRIM(MID(SUBSTITUTE(Tasks[[#This Row],[_Resources]],",",REPT(" ",99)),298,99)))</f>
        <v/>
      </c>
      <c r="DO191" s="42">
        <f>IF(Tasks[[#This Row],[_Res1Text]]="",0,IFERROR(MATCH(TRIM(LEFT(Tasks[[#This Row],[_Res1Text]],FIND("[",Tasks[[#This Row],[_Res1Text]]&amp;"[")-1)),res_Name,0),IFERROR(MATCH(TRIM(LEFT(Tasks[[#This Row],[_Res1Text]],FIND("[",Tasks[[#This Row],[_Res1Text]]&amp;"[")-1)),res_Initials,0),0)))</f>
        <v/>
      </c>
      <c r="DP191" s="42">
        <f>IF(Tasks[[#This Row],[_Res2Text]]="",0,IFERROR(MATCH(TRIM(LEFT(Tasks[[#This Row],[_Res2Text]],FIND("[",Tasks[[#This Row],[_Res2Text]]&amp;"[")-1)),res_Name,0),IFERROR(MATCH(TRIM(LEFT(Tasks[[#This Row],[_Res2Text]],FIND("[",Tasks[[#This Row],[_Res2Text]]&amp;"[")-1)),res_Initials,0),0)))</f>
        <v/>
      </c>
      <c r="DQ191" s="42">
        <f>IF(Tasks[[#This Row],[_Res3Text]]="",0,IFERROR(MATCH(TRIM(LEFT(Tasks[[#This Row],[_Res3Text]],FIND("[",Tasks[[#This Row],[_Res3Text]]&amp;"[")-1)),res_Name,0),IFERROR(MATCH(TRIM(LEFT(Tasks[[#This Row],[_Res3Text]],FIND("[",Tasks[[#This Row],[_Res3Text]]&amp;"[")-1)),res_Initials,0),0)))</f>
        <v/>
      </c>
      <c r="DR191" s="42">
        <f>IF(Tasks[[#This Row],[_Res4Text]]="",0,IFERROR(MATCH(TRIM(LEFT(Tasks[[#This Row],[_Res4Text]],FIND("[",Tasks[[#This Row],[_Res4Text]]&amp;"[")-1)),res_Name,0),IFERROR(MATCH(TRIM(LEFT(Tasks[[#This Row],[_Res4Text]],FIND("[",Tasks[[#This Row],[_Res4Text]]&amp;"[")-1)),res_Initials,0),0)))</f>
        <v/>
      </c>
      <c r="DS191" s="42">
        <f>IF(Tasks[[#This Row],[_Res1Text]]="","",IF(Tasks[[#This Row],[_Res1Row]]&gt;0,INDEX(res_Name,Tasks[[#This Row],[_Res1Row]]),TRIM(LEFT(Tasks[[#This Row],[_Res1Text]],FIND("[",Tasks[[#This Row],[_Res1Text]]&amp;"[")-1))))</f>
        <v/>
      </c>
      <c r="DT19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1" s="42">
        <f>IF(NOT(Tasks[[#This Row],[_IsLeaf]]=1),0,(Tasks[[#This Row],[_Resource1]]&lt;&gt;"")+(Tasks[[#This Row],[_Res2]]&lt;&gt;"")+(Tasks[[#This Row],[_Res3]]&lt;&gt;"")+(Tasks[[#This Row],[_Res4]]&lt;&gt;""))</f>
        <v/>
      </c>
      <c r="DV191" s="42">
        <f>IF(Tasks[[#This Row],[_Res2Text]]="","",IF(Tasks[[#This Row],[_Res2Row]]&gt;0,INDEX(res_Name,Tasks[[#This Row],[_Res2Row]]),TRIM(LEFT(Tasks[[#This Row],[_Res2Text]],FIND("[",Tasks[[#This Row],[_Res2Text]]&amp;"[")-1))))</f>
        <v/>
      </c>
      <c r="DW19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1" s="42">
        <f>IF(OR(NOT(Tasks[[#This Row],[_IsLeaf]]=1),Tasks[[#This Row],[_Res2Row]]=0),0,N(Tasks[[#This Row],[_Days]])*HoursPerDay*IF(Tasks[[#This Row],[_Res2Units]]="",DefaultUnits,Tasks[[#This Row],[_Res2Units]]))</f>
        <v/>
      </c>
      <c r="DY191" s="42">
        <f>IF(AND(AND(Tasks[[#This Row],[_IsLeaf]]=1,Tasks[[#This Row],[_LeafTotalWork]]&gt;0),Tasks[[#This Row],[_Res2Work]]&gt;0),Tasks[[#This Row],[_Res2Work]]/(Tasks[[#This Row],[_FinishWorkday]]-Tasks[[#This Row],[_StartWorkday]]+1),0)</f>
        <v/>
      </c>
      <c r="DZ191" s="42">
        <f>Tasks[[#This Row],[_Res2WorkPerWD]]*MAX(0,Tasks[[#This Row],[_StartWorkday]]-1)</f>
        <v/>
      </c>
      <c r="EA191" s="42">
        <f>Tasks[[#This Row],[_Res2Work]]*Tasks[[#This Row],[_LeafProgress]]</f>
        <v/>
      </c>
      <c r="EB191" s="42">
        <f>IF(Tasks[[#This Row],[_Res3Text]]="","",IF(Tasks[[#This Row],[_Res3Row]]&gt;0,INDEX(res_Name,Tasks[[#This Row],[_Res3Row]]),TRIM(LEFT(Tasks[[#This Row],[_Res3Text]],FIND("[",Tasks[[#This Row],[_Res3Text]]&amp;"[")-1))))</f>
        <v/>
      </c>
      <c r="EC19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1" s="42">
        <f>IF(OR(NOT(Tasks[[#This Row],[_IsLeaf]]=1),Tasks[[#This Row],[_Res3Row]]=0),0,N(Tasks[[#This Row],[_Days]])*HoursPerDay*IF(Tasks[[#This Row],[_Res3Units]]="",DefaultUnits,Tasks[[#This Row],[_Res3Units]]))</f>
        <v/>
      </c>
      <c r="EE191" s="42">
        <f>IF(AND(AND(Tasks[[#This Row],[_IsLeaf]]=1,Tasks[[#This Row],[_LeafTotalWork]]&gt;0),Tasks[[#This Row],[_Res3Work]]&gt;0),Tasks[[#This Row],[_Res3Work]]/(Tasks[[#This Row],[_FinishWorkday]]-Tasks[[#This Row],[_StartWorkday]]+1),0)</f>
        <v/>
      </c>
      <c r="EF191" s="42">
        <f>Tasks[[#This Row],[_Res3WorkPerWD]]*MAX(0,Tasks[[#This Row],[_StartWorkday]]-1)</f>
        <v/>
      </c>
      <c r="EG191" s="42">
        <f>Tasks[[#This Row],[_Res3Work]]*Tasks[[#This Row],[_LeafProgress]]</f>
        <v/>
      </c>
      <c r="EH191" s="42">
        <f>IF(Tasks[[#This Row],[_Res4Text]]="","",IF(Tasks[[#This Row],[_Res4Row]]&gt;0,INDEX(res_Name,Tasks[[#This Row],[_Res4Row]]),TRIM(LEFT(Tasks[[#This Row],[_Res4Text]],FIND("[",Tasks[[#This Row],[_Res4Text]]&amp;"[")-1))))</f>
        <v/>
      </c>
      <c r="EI19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1" s="42">
        <f>IF(OR(NOT(Tasks[[#This Row],[_IsLeaf]]=1),Tasks[[#This Row],[_Res4Row]]=0),0,N(Tasks[[#This Row],[_Days]])*HoursPerDay*IF(Tasks[[#This Row],[_Res4Units]]="",DefaultUnits,Tasks[[#This Row],[_Res4Units]]))</f>
        <v/>
      </c>
      <c r="EK191" s="42">
        <f>IF(AND(AND(Tasks[[#This Row],[_IsLeaf]]=1,Tasks[[#This Row],[_LeafTotalWork]]&gt;0),Tasks[[#This Row],[_Res4Work]]&gt;0),Tasks[[#This Row],[_Res4Work]]/(Tasks[[#This Row],[_FinishWorkday]]-Tasks[[#This Row],[_StartWorkday]]+1),0)</f>
        <v/>
      </c>
      <c r="EL191" s="42">
        <f>Tasks[[#This Row],[_Res4WorkPerWD]]*MAX(0,Tasks[[#This Row],[_StartWorkday]]-1)</f>
        <v/>
      </c>
      <c r="EM191" s="42">
        <f>Tasks[[#This Row],[_Res4Work]]*Tasks[[#This Row],[_LeafProgress]]</f>
        <v/>
      </c>
      <c r="EN191" s="42">
        <f>IF(ISNUMBER(Tasks[[#This Row],[% Complete]]),Tasks[[#This Row],[% Complete]],IF(Tasks[[#This Row],[Stage]]="",0,IFERROR(INDEX(stg_Pct,MATCH(Tasks[[#This Row],[Stage]],stg_Name,0)),0)))</f>
        <v/>
      </c>
      <c r="EO191" s="42">
        <f>IF(NOT(Tasks[[#This Row],[_IsLeaf]]=1),0,IF(N(Tasks[[#This Row],[Actual Finish]])&gt;0,1,MIN(1,Tasks[[#This Row],[_Pct]])))</f>
        <v/>
      </c>
      <c r="EP191" s="42">
        <f>IF(OR(NOT(Tasks[[#This Row],[_IsLeaf]]=1),Tasks[[#This Row],[_Res1Row]]=0),0,N(Tasks[[#This Row],[_Days]])*HoursPerDay*IF(Tasks[[#This Row],[_Units1]]="",DefaultUnits,Tasks[[#This Row],[_Units1]]))</f>
        <v/>
      </c>
      <c r="EQ191" s="42">
        <f>Tasks[[#This Row],[_LeafWork]]+Tasks[[#This Row],[_Res2Work]]+Tasks[[#This Row],[_Res3Work]]+Tasks[[#This Row],[_Res4Work]]</f>
        <v/>
      </c>
      <c r="ER19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1" s="42">
        <f>IF(NOT(Tasks[[#This Row],[_IsLeaf]]=1),0,MAX(_xlfn.MAXIFS(Tasks[_Row],Tasks[_Pred1UID],Tasks[[#This Row],[UID]]),_xlfn.MAXIFS(Tasks[_Row],Tasks[_Pred2UID],Tasks[[#This Row],[UID]]),_xlfn.MAXIFS(Tasks[_Row],Tasks[_Pred3UID],Tasks[[#This Row],[UID]]),_xlfn.MAXIFS(Tasks[_Row],Tasks[_Pred4UID],Tasks[[#This Row],[UID]])))</f>
        <v/>
      </c>
      <c r="FA19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1" s="88">
        <f>IF(NOT(Tasks[[#This Row],[_IsLeaf]]=1),"",IF(N(Tasks[[#This Row],[_Days]])&lt;=0,Tasks[[#This Row],[_LeafLateFinish]],WORKDAY.INTL(Tasks[[#This Row],[_LeafLateFinish]],-(Tasks[[#This Row],[_Days]]-1),WorkWeek,Holidays)))</f>
        <v/>
      </c>
      <c r="FD19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1" s="42">
        <f>AND(Tasks[[#This Row],[_IsLeaf]]=1,Tasks[[#This Row],[_LeafProgress]]&lt;1,N(Tasks[[#This Row],[_LeafTotalSlack]])&lt;=CriticalSlackDays)</f>
        <v/>
      </c>
      <c r="FF191" s="42">
        <f>IF(AND(Tasks[[#This Row],[_IsLeaf]]=1,Tasks[[#This Row],[_ConstraintCode]]=1,Tasks[[#This Row],[Mode]]&lt;&gt;"Manual",N(Tasks[[#This Row],[Actual Start]])=0),MAX(0,N(Tasks[[#This Row],[Free Slack]])),0)</f>
        <v/>
      </c>
      <c r="FG191" s="88">
        <f>IF(NOT(Tasks[[#This Row],[_IsLeaf]]=1),"",IF(Tasks[[#This Row],[_AlapShift]]=0,Tasks[[#This Row],[_LeafCalcStart]],WORKDAY.INTL(Tasks[[#This Row],[_LeafCalcStart]],Tasks[[#This Row],[_AlapShift]],WorkWeek,Holidays)))</f>
        <v/>
      </c>
      <c r="FH191" s="88">
        <f>IF(NOT(Tasks[[#This Row],[_IsLeaf]]=1),"",IF(Tasks[[#This Row],[_AlapShift]]=0,Tasks[[#This Row],[_LeafCalcFinish]],WORKDAY.INTL(Tasks[[#This Row],[_LeafCalcFinish]],Tasks[[#This Row],[_AlapShift]],WorkWeek,Holidays)))</f>
        <v/>
      </c>
      <c r="FI191" s="88">
        <f>IF(NOT(Tasks[[#This Row],[_IsLeaf]]=1),"",IF(Tasks[[#This Row],[_AlapShift]]=0,Tasks[[#This Row],[_LeafFcstStart]],WORKDAY.INTL(Tasks[[#This Row],[_LeafFcstStart]],Tasks[[#This Row],[_AlapShift]],WorkWeek,Holidays)))</f>
        <v/>
      </c>
      <c r="FJ191" s="88">
        <f>IF(NOT(Tasks[[#This Row],[_IsLeaf]]=1),"",IF(Tasks[[#This Row],[_AlapShift]]=0,Tasks[[#This Row],[_LeafFcstFinish]],WORKDAY.INTL(Tasks[[#This Row],[_LeafFcstFinish]],Tasks[[#This Row],[_AlapShift]],WorkWeek,Holidays)))</f>
        <v/>
      </c>
      <c r="FK191" s="88">
        <f>IF(Tasks[[#This Row],[Task Name]]="","",IF(Tasks[[#This Row],[_IsSummary]],MIN(INDEX(Tasks[_ShownCalcStart],Tasks[[#This Row],[_Row]]+1):INDEX(Tasks[_ShownCalcStart],Tasks[[#This Row],[_Row]]+Tasks[[#This Row],[_Descendants]])),Tasks[[#This Row],[_ShownCalcStart]]))</f>
        <v/>
      </c>
      <c r="FL191" s="88">
        <f>IF(Tasks[[#This Row],[Task Name]]="","",IF(Tasks[[#This Row],[_IsSummary]],MAX(INDEX(Tasks[_ShownCalcFinish],Tasks[[#This Row],[_Row]]+1):INDEX(Tasks[_ShownCalcFinish],Tasks[[#This Row],[_Row]]+Tasks[[#This Row],[_Descendants]])),Tasks[[#This Row],[_ShownCalcFinish]]))</f>
        <v/>
      </c>
      <c r="FM19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1" s="42">
        <f>IF(AND(Tasks[[#This Row],[_IsLeaf]]=1,Tasks[[#This Row],[_LeafTotalWork]]&gt;0),NETWORKDAYS.INTL(ProjectStart,Tasks[[#This Row],[_ShownFcstStart]],WorkWeek,Holidays),0)</f>
        <v/>
      </c>
      <c r="FZ191" s="42">
        <f>IF(AND(Tasks[[#This Row],[_IsLeaf]]=1,Tasks[[#This Row],[_LeafTotalWork]]&gt;0),MAX(Tasks[[#This Row],[_StartWorkday]],NETWORKDAYS.INTL(ProjectStart,Tasks[[#This Row],[_ShownFcstFinish]],WorkWeek,Holidays)),0)</f>
        <v/>
      </c>
      <c r="GA191" s="42">
        <f>IF(AND(Tasks[[#This Row],[_IsLeaf]]=1,Tasks[[#This Row],[_LeafTotalWork]]&gt;0),Tasks[[#This Row],[_LeafWork]]/(Tasks[[#This Row],[_FinishWorkday]]-Tasks[[#This Row],[_StartWorkday]]+1),0)</f>
        <v/>
      </c>
      <c r="GB191" s="42">
        <f>Tasks[[#This Row],[_WorkPerWorkday]]*(Tasks[[#This Row],[_StartWorkday]]-1)</f>
        <v/>
      </c>
      <c r="GC191" s="42">
        <f>IF(Tasks[[#This Row],[_IsLeaf]]=1,MAX(N(Tasks[[#This Row],[_Days]]),0.1),0)</f>
        <v/>
      </c>
      <c r="GD191" s="42">
        <f>Tasks[[#This Row],[_WeightDur]]*Tasks[[#This Row],[_LeafProgress]]</f>
        <v/>
      </c>
      <c r="GE191" s="42">
        <f>Tasks[[#This Row],[_WeightDur]]*Tasks[[#This Row],[_PlannedPct]]</f>
        <v/>
      </c>
      <c r="GF19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1" s="42">
        <f>IF(AND(Tasks[[#This Row],[_IsLeaf]]=1,N(Tasks[[#This Row],[_Days]])=0,Tasks[[#This Row],[_LeafProgress]]&lt;1),Tasks[[#This Row],[_ShownFcstFinish]]+Tasks[[#This Row],[_Row]]/100000,"")</f>
        <v/>
      </c>
      <c r="GH19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1" s="42">
        <f>IF(Tasks[[#This Row],[Task Name]]="","",LEFT(Tasks[[#This Row],[WBS]],FIND(".",Tasks[[#This Row],[WBS]]&amp;".")-1))</f>
        <v/>
      </c>
      <c r="GJ191" s="42">
        <f>IF(AND(Tasks[[#This Row],[Task Name]]&lt;&gt;"",Tasks[[#This Row],[_Level]]=1),Tasks[[#This Row],[_Row]],"")</f>
        <v/>
      </c>
      <c r="GK191" s="42">
        <f>IF(AND(Tasks[[#This Row],[_IsLeaf]]=1,N(Tasks[[#This Row],[_Days]])=0),Tasks[[#This Row],[Planned Finish]]+Tasks[[#This Row],[_Row]]/100000,"")</f>
        <v/>
      </c>
      <c r="GL191" s="42">
        <f>IF(AND(Tasks[[#This Row],[_IsLeaf]]=1,Tasks[[#This Row],[_LeafProgress]]&lt;1,OR(N(Tasks[[#This Row],[Finish Var]])&gt;0,Tasks[[#This Row],[Status]]="Late Start")),MAX(0,Tasks[[#This Row],[Finish Var]])+1-Tasks[[#This Row],[_Row]]/1000000,"")</f>
        <v/>
      </c>
      <c r="GM191" s="42">
        <f>IF(AND(Tasks[[#This Row],[_IsLeaf]]=1,N(Tasks[[#This Row],[Actual Start]])=0,Tasks[[#This Row],[_ShownFcstStart]]&gt;=StatusDate,Tasks[[#This Row],[_ShownFcstStart]]&lt;=LookaheadEnd),Tasks[[#This Row],[_ShownFcstStart]]+Tasks[[#This Row],[_Row]]/100000,"")</f>
        <v/>
      </c>
      <c r="GN191" s="42">
        <f>IF(AND(Tasks[[#This Row],[_IsLeaf]]=1,Tasks[[#This Row],[_LeafProgress]]&lt;1,Tasks[[#This Row],[_ShownFcstFinish]]&gt;=StatusDate,Tasks[[#This Row],[_ShownFcstFinish]]&lt;=LookaheadEnd),Tasks[[#This Row],[_ShownFcstFinish]]+Tasks[[#This Row],[_Row]]/100000,"")</f>
        <v/>
      </c>
      <c r="GO191" s="42">
        <f>IF(Tasks[[#This Row],[_LeafCritical]],Tasks[[#This Row],[_ShownFcstStart]]+Tasks[[#This Row],[_Row]]/100000,"")</f>
        <v/>
      </c>
      <c r="GP191" s="42">
        <f>Tasks[[#This Row],[_LeafWork]]*Tasks[[#This Row],[_LeafProgress]]</f>
        <v/>
      </c>
      <c r="GQ191" s="88">
        <f>IF(AND(Tasks[[#This Row],[_IsLeaf]]=1,Tasks[[#This Row],[_LeafProgress]]&gt;=1),IF(N(Tasks[[#This Row],[Actual Finish]])&gt;0,Tasks[[#This Row],[Actual Finish]],Tasks[[#This Row],[_ShownFcstFinish]]),"")</f>
        <v/>
      </c>
      <c r="GR191" s="42">
        <f>IF(Tasks[[#This Row],[_IsLeaf]]=1,N(Tasks[[#This Row],[Story Points]]),0)</f>
        <v/>
      </c>
      <c r="GS191" s="42">
        <f>""</f>
        <v/>
      </c>
      <c r="GT191" s="42">
        <f>IF(Tasks[[#This Row],[Task Name]]="",FALSE(),AND(Tasks[[#This Row],[_IsLeaf]]=1,N(Tasks[[#This Row],[_Days]])=0))</f>
        <v/>
      </c>
      <c r="GU191" s="88">
        <f>IF(Tasks[[#This Row],[Task Name]]="",0,IF(AND(Tasks[[#This Row],[_IsLeaf]]=1,NOT(Tasks[[#This Row],[_IsMilestone]]),N(Tasks[[#This Row],[Progress]])&gt;0),Tasks[[#This Row],[Start]],0))</f>
        <v/>
      </c>
      <c r="GV191" s="88">
        <f>IF(Tasks[[#This Row],[_DoneFrom]]=0,0,IF(Tasks[[#This Row],[Progress]]&gt;=1,Tasks[[#This Row],[Finish]],MAX(Tasks[[#This Row],[_DoneFrom]],Tasks[[#This Row],[Start]]+ROUND((Tasks[[#This Row],[Finish]]-Tasks[[#This Row],[Start]]+1)*Tasks[[#This Row],[Progress]],0)-1)))</f>
        <v/>
      </c>
      <c r="GW191" s="88">
        <f>IF(Tasks[[#This Row],[Task Name]]="",0,IF(OR(NOT(Tasks[[#This Row],[_IsLeaf]]=1),Tasks[[#This Row],[_IsMilestone]],N(Tasks[[#This Row],[Progress]])&gt;=1),0,IF(Tasks[[#This Row],[_DoneTo]]&gt;0,Tasks[[#This Row],[_DoneTo]]+1,Tasks[[#This Row],[Start]])))</f>
        <v/>
      </c>
      <c r="GX191" s="88">
        <f>IF(Tasks[[#This Row],[_RemFrom]]=0,0,Tasks[[#This Row],[Finish]])</f>
        <v/>
      </c>
      <c r="GY191" s="42">
        <f>IF(Tasks[[#This Row],[Task Name]]="",FALSE(),OR(NOT(BaselineSet),N(Tasks[[#This Row],[Baseline Start]])&gt;0))</f>
        <v/>
      </c>
      <c r="GZ191" s="42">
        <f>IF(AND(Sandbox="Yes",L_PARSE_DURATION(Tasks[[#This Row],[Sandbox Duration]])&lt;&gt;""),L_PARSE_DURATION(Tasks[[#This Row],[Sandbox Duration]]),L_PARSE_DURATION(Tasks[[#This Row],[Duration]]))</f>
        <v/>
      </c>
      <c r="HA19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1" s="42">
        <f>IF(Tasks[[#This Row],[_IsLeaf]]=1,Tasks[[#This Row],[_Row]],"")</f>
        <v/>
      </c>
      <c r="HD191" s="42">
        <f>IFERROR(INDEX(Tasks[UID],SMALL(Tasks[_PickKey],Tasks[[#This Row],[_Row]]))&amp;" "&amp;INDEX(Tasks[Task Name],SMALL(Tasks[_PickKey],Tasks[[#This Row],[_Row]])),"")</f>
        <v/>
      </c>
      <c r="HE191" s="42">
        <f>IF(Tasks[[#This Row],[Task Name]]="","",IF(Tasks[[#This Row],[_IsSummary]],NETWORKDAYS.INTL(Tasks[[#This Row],[Start]],Tasks[[#This Row],[Finish]],WorkWeek,Holidays),N(Tasks[[#This Row],[_Days]])))</f>
        <v/>
      </c>
      <c r="HF191" s="42">
        <f>IF(Tasks[[#This Row],[Expected]]="",0,((Tasks[[#This Row],[Pessimistic]]-Tasks[[#This Row],[Optimistic]])/6)^2)</f>
        <v/>
      </c>
      <c r="HG191" s="42">
        <f>IF(Tasks[[#This Row],[Expected]]="",0,Tasks[[#This Row],[Expected]]-N(Tasks[[#This Row],[_Days]]))</f>
        <v/>
      </c>
    </row>
    <row r="192">
      <c r="A192" s="21">
        <f>IF(Tasks[[#This Row],[Task Name]]="","",COUNTA(Tasks[[#Headers],[Task Name]]:Tasks[[#This Row],[Task Name]])-1)</f>
        <v/>
      </c>
      <c r="B192" s="22" t="n">
        <v>200</v>
      </c>
      <c r="C192" s="22" t="n"/>
      <c r="D192" s="23" t="n"/>
      <c r="E192" s="22" t="n"/>
      <c r="F192" s="23" t="n"/>
      <c r="G192" s="22" t="n"/>
      <c r="H192" s="22" t="n"/>
      <c r="I192" s="23" t="n"/>
      <c r="J192" s="22" t="n"/>
      <c r="K192" s="22" t="n"/>
      <c r="L192" s="23" t="n"/>
      <c r="M192" s="22" t="n"/>
      <c r="N192" s="22" t="n"/>
      <c r="O192" s="23" t="n"/>
      <c r="P192" s="22" t="n"/>
      <c r="Q192" s="22" t="n"/>
      <c r="R192" s="23" t="n"/>
      <c r="S192" s="23" t="n"/>
      <c r="T192" s="82" t="n"/>
      <c r="U192" s="23" t="n"/>
      <c r="V192" s="82" t="n"/>
      <c r="W192" s="23" t="n"/>
      <c r="X192" s="82" t="n"/>
      <c r="Y192" s="23" t="n"/>
      <c r="Z192" s="82" t="n"/>
      <c r="AA192" s="23" t="n"/>
      <c r="AB192" s="23" t="n"/>
      <c r="AC192" s="7" t="n"/>
      <c r="AD192" s="7" t="n"/>
      <c r="AE192" s="61">
        <f>IF(Tasks[[#This Row],[Task Name]]="","",IF(Tasks[[#This Row],[_IsSummary]],MIN(INDEX(Tasks[_ShownFcstStart],Tasks[[#This Row],[_Row]]+1):INDEX(Tasks[_ShownFcstStart],Tasks[[#This Row],[_Row]]+Tasks[[#This Row],[_Descendants]])),Tasks[[#This Row],[_ShownFcstStart]]))</f>
        <v/>
      </c>
      <c r="AF192" s="61">
        <f>IF(Tasks[[#This Row],[Task Name]]="","",IF(Tasks[[#This Row],[_IsSummary]],MAX(INDEX(Tasks[_ShownFcstFinish],Tasks[[#This Row],[_Row]]+1):INDEX(Tasks[_ShownFcstFinish],Tasks[[#This Row],[_Row]]+Tasks[[#This Row],[_Descendants]])),Tasks[[#This Row],[_ShownFcstFinish]]))</f>
        <v/>
      </c>
      <c r="AG192" s="21">
        <f>""</f>
        <v/>
      </c>
      <c r="AH192" s="23" t="n"/>
      <c r="AI19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2" s="7" t="n"/>
      <c r="AK192" s="22" t="n"/>
      <c r="AL192" s="23" t="n"/>
      <c r="AM192" s="7" t="n"/>
      <c r="AN192" s="21">
        <f>IF(Tasks[[#This Row],[Task Name]]="","",IF(Tasks[[#This Row],[Finish]]&gt;=Tasks[[#This Row],[Planned Finish]],NETWORKDAYS.INTL(Tasks[[#This Row],[Planned Finish]],Tasks[[#This Row],[Finish]],WorkWeek,Holidays)-1,1-NETWORKDAYS.INTL(Tasks[[#This Row],[Finish]],Tasks[[#This Row],[Planned Finish]],WorkWeek,Holidays)))</f>
        <v/>
      </c>
      <c r="AO192" s="21">
        <f>IF(Tasks[[#This Row],[Task Name]]="","",IF(Tasks[[#This Row],[Progress]]&gt;=1,"Complete",IF(OR(N(Tasks[[#This Row],[Actual Start]])&gt;0,Tasks[[#This Row],[Progress]]&gt;0),IF(Tasks[[#This Row],[Finish Var]]&gt;0,"Behind","In Progress"),IF(Tasks[[#This Row],[Planned Start]]&lt;StatusDate,"Late Start","Not Started"))))</f>
        <v/>
      </c>
      <c r="AP192" s="21">
        <f>IF(Tasks[[#This Row],[Task Name]]="","",IF(IF(Tasks[[#This Row],[_IsSummary]],COUNTIF(INDEX(Tasks[_LeafCritical],Tasks[[#This Row],[_Row]]+1):INDEX(Tasks[_LeafCritical],Tasks[[#This Row],[_Row]]+Tasks[[#This Row],[_Descendants]]),TRUE())&gt;0,Tasks[[#This Row],[_LeafCritical]]),"Yes",""))</f>
        <v/>
      </c>
      <c r="AQ192" s="61">
        <f>IF(Tasks[[#This Row],[Task Name]]="","",IF(N(Tasks[[#This Row],[Baseline Start]])&gt;0,Tasks[[#This Row],[Baseline Start]],Tasks[[#This Row],[_CalcStart]]))</f>
        <v/>
      </c>
      <c r="AR192" s="61">
        <f>IF(Tasks[[#This Row],[Task Name]]="","",IF(N(Tasks[[#This Row],[Baseline Finish]])&gt;0,Tasks[[#This Row],[Baseline Finish]],Tasks[[#This Row],[_CalcFinish]]))</f>
        <v/>
      </c>
      <c r="AS192" s="21">
        <f>IF(Tasks[[#This Row],[Task Name]]="","",IF(Tasks[[#This Row],[Start]]&gt;=Tasks[[#This Row],[Planned Start]],NETWORKDAYS.INTL(Tasks[[#This Row],[Planned Start]],Tasks[[#This Row],[Start]],WorkWeek,Holidays)-1,1-NETWORKDAYS.INTL(Tasks[[#This Row],[Start]],Tasks[[#This Row],[Planned Start]],WorkWeek,Holidays)))</f>
        <v/>
      </c>
      <c r="AT192" s="61">
        <f>IF(Tasks[[#This Row],[Task Name]]="","",IF(Tasks[[#This Row],[_IsSummary]],MIN(INDEX(Tasks[_LeafLateStart],Tasks[[#This Row],[_Row]]+1):INDEX(Tasks[_LeafLateStart],Tasks[[#This Row],[_Row]]+Tasks[[#This Row],[_Descendants]])),Tasks[[#This Row],[_LeafLateStart]]))</f>
        <v/>
      </c>
      <c r="AU192" s="61">
        <f>IF(Tasks[[#This Row],[Task Name]]="","",IF(Tasks[[#This Row],[_IsSummary]],MAX(INDEX(Tasks[_LeafLateFinish],Tasks[[#This Row],[_Row]]+1):INDEX(Tasks[_LeafLateFinish],Tasks[[#This Row],[_Row]]+Tasks[[#This Row],[_Descendants]])),Tasks[[#This Row],[_LeafLateFinish]]))</f>
        <v/>
      </c>
      <c r="AV192" s="21">
        <f>IF(Tasks[[#This Row],[Task Name]]="","",IF(Tasks[[#This Row],[_IsSummary]],MIN(INDEX(Tasks[_LeafTotalSlack],Tasks[[#This Row],[_Row]]+1):INDEX(Tasks[_LeafTotalSlack],Tasks[[#This Row],[_Row]]+Tasks[[#This Row],[_Descendants]])),Tasks[[#This Row],[_LeafTotalSlack]]))</f>
        <v/>
      </c>
      <c r="AW19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3" t="n"/>
      <c r="BA19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f>IF(Tasks[[#This Row],[Task Name]]="","",IF(Tasks[[#This Row],[_Level]]&lt;=OutlineShowLevel,"Yes","No"))</f>
        <v/>
      </c>
      <c r="BE192" s="84">
        <f>IF(Tasks[[#This Row],[Task Name]]="","",IF(Tasks[[#This Row],[_IsSummary]],SUM(INDEX(Tasks[_LeafTotalWork],Tasks[[#This Row],[_Row]]+1):INDEX(Tasks[_LeafTotalWork],Tasks[[#This Row],[_Row]]+Tasks[[#This Row],[_Descendants]])),Tasks[[#This Row],[_LeafTotalWork]]))</f>
        <v/>
      </c>
      <c r="BF192" s="23" t="n"/>
      <c r="BG19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f>""</f>
        <v/>
      </c>
      <c r="BI192" s="85" t="n"/>
      <c r="BJ192" s="22" t="n"/>
      <c r="BK192" s="21">
        <f>IF(OR(Tasks[[#This Row],[Task Name]]="",Tasks[[#This Row],[Baseline Duration]]=""),"",Tasks[[#This Row],[_SpanDays]]-N(Tasks[[#This Row],[Baseline Duration]]))</f>
        <v/>
      </c>
      <c r="BL192" s="84">
        <f>IF(OR(Tasks[[#This Row],[Task Name]]="",Tasks[[#This Row],[Baseline Work]]=""),"",Tasks[[#This Row],[Work]]-N(Tasks[[#This Row],[Baseline Work]]))</f>
        <v/>
      </c>
      <c r="BM192" s="61">
        <f>IF(Tasks[[#This Row],[Task Name]]="","",IF(OR(TakeBaseline="Yes",N(Tasks[[#This Row],[Baseline Start]])=0),Tasks[[#This Row],[Start]],Tasks[[#This Row],[Baseline Start]]))</f>
        <v/>
      </c>
      <c r="BN192" s="61">
        <f>IF(Tasks[[#This Row],[Task Name]]="","",IF(OR(TakeBaseline="Yes",N(Tasks[[#This Row],[Baseline Finish]])=0),Tasks[[#This Row],[Finish]],Tasks[[#This Row],[Baseline Finish]]))</f>
        <v/>
      </c>
      <c r="BO192" s="21">
        <f>IF(Tasks[[#This Row],[Task Name]]="","",IF(OR(TakeBaseline="Yes",N(Tasks[[#This Row],[Baseline Duration]])=0),Tasks[[#This Row],[_SpanDays]],Tasks[[#This Row],[Baseline Duration]]))</f>
        <v/>
      </c>
      <c r="BP192" s="84">
        <f>IF(Tasks[[#This Row],[Task Name]]="","",IF(OR(TakeBaseline="Yes",N(Tasks[[#This Row],[Baseline Work]])=0),Tasks[[#This Row],[Work]],Tasks[[#This Row],[Baseline Work]]))</f>
        <v/>
      </c>
      <c r="BQ192" s="7" t="n"/>
      <c r="BR192" s="7" t="n"/>
      <c r="BS192" s="22" t="n"/>
      <c r="BT192" s="86" t="n"/>
      <c r="BU192" s="23" t="n"/>
      <c r="BV192" s="23" t="n"/>
      <c r="BW192" s="23" t="n"/>
      <c r="BX192" s="87">
        <f>IF(AND(Tasks[[#This Row],[_IsLeaf]]=1,ISNUMBER(Tasks[[#This Row],[Optimistic]]),ISNUMBER(Tasks[[#This Row],[Pessimistic]])),ROUND((Tasks[[#This Row],[Optimistic]]+4*N(Tasks[[#This Row],[_Days]])+Tasks[[#This Row],[Pessimistic]])/6,1),"")</f>
        <v/>
      </c>
      <c r="BY192" s="85" t="n"/>
      <c r="BZ192" s="85" t="n"/>
      <c r="CA192" s="22" t="n"/>
      <c r="CB192" s="42">
        <f>IF(Tasks[[#This Row],[Task Name]]="","",MAX(1,N(Tasks[[#This Row],[Level]])))</f>
        <v/>
      </c>
      <c r="CC192" s="42">
        <f>ROW()-ROW(Tasks[[#Headers],[ID]])</f>
        <v/>
      </c>
      <c r="CD192" s="42">
        <f>IF(OR(Tasks[[#This Row],[Task Name]]="",Tasks[[#This Row],[_Level]]&lt;=1),0,IFERROR(LOOKUP(2,1/(Tasks[[#Headers],[_Level]]:Tasks[[#This Row],[_Level]]=Tasks[[#This Row],[_Level]]-1),ROW(Tasks[[#Headers],[_Level]]:Tasks[[#This Row],[_Level]])),0))</f>
        <v/>
      </c>
      <c r="CE192" s="42">
        <f>IFERROR(N(INDEX(Tasks[_Level],Tasks[[#This Row],[_Row]]+1)),0)</f>
        <v/>
      </c>
      <c r="CF192" s="42">
        <f>AND(Tasks[[#This Row],[Task Name]]&lt;&gt;"",Tasks[[#This Row],[_NextLevel]]&gt;Tasks[[#This Row],[_Level]])</f>
        <v/>
      </c>
      <c r="CG192" s="42">
        <f>IF(Tasks[[#This Row],[_IsSummary]],COUNTIF(Tasks[WBS],Tasks[[#This Row],[WBS]]&amp;".*"),0)</f>
        <v/>
      </c>
      <c r="CH192" s="42">
        <f>IF(AND(Tasks[[#This Row],[Task Name]]&lt;&gt;"",NOT(Tasks[[#This Row],[_IsSummary]])),1,0)</f>
        <v/>
      </c>
      <c r="CI192" s="42">
        <f>IF(N(Tasks[[#This Row],[_Pred1UID]])=0,0,IFERROR(MATCH(Tasks[[#This Row],[_Pred1UID]],Tasks[UID],0),-1))</f>
        <v/>
      </c>
      <c r="CJ192" s="42">
        <f>IF(N(Tasks[[#This Row],[_Pred2UID]])=0,0,IFERROR(MATCH(Tasks[[#This Row],[_Pred2UID]],Tasks[UID],0),-1))</f>
        <v/>
      </c>
      <c r="CK192" s="42">
        <f>IF(N(Tasks[[#This Row],[_Pred3UID]])=0,0,IFERROR(MATCH(Tasks[[#This Row],[_Pred3UID]],Tasks[UID],0),-1))</f>
        <v/>
      </c>
      <c r="CL192" s="42">
        <f>IF(N(Tasks[[#This Row],[_Pred4UID]])=0,0,IFERROR(MATCH(Tasks[[#This Row],[_Pred4UID]],Tasks[UID],0),-1))</f>
        <v/>
      </c>
      <c r="CM19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2" s="88">
        <f>IF(N(Tasks[[#This Row],[Constraint Date]])=0,0,IF(AND(OR(Tasks[[#This Row],[_ConstraintCode]]=3,Tasks[[#This Row],[_ConstraintCode]]=6,Tasks[[#This Row],[_ConstraintCode]]=7),N(Tasks[[#This Row],[_Days]])&gt;1),WORKDAY.INTL(N(Tasks[[#This Row],[Constraint Date]]),-(N(Tasks[[#This Row],[_Days]])-1),WorkWeek,Holidays),N(Tasks[[#This Row],[Constraint Date]])))</f>
        <v/>
      </c>
      <c r="CO192" s="88">
        <f>IF(OR(Tasks[[#This Row],[_ConstraintCode]]=2,Tasks[[#This Row],[_ConstraintCode]]=3,Tasks[[#This Row],[_ConstraintCode]]=4,Tasks[[#This Row],[_ConstraintCode]]=6),Tasks[[#This Row],[_ConstraintStart]],0)</f>
        <v/>
      </c>
      <c r="CP192" s="88">
        <f>IF(OR(Tasks[[#This Row],[_ConstraintCode]]=2,Tasks[[#This Row],[_ConstraintCode]]=3,Tasks[[#This Row],[_ConstraintCode]]=5,Tasks[[#This Row],[_ConstraintCode]]=7),Tasks[[#This Row],[_ConstraintStart]],2958465)</f>
        <v/>
      </c>
      <c r="CQ19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2" s="88">
        <f>IF(NOT(Tasks[[#This Row],[_IsLeaf]]=1),"",IF(N(Tasks[[#This Row],[_Days]])&lt;=0,Tasks[[#This Row],[_LeafCalcStart]],WORKDAY.INTL(Tasks[[#This Row],[_LeafCalcStart]],Tasks[[#This Row],[_Days]]-1,WorkWeek,Holidays)))</f>
        <v/>
      </c>
      <c r="CS19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2" s="42">
        <f>IF(Tasks[[#This Row],[_Predecessors]]="","",TRIM(MID(SUBSTITUTE(SUBSTITUTE(SUBSTITUTE(UPPER(Tasks[[#This Row],[_Predecessors]]),";",",")," ",""),",",REPT(" ",99)),1,99)))</f>
        <v/>
      </c>
      <c r="CV192" s="42">
        <f>IF(Tasks[[#This Row],[_Pred1Text]]="","",IFERROR(VALUE(LEFT(Tasks[[#This Row],[_Pred1Text]],MIN(FIND("F",Tasks[[#This Row],[_Pred1Text]]&amp;"F"),FIND("S",Tasks[[#This Row],[_Pred1Text]]&amp;"S"),FIND("+",Tasks[[#This Row],[_Pred1Text]]&amp;"+"),FIND("-",Tasks[[#This Row],[_Pred1Text]]&amp;"-"))-1)),""))</f>
        <v/>
      </c>
      <c r="CW19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2" s="42">
        <f>IF(Tasks[[#This Row],[_Pred1Text]]="","",TRIM(MID(SUBSTITUTE(SUBSTITUTE(SUBSTITUTE(UPPER(Tasks[[#This Row],[_Predecessors]]),";",",")," ",""),",",REPT(" ",99)),100,99)))</f>
        <v/>
      </c>
      <c r="CZ192" s="42">
        <f>IF(Tasks[[#This Row],[_Pred2Text]]="","",IFERROR(VALUE(LEFT(Tasks[[#This Row],[_Pred2Text]],MIN(FIND("F",Tasks[[#This Row],[_Pred2Text]]&amp;"F"),FIND("S",Tasks[[#This Row],[_Pred2Text]]&amp;"S"),FIND("+",Tasks[[#This Row],[_Pred2Text]]&amp;"+"),FIND("-",Tasks[[#This Row],[_Pred2Text]]&amp;"-"))-1)),""))</f>
        <v/>
      </c>
      <c r="DA19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2" s="42">
        <f>IF(Tasks[[#This Row],[_Pred2Text]]="","",TRIM(MID(SUBSTITUTE(SUBSTITUTE(SUBSTITUTE(UPPER(Tasks[[#This Row],[_Predecessors]]),";",",")," ",""),",",REPT(" ",99)),199,99)))</f>
        <v/>
      </c>
      <c r="DD192" s="42">
        <f>IF(Tasks[[#This Row],[_Pred3Text]]="","",IFERROR(VALUE(LEFT(Tasks[[#This Row],[_Pred3Text]],MIN(FIND("F",Tasks[[#This Row],[_Pred3Text]]&amp;"F"),FIND("S",Tasks[[#This Row],[_Pred3Text]]&amp;"S"),FIND("+",Tasks[[#This Row],[_Pred3Text]]&amp;"+"),FIND("-",Tasks[[#This Row],[_Pred3Text]]&amp;"-"))-1)),""))</f>
        <v/>
      </c>
      <c r="DE19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2" s="42">
        <f>IF(Tasks[[#This Row],[_Pred3Text]]="","",TRIM(MID(SUBSTITUTE(SUBSTITUTE(SUBSTITUTE(UPPER(Tasks[[#This Row],[_Predecessors]]),";",",")," ",""),",",REPT(" ",99)),298,99)))</f>
        <v/>
      </c>
      <c r="DH192" s="42">
        <f>IF(Tasks[[#This Row],[_Pred4Text]]="","",IFERROR(VALUE(LEFT(Tasks[[#This Row],[_Pred4Text]],MIN(FIND("F",Tasks[[#This Row],[_Pred4Text]]&amp;"F"),FIND("S",Tasks[[#This Row],[_Pred4Text]]&amp;"S"),FIND("+",Tasks[[#This Row],[_Pred4Text]]&amp;"+"),FIND("-",Tasks[[#This Row],[_Pred4Text]]&amp;"-"))-1)),""))</f>
        <v/>
      </c>
      <c r="DI19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2" s="42">
        <f>IF(OR(Tasks[[#This Row],[Task Name]]="",Tasks[[#This Row],[_Resources]]=""),"",TRIM(MID(SUBSTITUTE(Tasks[[#This Row],[_Resources]],",",REPT(" ",99)),1,99)))</f>
        <v/>
      </c>
      <c r="DL192" s="42">
        <f>IF(Tasks[[#This Row],[_Res1Text]]="","",TRIM(MID(SUBSTITUTE(Tasks[[#This Row],[_Resources]],",",REPT(" ",99)),100,99)))</f>
        <v/>
      </c>
      <c r="DM192" s="42">
        <f>IF(Tasks[[#This Row],[_Res2Text]]="","",TRIM(MID(SUBSTITUTE(Tasks[[#This Row],[_Resources]],",",REPT(" ",99)),199,99)))</f>
        <v/>
      </c>
      <c r="DN192" s="42">
        <f>IF(Tasks[[#This Row],[_Res3Text]]="","",TRIM(MID(SUBSTITUTE(Tasks[[#This Row],[_Resources]],",",REPT(" ",99)),298,99)))</f>
        <v/>
      </c>
      <c r="DO192" s="42">
        <f>IF(Tasks[[#This Row],[_Res1Text]]="",0,IFERROR(MATCH(TRIM(LEFT(Tasks[[#This Row],[_Res1Text]],FIND("[",Tasks[[#This Row],[_Res1Text]]&amp;"[")-1)),res_Name,0),IFERROR(MATCH(TRIM(LEFT(Tasks[[#This Row],[_Res1Text]],FIND("[",Tasks[[#This Row],[_Res1Text]]&amp;"[")-1)),res_Initials,0),0)))</f>
        <v/>
      </c>
      <c r="DP192" s="42">
        <f>IF(Tasks[[#This Row],[_Res2Text]]="",0,IFERROR(MATCH(TRIM(LEFT(Tasks[[#This Row],[_Res2Text]],FIND("[",Tasks[[#This Row],[_Res2Text]]&amp;"[")-1)),res_Name,0),IFERROR(MATCH(TRIM(LEFT(Tasks[[#This Row],[_Res2Text]],FIND("[",Tasks[[#This Row],[_Res2Text]]&amp;"[")-1)),res_Initials,0),0)))</f>
        <v/>
      </c>
      <c r="DQ192" s="42">
        <f>IF(Tasks[[#This Row],[_Res3Text]]="",0,IFERROR(MATCH(TRIM(LEFT(Tasks[[#This Row],[_Res3Text]],FIND("[",Tasks[[#This Row],[_Res3Text]]&amp;"[")-1)),res_Name,0),IFERROR(MATCH(TRIM(LEFT(Tasks[[#This Row],[_Res3Text]],FIND("[",Tasks[[#This Row],[_Res3Text]]&amp;"[")-1)),res_Initials,0),0)))</f>
        <v/>
      </c>
      <c r="DR192" s="42">
        <f>IF(Tasks[[#This Row],[_Res4Text]]="",0,IFERROR(MATCH(TRIM(LEFT(Tasks[[#This Row],[_Res4Text]],FIND("[",Tasks[[#This Row],[_Res4Text]]&amp;"[")-1)),res_Name,0),IFERROR(MATCH(TRIM(LEFT(Tasks[[#This Row],[_Res4Text]],FIND("[",Tasks[[#This Row],[_Res4Text]]&amp;"[")-1)),res_Initials,0),0)))</f>
        <v/>
      </c>
      <c r="DS192" s="42">
        <f>IF(Tasks[[#This Row],[_Res1Text]]="","",IF(Tasks[[#This Row],[_Res1Row]]&gt;0,INDEX(res_Name,Tasks[[#This Row],[_Res1Row]]),TRIM(LEFT(Tasks[[#This Row],[_Res1Text]],FIND("[",Tasks[[#This Row],[_Res1Text]]&amp;"[")-1))))</f>
        <v/>
      </c>
      <c r="DT19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2" s="42">
        <f>IF(NOT(Tasks[[#This Row],[_IsLeaf]]=1),0,(Tasks[[#This Row],[_Resource1]]&lt;&gt;"")+(Tasks[[#This Row],[_Res2]]&lt;&gt;"")+(Tasks[[#This Row],[_Res3]]&lt;&gt;"")+(Tasks[[#This Row],[_Res4]]&lt;&gt;""))</f>
        <v/>
      </c>
      <c r="DV192" s="42">
        <f>IF(Tasks[[#This Row],[_Res2Text]]="","",IF(Tasks[[#This Row],[_Res2Row]]&gt;0,INDEX(res_Name,Tasks[[#This Row],[_Res2Row]]),TRIM(LEFT(Tasks[[#This Row],[_Res2Text]],FIND("[",Tasks[[#This Row],[_Res2Text]]&amp;"[")-1))))</f>
        <v/>
      </c>
      <c r="DW19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2" s="42">
        <f>IF(OR(NOT(Tasks[[#This Row],[_IsLeaf]]=1),Tasks[[#This Row],[_Res2Row]]=0),0,N(Tasks[[#This Row],[_Days]])*HoursPerDay*IF(Tasks[[#This Row],[_Res2Units]]="",DefaultUnits,Tasks[[#This Row],[_Res2Units]]))</f>
        <v/>
      </c>
      <c r="DY192" s="42">
        <f>IF(AND(AND(Tasks[[#This Row],[_IsLeaf]]=1,Tasks[[#This Row],[_LeafTotalWork]]&gt;0),Tasks[[#This Row],[_Res2Work]]&gt;0),Tasks[[#This Row],[_Res2Work]]/(Tasks[[#This Row],[_FinishWorkday]]-Tasks[[#This Row],[_StartWorkday]]+1),0)</f>
        <v/>
      </c>
      <c r="DZ192" s="42">
        <f>Tasks[[#This Row],[_Res2WorkPerWD]]*MAX(0,Tasks[[#This Row],[_StartWorkday]]-1)</f>
        <v/>
      </c>
      <c r="EA192" s="42">
        <f>Tasks[[#This Row],[_Res2Work]]*Tasks[[#This Row],[_LeafProgress]]</f>
        <v/>
      </c>
      <c r="EB192" s="42">
        <f>IF(Tasks[[#This Row],[_Res3Text]]="","",IF(Tasks[[#This Row],[_Res3Row]]&gt;0,INDEX(res_Name,Tasks[[#This Row],[_Res3Row]]),TRIM(LEFT(Tasks[[#This Row],[_Res3Text]],FIND("[",Tasks[[#This Row],[_Res3Text]]&amp;"[")-1))))</f>
        <v/>
      </c>
      <c r="EC19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2" s="42">
        <f>IF(OR(NOT(Tasks[[#This Row],[_IsLeaf]]=1),Tasks[[#This Row],[_Res3Row]]=0),0,N(Tasks[[#This Row],[_Days]])*HoursPerDay*IF(Tasks[[#This Row],[_Res3Units]]="",DefaultUnits,Tasks[[#This Row],[_Res3Units]]))</f>
        <v/>
      </c>
      <c r="EE192" s="42">
        <f>IF(AND(AND(Tasks[[#This Row],[_IsLeaf]]=1,Tasks[[#This Row],[_LeafTotalWork]]&gt;0),Tasks[[#This Row],[_Res3Work]]&gt;0),Tasks[[#This Row],[_Res3Work]]/(Tasks[[#This Row],[_FinishWorkday]]-Tasks[[#This Row],[_StartWorkday]]+1),0)</f>
        <v/>
      </c>
      <c r="EF192" s="42">
        <f>Tasks[[#This Row],[_Res3WorkPerWD]]*MAX(0,Tasks[[#This Row],[_StartWorkday]]-1)</f>
        <v/>
      </c>
      <c r="EG192" s="42">
        <f>Tasks[[#This Row],[_Res3Work]]*Tasks[[#This Row],[_LeafProgress]]</f>
        <v/>
      </c>
      <c r="EH192" s="42">
        <f>IF(Tasks[[#This Row],[_Res4Text]]="","",IF(Tasks[[#This Row],[_Res4Row]]&gt;0,INDEX(res_Name,Tasks[[#This Row],[_Res4Row]]),TRIM(LEFT(Tasks[[#This Row],[_Res4Text]],FIND("[",Tasks[[#This Row],[_Res4Text]]&amp;"[")-1))))</f>
        <v/>
      </c>
      <c r="EI19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2" s="42">
        <f>IF(OR(NOT(Tasks[[#This Row],[_IsLeaf]]=1),Tasks[[#This Row],[_Res4Row]]=0),0,N(Tasks[[#This Row],[_Days]])*HoursPerDay*IF(Tasks[[#This Row],[_Res4Units]]="",DefaultUnits,Tasks[[#This Row],[_Res4Units]]))</f>
        <v/>
      </c>
      <c r="EK192" s="42">
        <f>IF(AND(AND(Tasks[[#This Row],[_IsLeaf]]=1,Tasks[[#This Row],[_LeafTotalWork]]&gt;0),Tasks[[#This Row],[_Res4Work]]&gt;0),Tasks[[#This Row],[_Res4Work]]/(Tasks[[#This Row],[_FinishWorkday]]-Tasks[[#This Row],[_StartWorkday]]+1),0)</f>
        <v/>
      </c>
      <c r="EL192" s="42">
        <f>Tasks[[#This Row],[_Res4WorkPerWD]]*MAX(0,Tasks[[#This Row],[_StartWorkday]]-1)</f>
        <v/>
      </c>
      <c r="EM192" s="42">
        <f>Tasks[[#This Row],[_Res4Work]]*Tasks[[#This Row],[_LeafProgress]]</f>
        <v/>
      </c>
      <c r="EN192" s="42">
        <f>IF(ISNUMBER(Tasks[[#This Row],[% Complete]]),Tasks[[#This Row],[% Complete]],IF(Tasks[[#This Row],[Stage]]="",0,IFERROR(INDEX(stg_Pct,MATCH(Tasks[[#This Row],[Stage]],stg_Name,0)),0)))</f>
        <v/>
      </c>
      <c r="EO192" s="42">
        <f>IF(NOT(Tasks[[#This Row],[_IsLeaf]]=1),0,IF(N(Tasks[[#This Row],[Actual Finish]])&gt;0,1,MIN(1,Tasks[[#This Row],[_Pct]])))</f>
        <v/>
      </c>
      <c r="EP192" s="42">
        <f>IF(OR(NOT(Tasks[[#This Row],[_IsLeaf]]=1),Tasks[[#This Row],[_Res1Row]]=0),0,N(Tasks[[#This Row],[_Days]])*HoursPerDay*IF(Tasks[[#This Row],[_Units1]]="",DefaultUnits,Tasks[[#This Row],[_Units1]]))</f>
        <v/>
      </c>
      <c r="EQ192" s="42">
        <f>Tasks[[#This Row],[_LeafWork]]+Tasks[[#This Row],[_Res2Work]]+Tasks[[#This Row],[_Res3Work]]+Tasks[[#This Row],[_Res4Work]]</f>
        <v/>
      </c>
      <c r="ER19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2" s="42">
        <f>IF(NOT(Tasks[[#This Row],[_IsLeaf]]=1),0,MAX(_xlfn.MAXIFS(Tasks[_Row],Tasks[_Pred1UID],Tasks[[#This Row],[UID]]),_xlfn.MAXIFS(Tasks[_Row],Tasks[_Pred2UID],Tasks[[#This Row],[UID]]),_xlfn.MAXIFS(Tasks[_Row],Tasks[_Pred3UID],Tasks[[#This Row],[UID]]),_xlfn.MAXIFS(Tasks[_Row],Tasks[_Pred4UID],Tasks[[#This Row],[UID]])))</f>
        <v/>
      </c>
      <c r="FA19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2" s="88">
        <f>IF(NOT(Tasks[[#This Row],[_IsLeaf]]=1),"",IF(N(Tasks[[#This Row],[_Days]])&lt;=0,Tasks[[#This Row],[_LeafLateFinish]],WORKDAY.INTL(Tasks[[#This Row],[_LeafLateFinish]],-(Tasks[[#This Row],[_Days]]-1),WorkWeek,Holidays)))</f>
        <v/>
      </c>
      <c r="FD19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2" s="42">
        <f>AND(Tasks[[#This Row],[_IsLeaf]]=1,Tasks[[#This Row],[_LeafProgress]]&lt;1,N(Tasks[[#This Row],[_LeafTotalSlack]])&lt;=CriticalSlackDays)</f>
        <v/>
      </c>
      <c r="FF192" s="42">
        <f>IF(AND(Tasks[[#This Row],[_IsLeaf]]=1,Tasks[[#This Row],[_ConstraintCode]]=1,Tasks[[#This Row],[Mode]]&lt;&gt;"Manual",N(Tasks[[#This Row],[Actual Start]])=0),MAX(0,N(Tasks[[#This Row],[Free Slack]])),0)</f>
        <v/>
      </c>
      <c r="FG192" s="88">
        <f>IF(NOT(Tasks[[#This Row],[_IsLeaf]]=1),"",IF(Tasks[[#This Row],[_AlapShift]]=0,Tasks[[#This Row],[_LeafCalcStart]],WORKDAY.INTL(Tasks[[#This Row],[_LeafCalcStart]],Tasks[[#This Row],[_AlapShift]],WorkWeek,Holidays)))</f>
        <v/>
      </c>
      <c r="FH192" s="88">
        <f>IF(NOT(Tasks[[#This Row],[_IsLeaf]]=1),"",IF(Tasks[[#This Row],[_AlapShift]]=0,Tasks[[#This Row],[_LeafCalcFinish]],WORKDAY.INTL(Tasks[[#This Row],[_LeafCalcFinish]],Tasks[[#This Row],[_AlapShift]],WorkWeek,Holidays)))</f>
        <v/>
      </c>
      <c r="FI192" s="88">
        <f>IF(NOT(Tasks[[#This Row],[_IsLeaf]]=1),"",IF(Tasks[[#This Row],[_AlapShift]]=0,Tasks[[#This Row],[_LeafFcstStart]],WORKDAY.INTL(Tasks[[#This Row],[_LeafFcstStart]],Tasks[[#This Row],[_AlapShift]],WorkWeek,Holidays)))</f>
        <v/>
      </c>
      <c r="FJ192" s="88">
        <f>IF(NOT(Tasks[[#This Row],[_IsLeaf]]=1),"",IF(Tasks[[#This Row],[_AlapShift]]=0,Tasks[[#This Row],[_LeafFcstFinish]],WORKDAY.INTL(Tasks[[#This Row],[_LeafFcstFinish]],Tasks[[#This Row],[_AlapShift]],WorkWeek,Holidays)))</f>
        <v/>
      </c>
      <c r="FK192" s="88">
        <f>IF(Tasks[[#This Row],[Task Name]]="","",IF(Tasks[[#This Row],[_IsSummary]],MIN(INDEX(Tasks[_ShownCalcStart],Tasks[[#This Row],[_Row]]+1):INDEX(Tasks[_ShownCalcStart],Tasks[[#This Row],[_Row]]+Tasks[[#This Row],[_Descendants]])),Tasks[[#This Row],[_ShownCalcStart]]))</f>
        <v/>
      </c>
      <c r="FL192" s="88">
        <f>IF(Tasks[[#This Row],[Task Name]]="","",IF(Tasks[[#This Row],[_IsSummary]],MAX(INDEX(Tasks[_ShownCalcFinish],Tasks[[#This Row],[_Row]]+1):INDEX(Tasks[_ShownCalcFinish],Tasks[[#This Row],[_Row]]+Tasks[[#This Row],[_Descendants]])),Tasks[[#This Row],[_ShownCalcFinish]]))</f>
        <v/>
      </c>
      <c r="FM19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2" s="42">
        <f>IF(AND(Tasks[[#This Row],[_IsLeaf]]=1,Tasks[[#This Row],[_LeafTotalWork]]&gt;0),NETWORKDAYS.INTL(ProjectStart,Tasks[[#This Row],[_ShownFcstStart]],WorkWeek,Holidays),0)</f>
        <v/>
      </c>
      <c r="FZ192" s="42">
        <f>IF(AND(Tasks[[#This Row],[_IsLeaf]]=1,Tasks[[#This Row],[_LeafTotalWork]]&gt;0),MAX(Tasks[[#This Row],[_StartWorkday]],NETWORKDAYS.INTL(ProjectStart,Tasks[[#This Row],[_ShownFcstFinish]],WorkWeek,Holidays)),0)</f>
        <v/>
      </c>
      <c r="GA192" s="42">
        <f>IF(AND(Tasks[[#This Row],[_IsLeaf]]=1,Tasks[[#This Row],[_LeafTotalWork]]&gt;0),Tasks[[#This Row],[_LeafWork]]/(Tasks[[#This Row],[_FinishWorkday]]-Tasks[[#This Row],[_StartWorkday]]+1),0)</f>
        <v/>
      </c>
      <c r="GB192" s="42">
        <f>Tasks[[#This Row],[_WorkPerWorkday]]*(Tasks[[#This Row],[_StartWorkday]]-1)</f>
        <v/>
      </c>
      <c r="GC192" s="42">
        <f>IF(Tasks[[#This Row],[_IsLeaf]]=1,MAX(N(Tasks[[#This Row],[_Days]]),0.1),0)</f>
        <v/>
      </c>
      <c r="GD192" s="42">
        <f>Tasks[[#This Row],[_WeightDur]]*Tasks[[#This Row],[_LeafProgress]]</f>
        <v/>
      </c>
      <c r="GE192" s="42">
        <f>Tasks[[#This Row],[_WeightDur]]*Tasks[[#This Row],[_PlannedPct]]</f>
        <v/>
      </c>
      <c r="GF19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2" s="42">
        <f>IF(AND(Tasks[[#This Row],[_IsLeaf]]=1,N(Tasks[[#This Row],[_Days]])=0,Tasks[[#This Row],[_LeafProgress]]&lt;1),Tasks[[#This Row],[_ShownFcstFinish]]+Tasks[[#This Row],[_Row]]/100000,"")</f>
        <v/>
      </c>
      <c r="GH19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2" s="42">
        <f>IF(Tasks[[#This Row],[Task Name]]="","",LEFT(Tasks[[#This Row],[WBS]],FIND(".",Tasks[[#This Row],[WBS]]&amp;".")-1))</f>
        <v/>
      </c>
      <c r="GJ192" s="42">
        <f>IF(AND(Tasks[[#This Row],[Task Name]]&lt;&gt;"",Tasks[[#This Row],[_Level]]=1),Tasks[[#This Row],[_Row]],"")</f>
        <v/>
      </c>
      <c r="GK192" s="42">
        <f>IF(AND(Tasks[[#This Row],[_IsLeaf]]=1,N(Tasks[[#This Row],[_Days]])=0),Tasks[[#This Row],[Planned Finish]]+Tasks[[#This Row],[_Row]]/100000,"")</f>
        <v/>
      </c>
      <c r="GL192" s="42">
        <f>IF(AND(Tasks[[#This Row],[_IsLeaf]]=1,Tasks[[#This Row],[_LeafProgress]]&lt;1,OR(N(Tasks[[#This Row],[Finish Var]])&gt;0,Tasks[[#This Row],[Status]]="Late Start")),MAX(0,Tasks[[#This Row],[Finish Var]])+1-Tasks[[#This Row],[_Row]]/1000000,"")</f>
        <v/>
      </c>
      <c r="GM192" s="42">
        <f>IF(AND(Tasks[[#This Row],[_IsLeaf]]=1,N(Tasks[[#This Row],[Actual Start]])=0,Tasks[[#This Row],[_ShownFcstStart]]&gt;=StatusDate,Tasks[[#This Row],[_ShownFcstStart]]&lt;=LookaheadEnd),Tasks[[#This Row],[_ShownFcstStart]]+Tasks[[#This Row],[_Row]]/100000,"")</f>
        <v/>
      </c>
      <c r="GN192" s="42">
        <f>IF(AND(Tasks[[#This Row],[_IsLeaf]]=1,Tasks[[#This Row],[_LeafProgress]]&lt;1,Tasks[[#This Row],[_ShownFcstFinish]]&gt;=StatusDate,Tasks[[#This Row],[_ShownFcstFinish]]&lt;=LookaheadEnd),Tasks[[#This Row],[_ShownFcstFinish]]+Tasks[[#This Row],[_Row]]/100000,"")</f>
        <v/>
      </c>
      <c r="GO192" s="42">
        <f>IF(Tasks[[#This Row],[_LeafCritical]],Tasks[[#This Row],[_ShownFcstStart]]+Tasks[[#This Row],[_Row]]/100000,"")</f>
        <v/>
      </c>
      <c r="GP192" s="42">
        <f>Tasks[[#This Row],[_LeafWork]]*Tasks[[#This Row],[_LeafProgress]]</f>
        <v/>
      </c>
      <c r="GQ192" s="88">
        <f>IF(AND(Tasks[[#This Row],[_IsLeaf]]=1,Tasks[[#This Row],[_LeafProgress]]&gt;=1),IF(N(Tasks[[#This Row],[Actual Finish]])&gt;0,Tasks[[#This Row],[Actual Finish]],Tasks[[#This Row],[_ShownFcstFinish]]),"")</f>
        <v/>
      </c>
      <c r="GR192" s="42">
        <f>IF(Tasks[[#This Row],[_IsLeaf]]=1,N(Tasks[[#This Row],[Story Points]]),0)</f>
        <v/>
      </c>
      <c r="GS192" s="42">
        <f>""</f>
        <v/>
      </c>
      <c r="GT192" s="42">
        <f>IF(Tasks[[#This Row],[Task Name]]="",FALSE(),AND(Tasks[[#This Row],[_IsLeaf]]=1,N(Tasks[[#This Row],[_Days]])=0))</f>
        <v/>
      </c>
      <c r="GU192" s="88">
        <f>IF(Tasks[[#This Row],[Task Name]]="",0,IF(AND(Tasks[[#This Row],[_IsLeaf]]=1,NOT(Tasks[[#This Row],[_IsMilestone]]),N(Tasks[[#This Row],[Progress]])&gt;0),Tasks[[#This Row],[Start]],0))</f>
        <v/>
      </c>
      <c r="GV192" s="88">
        <f>IF(Tasks[[#This Row],[_DoneFrom]]=0,0,IF(Tasks[[#This Row],[Progress]]&gt;=1,Tasks[[#This Row],[Finish]],MAX(Tasks[[#This Row],[_DoneFrom]],Tasks[[#This Row],[Start]]+ROUND((Tasks[[#This Row],[Finish]]-Tasks[[#This Row],[Start]]+1)*Tasks[[#This Row],[Progress]],0)-1)))</f>
        <v/>
      </c>
      <c r="GW192" s="88">
        <f>IF(Tasks[[#This Row],[Task Name]]="",0,IF(OR(NOT(Tasks[[#This Row],[_IsLeaf]]=1),Tasks[[#This Row],[_IsMilestone]],N(Tasks[[#This Row],[Progress]])&gt;=1),0,IF(Tasks[[#This Row],[_DoneTo]]&gt;0,Tasks[[#This Row],[_DoneTo]]+1,Tasks[[#This Row],[Start]])))</f>
        <v/>
      </c>
      <c r="GX192" s="88">
        <f>IF(Tasks[[#This Row],[_RemFrom]]=0,0,Tasks[[#This Row],[Finish]])</f>
        <v/>
      </c>
      <c r="GY192" s="42">
        <f>IF(Tasks[[#This Row],[Task Name]]="",FALSE(),OR(NOT(BaselineSet),N(Tasks[[#This Row],[Baseline Start]])&gt;0))</f>
        <v/>
      </c>
      <c r="GZ192" s="42">
        <f>IF(AND(Sandbox="Yes",L_PARSE_DURATION(Tasks[[#This Row],[Sandbox Duration]])&lt;&gt;""),L_PARSE_DURATION(Tasks[[#This Row],[Sandbox Duration]]),L_PARSE_DURATION(Tasks[[#This Row],[Duration]]))</f>
        <v/>
      </c>
      <c r="HA19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2" s="42">
        <f>IF(Tasks[[#This Row],[_IsLeaf]]=1,Tasks[[#This Row],[_Row]],"")</f>
        <v/>
      </c>
      <c r="HD192" s="42">
        <f>IFERROR(INDEX(Tasks[UID],SMALL(Tasks[_PickKey],Tasks[[#This Row],[_Row]]))&amp;" "&amp;INDEX(Tasks[Task Name],SMALL(Tasks[_PickKey],Tasks[[#This Row],[_Row]])),"")</f>
        <v/>
      </c>
      <c r="HE192" s="42">
        <f>IF(Tasks[[#This Row],[Task Name]]="","",IF(Tasks[[#This Row],[_IsSummary]],NETWORKDAYS.INTL(Tasks[[#This Row],[Start]],Tasks[[#This Row],[Finish]],WorkWeek,Holidays),N(Tasks[[#This Row],[_Days]])))</f>
        <v/>
      </c>
      <c r="HF192" s="42">
        <f>IF(Tasks[[#This Row],[Expected]]="",0,((Tasks[[#This Row],[Pessimistic]]-Tasks[[#This Row],[Optimistic]])/6)^2)</f>
        <v/>
      </c>
      <c r="HG192" s="42">
        <f>IF(Tasks[[#This Row],[Expected]]="",0,Tasks[[#This Row],[Expected]]-N(Tasks[[#This Row],[_Days]]))</f>
        <v/>
      </c>
    </row>
    <row r="193">
      <c r="A193" s="21">
        <f>IF(Tasks[[#This Row],[Task Name]]="","",COUNTA(Tasks[[#Headers],[Task Name]]:Tasks[[#This Row],[Task Name]])-1)</f>
        <v/>
      </c>
      <c r="B193" s="22" t="n">
        <v>201</v>
      </c>
      <c r="C193" s="22" t="n"/>
      <c r="D193" s="23" t="n"/>
      <c r="E193" s="22" t="n"/>
      <c r="F193" s="23" t="n"/>
      <c r="G193" s="22" t="n"/>
      <c r="H193" s="22" t="n"/>
      <c r="I193" s="23" t="n"/>
      <c r="J193" s="22" t="n"/>
      <c r="K193" s="22" t="n"/>
      <c r="L193" s="23" t="n"/>
      <c r="M193" s="22" t="n"/>
      <c r="N193" s="22" t="n"/>
      <c r="O193" s="23" t="n"/>
      <c r="P193" s="22" t="n"/>
      <c r="Q193" s="22" t="n"/>
      <c r="R193" s="23" t="n"/>
      <c r="S193" s="23" t="n"/>
      <c r="T193" s="82" t="n"/>
      <c r="U193" s="23" t="n"/>
      <c r="V193" s="82" t="n"/>
      <c r="W193" s="23" t="n"/>
      <c r="X193" s="82" t="n"/>
      <c r="Y193" s="23" t="n"/>
      <c r="Z193" s="82" t="n"/>
      <c r="AA193" s="23" t="n"/>
      <c r="AB193" s="23" t="n"/>
      <c r="AC193" s="7" t="n"/>
      <c r="AD193" s="7" t="n"/>
      <c r="AE193" s="61">
        <f>IF(Tasks[[#This Row],[Task Name]]="","",IF(Tasks[[#This Row],[_IsSummary]],MIN(INDEX(Tasks[_ShownFcstStart],Tasks[[#This Row],[_Row]]+1):INDEX(Tasks[_ShownFcstStart],Tasks[[#This Row],[_Row]]+Tasks[[#This Row],[_Descendants]])),Tasks[[#This Row],[_ShownFcstStart]]))</f>
        <v/>
      </c>
      <c r="AF193" s="61">
        <f>IF(Tasks[[#This Row],[Task Name]]="","",IF(Tasks[[#This Row],[_IsSummary]],MAX(INDEX(Tasks[_ShownFcstFinish],Tasks[[#This Row],[_Row]]+1):INDEX(Tasks[_ShownFcstFinish],Tasks[[#This Row],[_Row]]+Tasks[[#This Row],[_Descendants]])),Tasks[[#This Row],[_ShownFcstFinish]]))</f>
        <v/>
      </c>
      <c r="AG193" s="21">
        <f>""</f>
        <v/>
      </c>
      <c r="AH193" s="23" t="n"/>
      <c r="AI19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3" s="7" t="n"/>
      <c r="AK193" s="22" t="n"/>
      <c r="AL193" s="23" t="n"/>
      <c r="AM193" s="7" t="n"/>
      <c r="AN193" s="21">
        <f>IF(Tasks[[#This Row],[Task Name]]="","",IF(Tasks[[#This Row],[Finish]]&gt;=Tasks[[#This Row],[Planned Finish]],NETWORKDAYS.INTL(Tasks[[#This Row],[Planned Finish]],Tasks[[#This Row],[Finish]],WorkWeek,Holidays)-1,1-NETWORKDAYS.INTL(Tasks[[#This Row],[Finish]],Tasks[[#This Row],[Planned Finish]],WorkWeek,Holidays)))</f>
        <v/>
      </c>
      <c r="AO193" s="21">
        <f>IF(Tasks[[#This Row],[Task Name]]="","",IF(Tasks[[#This Row],[Progress]]&gt;=1,"Complete",IF(OR(N(Tasks[[#This Row],[Actual Start]])&gt;0,Tasks[[#This Row],[Progress]]&gt;0),IF(Tasks[[#This Row],[Finish Var]]&gt;0,"Behind","In Progress"),IF(Tasks[[#This Row],[Planned Start]]&lt;StatusDate,"Late Start","Not Started"))))</f>
        <v/>
      </c>
      <c r="AP193" s="21">
        <f>IF(Tasks[[#This Row],[Task Name]]="","",IF(IF(Tasks[[#This Row],[_IsSummary]],COUNTIF(INDEX(Tasks[_LeafCritical],Tasks[[#This Row],[_Row]]+1):INDEX(Tasks[_LeafCritical],Tasks[[#This Row],[_Row]]+Tasks[[#This Row],[_Descendants]]),TRUE())&gt;0,Tasks[[#This Row],[_LeafCritical]]),"Yes",""))</f>
        <v/>
      </c>
      <c r="AQ193" s="61">
        <f>IF(Tasks[[#This Row],[Task Name]]="","",IF(N(Tasks[[#This Row],[Baseline Start]])&gt;0,Tasks[[#This Row],[Baseline Start]],Tasks[[#This Row],[_CalcStart]]))</f>
        <v/>
      </c>
      <c r="AR193" s="61">
        <f>IF(Tasks[[#This Row],[Task Name]]="","",IF(N(Tasks[[#This Row],[Baseline Finish]])&gt;0,Tasks[[#This Row],[Baseline Finish]],Tasks[[#This Row],[_CalcFinish]]))</f>
        <v/>
      </c>
      <c r="AS193" s="21">
        <f>IF(Tasks[[#This Row],[Task Name]]="","",IF(Tasks[[#This Row],[Start]]&gt;=Tasks[[#This Row],[Planned Start]],NETWORKDAYS.INTL(Tasks[[#This Row],[Planned Start]],Tasks[[#This Row],[Start]],WorkWeek,Holidays)-1,1-NETWORKDAYS.INTL(Tasks[[#This Row],[Start]],Tasks[[#This Row],[Planned Start]],WorkWeek,Holidays)))</f>
        <v/>
      </c>
      <c r="AT193" s="61">
        <f>IF(Tasks[[#This Row],[Task Name]]="","",IF(Tasks[[#This Row],[_IsSummary]],MIN(INDEX(Tasks[_LeafLateStart],Tasks[[#This Row],[_Row]]+1):INDEX(Tasks[_LeafLateStart],Tasks[[#This Row],[_Row]]+Tasks[[#This Row],[_Descendants]])),Tasks[[#This Row],[_LeafLateStart]]))</f>
        <v/>
      </c>
      <c r="AU193" s="61">
        <f>IF(Tasks[[#This Row],[Task Name]]="","",IF(Tasks[[#This Row],[_IsSummary]],MAX(INDEX(Tasks[_LeafLateFinish],Tasks[[#This Row],[_Row]]+1):INDEX(Tasks[_LeafLateFinish],Tasks[[#This Row],[_Row]]+Tasks[[#This Row],[_Descendants]])),Tasks[[#This Row],[_LeafLateFinish]]))</f>
        <v/>
      </c>
      <c r="AV193" s="21">
        <f>IF(Tasks[[#This Row],[Task Name]]="","",IF(Tasks[[#This Row],[_IsSummary]],MIN(INDEX(Tasks[_LeafTotalSlack],Tasks[[#This Row],[_Row]]+1):INDEX(Tasks[_LeafTotalSlack],Tasks[[#This Row],[_Row]]+Tasks[[#This Row],[_Descendants]])),Tasks[[#This Row],[_LeafTotalSlack]]))</f>
        <v/>
      </c>
      <c r="AW19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3" t="n"/>
      <c r="BA19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f>IF(Tasks[[#This Row],[Task Name]]="","",IF(Tasks[[#This Row],[_Level]]&lt;=OutlineShowLevel,"Yes","No"))</f>
        <v/>
      </c>
      <c r="BE193" s="84">
        <f>IF(Tasks[[#This Row],[Task Name]]="","",IF(Tasks[[#This Row],[_IsSummary]],SUM(INDEX(Tasks[_LeafTotalWork],Tasks[[#This Row],[_Row]]+1):INDEX(Tasks[_LeafTotalWork],Tasks[[#This Row],[_Row]]+Tasks[[#This Row],[_Descendants]])),Tasks[[#This Row],[_LeafTotalWork]]))</f>
        <v/>
      </c>
      <c r="BF193" s="23" t="n"/>
      <c r="BG19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f>""</f>
        <v/>
      </c>
      <c r="BI193" s="85" t="n"/>
      <c r="BJ193" s="22" t="n"/>
      <c r="BK193" s="21">
        <f>IF(OR(Tasks[[#This Row],[Task Name]]="",Tasks[[#This Row],[Baseline Duration]]=""),"",Tasks[[#This Row],[_SpanDays]]-N(Tasks[[#This Row],[Baseline Duration]]))</f>
        <v/>
      </c>
      <c r="BL193" s="84">
        <f>IF(OR(Tasks[[#This Row],[Task Name]]="",Tasks[[#This Row],[Baseline Work]]=""),"",Tasks[[#This Row],[Work]]-N(Tasks[[#This Row],[Baseline Work]]))</f>
        <v/>
      </c>
      <c r="BM193" s="61">
        <f>IF(Tasks[[#This Row],[Task Name]]="","",IF(OR(TakeBaseline="Yes",N(Tasks[[#This Row],[Baseline Start]])=0),Tasks[[#This Row],[Start]],Tasks[[#This Row],[Baseline Start]]))</f>
        <v/>
      </c>
      <c r="BN193" s="61">
        <f>IF(Tasks[[#This Row],[Task Name]]="","",IF(OR(TakeBaseline="Yes",N(Tasks[[#This Row],[Baseline Finish]])=0),Tasks[[#This Row],[Finish]],Tasks[[#This Row],[Baseline Finish]]))</f>
        <v/>
      </c>
      <c r="BO193" s="21">
        <f>IF(Tasks[[#This Row],[Task Name]]="","",IF(OR(TakeBaseline="Yes",N(Tasks[[#This Row],[Baseline Duration]])=0),Tasks[[#This Row],[_SpanDays]],Tasks[[#This Row],[Baseline Duration]]))</f>
        <v/>
      </c>
      <c r="BP193" s="84">
        <f>IF(Tasks[[#This Row],[Task Name]]="","",IF(OR(TakeBaseline="Yes",N(Tasks[[#This Row],[Baseline Work]])=0),Tasks[[#This Row],[Work]],Tasks[[#This Row],[Baseline Work]]))</f>
        <v/>
      </c>
      <c r="BQ193" s="7" t="n"/>
      <c r="BR193" s="7" t="n"/>
      <c r="BS193" s="22" t="n"/>
      <c r="BT193" s="86" t="n"/>
      <c r="BU193" s="23" t="n"/>
      <c r="BV193" s="23" t="n"/>
      <c r="BW193" s="23" t="n"/>
      <c r="BX193" s="87">
        <f>IF(AND(Tasks[[#This Row],[_IsLeaf]]=1,ISNUMBER(Tasks[[#This Row],[Optimistic]]),ISNUMBER(Tasks[[#This Row],[Pessimistic]])),ROUND((Tasks[[#This Row],[Optimistic]]+4*N(Tasks[[#This Row],[_Days]])+Tasks[[#This Row],[Pessimistic]])/6,1),"")</f>
        <v/>
      </c>
      <c r="BY193" s="85" t="n"/>
      <c r="BZ193" s="85" t="n"/>
      <c r="CA193" s="22" t="n"/>
      <c r="CB193" s="42">
        <f>IF(Tasks[[#This Row],[Task Name]]="","",MAX(1,N(Tasks[[#This Row],[Level]])))</f>
        <v/>
      </c>
      <c r="CC193" s="42">
        <f>ROW()-ROW(Tasks[[#Headers],[ID]])</f>
        <v/>
      </c>
      <c r="CD193" s="42">
        <f>IF(OR(Tasks[[#This Row],[Task Name]]="",Tasks[[#This Row],[_Level]]&lt;=1),0,IFERROR(LOOKUP(2,1/(Tasks[[#Headers],[_Level]]:Tasks[[#This Row],[_Level]]=Tasks[[#This Row],[_Level]]-1),ROW(Tasks[[#Headers],[_Level]]:Tasks[[#This Row],[_Level]])),0))</f>
        <v/>
      </c>
      <c r="CE193" s="42">
        <f>IFERROR(N(INDEX(Tasks[_Level],Tasks[[#This Row],[_Row]]+1)),0)</f>
        <v/>
      </c>
      <c r="CF193" s="42">
        <f>AND(Tasks[[#This Row],[Task Name]]&lt;&gt;"",Tasks[[#This Row],[_NextLevel]]&gt;Tasks[[#This Row],[_Level]])</f>
        <v/>
      </c>
      <c r="CG193" s="42">
        <f>IF(Tasks[[#This Row],[_IsSummary]],COUNTIF(Tasks[WBS],Tasks[[#This Row],[WBS]]&amp;".*"),0)</f>
        <v/>
      </c>
      <c r="CH193" s="42">
        <f>IF(AND(Tasks[[#This Row],[Task Name]]&lt;&gt;"",NOT(Tasks[[#This Row],[_IsSummary]])),1,0)</f>
        <v/>
      </c>
      <c r="CI193" s="42">
        <f>IF(N(Tasks[[#This Row],[_Pred1UID]])=0,0,IFERROR(MATCH(Tasks[[#This Row],[_Pred1UID]],Tasks[UID],0),-1))</f>
        <v/>
      </c>
      <c r="CJ193" s="42">
        <f>IF(N(Tasks[[#This Row],[_Pred2UID]])=0,0,IFERROR(MATCH(Tasks[[#This Row],[_Pred2UID]],Tasks[UID],0),-1))</f>
        <v/>
      </c>
      <c r="CK193" s="42">
        <f>IF(N(Tasks[[#This Row],[_Pred3UID]])=0,0,IFERROR(MATCH(Tasks[[#This Row],[_Pred3UID]],Tasks[UID],0),-1))</f>
        <v/>
      </c>
      <c r="CL193" s="42">
        <f>IF(N(Tasks[[#This Row],[_Pred4UID]])=0,0,IFERROR(MATCH(Tasks[[#This Row],[_Pred4UID]],Tasks[UID],0),-1))</f>
        <v/>
      </c>
      <c r="CM19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3" s="88">
        <f>IF(N(Tasks[[#This Row],[Constraint Date]])=0,0,IF(AND(OR(Tasks[[#This Row],[_ConstraintCode]]=3,Tasks[[#This Row],[_ConstraintCode]]=6,Tasks[[#This Row],[_ConstraintCode]]=7),N(Tasks[[#This Row],[_Days]])&gt;1),WORKDAY.INTL(N(Tasks[[#This Row],[Constraint Date]]),-(N(Tasks[[#This Row],[_Days]])-1),WorkWeek,Holidays),N(Tasks[[#This Row],[Constraint Date]])))</f>
        <v/>
      </c>
      <c r="CO193" s="88">
        <f>IF(OR(Tasks[[#This Row],[_ConstraintCode]]=2,Tasks[[#This Row],[_ConstraintCode]]=3,Tasks[[#This Row],[_ConstraintCode]]=4,Tasks[[#This Row],[_ConstraintCode]]=6),Tasks[[#This Row],[_ConstraintStart]],0)</f>
        <v/>
      </c>
      <c r="CP193" s="88">
        <f>IF(OR(Tasks[[#This Row],[_ConstraintCode]]=2,Tasks[[#This Row],[_ConstraintCode]]=3,Tasks[[#This Row],[_ConstraintCode]]=5,Tasks[[#This Row],[_ConstraintCode]]=7),Tasks[[#This Row],[_ConstraintStart]],2958465)</f>
        <v/>
      </c>
      <c r="CQ19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3" s="88">
        <f>IF(NOT(Tasks[[#This Row],[_IsLeaf]]=1),"",IF(N(Tasks[[#This Row],[_Days]])&lt;=0,Tasks[[#This Row],[_LeafCalcStart]],WORKDAY.INTL(Tasks[[#This Row],[_LeafCalcStart]],Tasks[[#This Row],[_Days]]-1,WorkWeek,Holidays)))</f>
        <v/>
      </c>
      <c r="CS19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3" s="42">
        <f>IF(Tasks[[#This Row],[_Predecessors]]="","",TRIM(MID(SUBSTITUTE(SUBSTITUTE(SUBSTITUTE(UPPER(Tasks[[#This Row],[_Predecessors]]),";",",")," ",""),",",REPT(" ",99)),1,99)))</f>
        <v/>
      </c>
      <c r="CV193" s="42">
        <f>IF(Tasks[[#This Row],[_Pred1Text]]="","",IFERROR(VALUE(LEFT(Tasks[[#This Row],[_Pred1Text]],MIN(FIND("F",Tasks[[#This Row],[_Pred1Text]]&amp;"F"),FIND("S",Tasks[[#This Row],[_Pred1Text]]&amp;"S"),FIND("+",Tasks[[#This Row],[_Pred1Text]]&amp;"+"),FIND("-",Tasks[[#This Row],[_Pred1Text]]&amp;"-"))-1)),""))</f>
        <v/>
      </c>
      <c r="CW19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3" s="42">
        <f>IF(Tasks[[#This Row],[_Pred1Text]]="","",TRIM(MID(SUBSTITUTE(SUBSTITUTE(SUBSTITUTE(UPPER(Tasks[[#This Row],[_Predecessors]]),";",",")," ",""),",",REPT(" ",99)),100,99)))</f>
        <v/>
      </c>
      <c r="CZ193" s="42">
        <f>IF(Tasks[[#This Row],[_Pred2Text]]="","",IFERROR(VALUE(LEFT(Tasks[[#This Row],[_Pred2Text]],MIN(FIND("F",Tasks[[#This Row],[_Pred2Text]]&amp;"F"),FIND("S",Tasks[[#This Row],[_Pred2Text]]&amp;"S"),FIND("+",Tasks[[#This Row],[_Pred2Text]]&amp;"+"),FIND("-",Tasks[[#This Row],[_Pred2Text]]&amp;"-"))-1)),""))</f>
        <v/>
      </c>
      <c r="DA19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3" s="42">
        <f>IF(Tasks[[#This Row],[_Pred2Text]]="","",TRIM(MID(SUBSTITUTE(SUBSTITUTE(SUBSTITUTE(UPPER(Tasks[[#This Row],[_Predecessors]]),";",",")," ",""),",",REPT(" ",99)),199,99)))</f>
        <v/>
      </c>
      <c r="DD193" s="42">
        <f>IF(Tasks[[#This Row],[_Pred3Text]]="","",IFERROR(VALUE(LEFT(Tasks[[#This Row],[_Pred3Text]],MIN(FIND("F",Tasks[[#This Row],[_Pred3Text]]&amp;"F"),FIND("S",Tasks[[#This Row],[_Pred3Text]]&amp;"S"),FIND("+",Tasks[[#This Row],[_Pred3Text]]&amp;"+"),FIND("-",Tasks[[#This Row],[_Pred3Text]]&amp;"-"))-1)),""))</f>
        <v/>
      </c>
      <c r="DE19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3" s="42">
        <f>IF(Tasks[[#This Row],[_Pred3Text]]="","",TRIM(MID(SUBSTITUTE(SUBSTITUTE(SUBSTITUTE(UPPER(Tasks[[#This Row],[_Predecessors]]),";",",")," ",""),",",REPT(" ",99)),298,99)))</f>
        <v/>
      </c>
      <c r="DH193" s="42">
        <f>IF(Tasks[[#This Row],[_Pred4Text]]="","",IFERROR(VALUE(LEFT(Tasks[[#This Row],[_Pred4Text]],MIN(FIND("F",Tasks[[#This Row],[_Pred4Text]]&amp;"F"),FIND("S",Tasks[[#This Row],[_Pred4Text]]&amp;"S"),FIND("+",Tasks[[#This Row],[_Pred4Text]]&amp;"+"),FIND("-",Tasks[[#This Row],[_Pred4Text]]&amp;"-"))-1)),""))</f>
        <v/>
      </c>
      <c r="DI19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3" s="42">
        <f>IF(OR(Tasks[[#This Row],[Task Name]]="",Tasks[[#This Row],[_Resources]]=""),"",TRIM(MID(SUBSTITUTE(Tasks[[#This Row],[_Resources]],",",REPT(" ",99)),1,99)))</f>
        <v/>
      </c>
      <c r="DL193" s="42">
        <f>IF(Tasks[[#This Row],[_Res1Text]]="","",TRIM(MID(SUBSTITUTE(Tasks[[#This Row],[_Resources]],",",REPT(" ",99)),100,99)))</f>
        <v/>
      </c>
      <c r="DM193" s="42">
        <f>IF(Tasks[[#This Row],[_Res2Text]]="","",TRIM(MID(SUBSTITUTE(Tasks[[#This Row],[_Resources]],",",REPT(" ",99)),199,99)))</f>
        <v/>
      </c>
      <c r="DN193" s="42">
        <f>IF(Tasks[[#This Row],[_Res3Text]]="","",TRIM(MID(SUBSTITUTE(Tasks[[#This Row],[_Resources]],",",REPT(" ",99)),298,99)))</f>
        <v/>
      </c>
      <c r="DO193" s="42">
        <f>IF(Tasks[[#This Row],[_Res1Text]]="",0,IFERROR(MATCH(TRIM(LEFT(Tasks[[#This Row],[_Res1Text]],FIND("[",Tasks[[#This Row],[_Res1Text]]&amp;"[")-1)),res_Name,0),IFERROR(MATCH(TRIM(LEFT(Tasks[[#This Row],[_Res1Text]],FIND("[",Tasks[[#This Row],[_Res1Text]]&amp;"[")-1)),res_Initials,0),0)))</f>
        <v/>
      </c>
      <c r="DP193" s="42">
        <f>IF(Tasks[[#This Row],[_Res2Text]]="",0,IFERROR(MATCH(TRIM(LEFT(Tasks[[#This Row],[_Res2Text]],FIND("[",Tasks[[#This Row],[_Res2Text]]&amp;"[")-1)),res_Name,0),IFERROR(MATCH(TRIM(LEFT(Tasks[[#This Row],[_Res2Text]],FIND("[",Tasks[[#This Row],[_Res2Text]]&amp;"[")-1)),res_Initials,0),0)))</f>
        <v/>
      </c>
      <c r="DQ193" s="42">
        <f>IF(Tasks[[#This Row],[_Res3Text]]="",0,IFERROR(MATCH(TRIM(LEFT(Tasks[[#This Row],[_Res3Text]],FIND("[",Tasks[[#This Row],[_Res3Text]]&amp;"[")-1)),res_Name,0),IFERROR(MATCH(TRIM(LEFT(Tasks[[#This Row],[_Res3Text]],FIND("[",Tasks[[#This Row],[_Res3Text]]&amp;"[")-1)),res_Initials,0),0)))</f>
        <v/>
      </c>
      <c r="DR193" s="42">
        <f>IF(Tasks[[#This Row],[_Res4Text]]="",0,IFERROR(MATCH(TRIM(LEFT(Tasks[[#This Row],[_Res4Text]],FIND("[",Tasks[[#This Row],[_Res4Text]]&amp;"[")-1)),res_Name,0),IFERROR(MATCH(TRIM(LEFT(Tasks[[#This Row],[_Res4Text]],FIND("[",Tasks[[#This Row],[_Res4Text]]&amp;"[")-1)),res_Initials,0),0)))</f>
        <v/>
      </c>
      <c r="DS193" s="42">
        <f>IF(Tasks[[#This Row],[_Res1Text]]="","",IF(Tasks[[#This Row],[_Res1Row]]&gt;0,INDEX(res_Name,Tasks[[#This Row],[_Res1Row]]),TRIM(LEFT(Tasks[[#This Row],[_Res1Text]],FIND("[",Tasks[[#This Row],[_Res1Text]]&amp;"[")-1))))</f>
        <v/>
      </c>
      <c r="DT19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3" s="42">
        <f>IF(NOT(Tasks[[#This Row],[_IsLeaf]]=1),0,(Tasks[[#This Row],[_Resource1]]&lt;&gt;"")+(Tasks[[#This Row],[_Res2]]&lt;&gt;"")+(Tasks[[#This Row],[_Res3]]&lt;&gt;"")+(Tasks[[#This Row],[_Res4]]&lt;&gt;""))</f>
        <v/>
      </c>
      <c r="DV193" s="42">
        <f>IF(Tasks[[#This Row],[_Res2Text]]="","",IF(Tasks[[#This Row],[_Res2Row]]&gt;0,INDEX(res_Name,Tasks[[#This Row],[_Res2Row]]),TRIM(LEFT(Tasks[[#This Row],[_Res2Text]],FIND("[",Tasks[[#This Row],[_Res2Text]]&amp;"[")-1))))</f>
        <v/>
      </c>
      <c r="DW19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3" s="42">
        <f>IF(OR(NOT(Tasks[[#This Row],[_IsLeaf]]=1),Tasks[[#This Row],[_Res2Row]]=0),0,N(Tasks[[#This Row],[_Days]])*HoursPerDay*IF(Tasks[[#This Row],[_Res2Units]]="",DefaultUnits,Tasks[[#This Row],[_Res2Units]]))</f>
        <v/>
      </c>
      <c r="DY193" s="42">
        <f>IF(AND(AND(Tasks[[#This Row],[_IsLeaf]]=1,Tasks[[#This Row],[_LeafTotalWork]]&gt;0),Tasks[[#This Row],[_Res2Work]]&gt;0),Tasks[[#This Row],[_Res2Work]]/(Tasks[[#This Row],[_FinishWorkday]]-Tasks[[#This Row],[_StartWorkday]]+1),0)</f>
        <v/>
      </c>
      <c r="DZ193" s="42">
        <f>Tasks[[#This Row],[_Res2WorkPerWD]]*MAX(0,Tasks[[#This Row],[_StartWorkday]]-1)</f>
        <v/>
      </c>
      <c r="EA193" s="42">
        <f>Tasks[[#This Row],[_Res2Work]]*Tasks[[#This Row],[_LeafProgress]]</f>
        <v/>
      </c>
      <c r="EB193" s="42">
        <f>IF(Tasks[[#This Row],[_Res3Text]]="","",IF(Tasks[[#This Row],[_Res3Row]]&gt;0,INDEX(res_Name,Tasks[[#This Row],[_Res3Row]]),TRIM(LEFT(Tasks[[#This Row],[_Res3Text]],FIND("[",Tasks[[#This Row],[_Res3Text]]&amp;"[")-1))))</f>
        <v/>
      </c>
      <c r="EC19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3" s="42">
        <f>IF(OR(NOT(Tasks[[#This Row],[_IsLeaf]]=1),Tasks[[#This Row],[_Res3Row]]=0),0,N(Tasks[[#This Row],[_Days]])*HoursPerDay*IF(Tasks[[#This Row],[_Res3Units]]="",DefaultUnits,Tasks[[#This Row],[_Res3Units]]))</f>
        <v/>
      </c>
      <c r="EE193" s="42">
        <f>IF(AND(AND(Tasks[[#This Row],[_IsLeaf]]=1,Tasks[[#This Row],[_LeafTotalWork]]&gt;0),Tasks[[#This Row],[_Res3Work]]&gt;0),Tasks[[#This Row],[_Res3Work]]/(Tasks[[#This Row],[_FinishWorkday]]-Tasks[[#This Row],[_StartWorkday]]+1),0)</f>
        <v/>
      </c>
      <c r="EF193" s="42">
        <f>Tasks[[#This Row],[_Res3WorkPerWD]]*MAX(0,Tasks[[#This Row],[_StartWorkday]]-1)</f>
        <v/>
      </c>
      <c r="EG193" s="42">
        <f>Tasks[[#This Row],[_Res3Work]]*Tasks[[#This Row],[_LeafProgress]]</f>
        <v/>
      </c>
      <c r="EH193" s="42">
        <f>IF(Tasks[[#This Row],[_Res4Text]]="","",IF(Tasks[[#This Row],[_Res4Row]]&gt;0,INDEX(res_Name,Tasks[[#This Row],[_Res4Row]]),TRIM(LEFT(Tasks[[#This Row],[_Res4Text]],FIND("[",Tasks[[#This Row],[_Res4Text]]&amp;"[")-1))))</f>
        <v/>
      </c>
      <c r="EI19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3" s="42">
        <f>IF(OR(NOT(Tasks[[#This Row],[_IsLeaf]]=1),Tasks[[#This Row],[_Res4Row]]=0),0,N(Tasks[[#This Row],[_Days]])*HoursPerDay*IF(Tasks[[#This Row],[_Res4Units]]="",DefaultUnits,Tasks[[#This Row],[_Res4Units]]))</f>
        <v/>
      </c>
      <c r="EK193" s="42">
        <f>IF(AND(AND(Tasks[[#This Row],[_IsLeaf]]=1,Tasks[[#This Row],[_LeafTotalWork]]&gt;0),Tasks[[#This Row],[_Res4Work]]&gt;0),Tasks[[#This Row],[_Res4Work]]/(Tasks[[#This Row],[_FinishWorkday]]-Tasks[[#This Row],[_StartWorkday]]+1),0)</f>
        <v/>
      </c>
      <c r="EL193" s="42">
        <f>Tasks[[#This Row],[_Res4WorkPerWD]]*MAX(0,Tasks[[#This Row],[_StartWorkday]]-1)</f>
        <v/>
      </c>
      <c r="EM193" s="42">
        <f>Tasks[[#This Row],[_Res4Work]]*Tasks[[#This Row],[_LeafProgress]]</f>
        <v/>
      </c>
      <c r="EN193" s="42">
        <f>IF(ISNUMBER(Tasks[[#This Row],[% Complete]]),Tasks[[#This Row],[% Complete]],IF(Tasks[[#This Row],[Stage]]="",0,IFERROR(INDEX(stg_Pct,MATCH(Tasks[[#This Row],[Stage]],stg_Name,0)),0)))</f>
        <v/>
      </c>
      <c r="EO193" s="42">
        <f>IF(NOT(Tasks[[#This Row],[_IsLeaf]]=1),0,IF(N(Tasks[[#This Row],[Actual Finish]])&gt;0,1,MIN(1,Tasks[[#This Row],[_Pct]])))</f>
        <v/>
      </c>
      <c r="EP193" s="42">
        <f>IF(OR(NOT(Tasks[[#This Row],[_IsLeaf]]=1),Tasks[[#This Row],[_Res1Row]]=0),0,N(Tasks[[#This Row],[_Days]])*HoursPerDay*IF(Tasks[[#This Row],[_Units1]]="",DefaultUnits,Tasks[[#This Row],[_Units1]]))</f>
        <v/>
      </c>
      <c r="EQ193" s="42">
        <f>Tasks[[#This Row],[_LeafWork]]+Tasks[[#This Row],[_Res2Work]]+Tasks[[#This Row],[_Res3Work]]+Tasks[[#This Row],[_Res4Work]]</f>
        <v/>
      </c>
      <c r="ER19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3" s="42">
        <f>IF(NOT(Tasks[[#This Row],[_IsLeaf]]=1),0,MAX(_xlfn.MAXIFS(Tasks[_Row],Tasks[_Pred1UID],Tasks[[#This Row],[UID]]),_xlfn.MAXIFS(Tasks[_Row],Tasks[_Pred2UID],Tasks[[#This Row],[UID]]),_xlfn.MAXIFS(Tasks[_Row],Tasks[_Pred3UID],Tasks[[#This Row],[UID]]),_xlfn.MAXIFS(Tasks[_Row],Tasks[_Pred4UID],Tasks[[#This Row],[UID]])))</f>
        <v/>
      </c>
      <c r="FA19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3" s="88">
        <f>IF(NOT(Tasks[[#This Row],[_IsLeaf]]=1),"",IF(N(Tasks[[#This Row],[_Days]])&lt;=0,Tasks[[#This Row],[_LeafLateFinish]],WORKDAY.INTL(Tasks[[#This Row],[_LeafLateFinish]],-(Tasks[[#This Row],[_Days]]-1),WorkWeek,Holidays)))</f>
        <v/>
      </c>
      <c r="FD19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3" s="42">
        <f>AND(Tasks[[#This Row],[_IsLeaf]]=1,Tasks[[#This Row],[_LeafProgress]]&lt;1,N(Tasks[[#This Row],[_LeafTotalSlack]])&lt;=CriticalSlackDays)</f>
        <v/>
      </c>
      <c r="FF193" s="42">
        <f>IF(AND(Tasks[[#This Row],[_IsLeaf]]=1,Tasks[[#This Row],[_ConstraintCode]]=1,Tasks[[#This Row],[Mode]]&lt;&gt;"Manual",N(Tasks[[#This Row],[Actual Start]])=0),MAX(0,N(Tasks[[#This Row],[Free Slack]])),0)</f>
        <v/>
      </c>
      <c r="FG193" s="88">
        <f>IF(NOT(Tasks[[#This Row],[_IsLeaf]]=1),"",IF(Tasks[[#This Row],[_AlapShift]]=0,Tasks[[#This Row],[_LeafCalcStart]],WORKDAY.INTL(Tasks[[#This Row],[_LeafCalcStart]],Tasks[[#This Row],[_AlapShift]],WorkWeek,Holidays)))</f>
        <v/>
      </c>
      <c r="FH193" s="88">
        <f>IF(NOT(Tasks[[#This Row],[_IsLeaf]]=1),"",IF(Tasks[[#This Row],[_AlapShift]]=0,Tasks[[#This Row],[_LeafCalcFinish]],WORKDAY.INTL(Tasks[[#This Row],[_LeafCalcFinish]],Tasks[[#This Row],[_AlapShift]],WorkWeek,Holidays)))</f>
        <v/>
      </c>
      <c r="FI193" s="88">
        <f>IF(NOT(Tasks[[#This Row],[_IsLeaf]]=1),"",IF(Tasks[[#This Row],[_AlapShift]]=0,Tasks[[#This Row],[_LeafFcstStart]],WORKDAY.INTL(Tasks[[#This Row],[_LeafFcstStart]],Tasks[[#This Row],[_AlapShift]],WorkWeek,Holidays)))</f>
        <v/>
      </c>
      <c r="FJ193" s="88">
        <f>IF(NOT(Tasks[[#This Row],[_IsLeaf]]=1),"",IF(Tasks[[#This Row],[_AlapShift]]=0,Tasks[[#This Row],[_LeafFcstFinish]],WORKDAY.INTL(Tasks[[#This Row],[_LeafFcstFinish]],Tasks[[#This Row],[_AlapShift]],WorkWeek,Holidays)))</f>
        <v/>
      </c>
      <c r="FK193" s="88">
        <f>IF(Tasks[[#This Row],[Task Name]]="","",IF(Tasks[[#This Row],[_IsSummary]],MIN(INDEX(Tasks[_ShownCalcStart],Tasks[[#This Row],[_Row]]+1):INDEX(Tasks[_ShownCalcStart],Tasks[[#This Row],[_Row]]+Tasks[[#This Row],[_Descendants]])),Tasks[[#This Row],[_ShownCalcStart]]))</f>
        <v/>
      </c>
      <c r="FL193" s="88">
        <f>IF(Tasks[[#This Row],[Task Name]]="","",IF(Tasks[[#This Row],[_IsSummary]],MAX(INDEX(Tasks[_ShownCalcFinish],Tasks[[#This Row],[_Row]]+1):INDEX(Tasks[_ShownCalcFinish],Tasks[[#This Row],[_Row]]+Tasks[[#This Row],[_Descendants]])),Tasks[[#This Row],[_ShownCalcFinish]]))</f>
        <v/>
      </c>
      <c r="FM19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3" s="42">
        <f>IF(AND(Tasks[[#This Row],[_IsLeaf]]=1,Tasks[[#This Row],[_LeafTotalWork]]&gt;0),NETWORKDAYS.INTL(ProjectStart,Tasks[[#This Row],[_ShownFcstStart]],WorkWeek,Holidays),0)</f>
        <v/>
      </c>
      <c r="FZ193" s="42">
        <f>IF(AND(Tasks[[#This Row],[_IsLeaf]]=1,Tasks[[#This Row],[_LeafTotalWork]]&gt;0),MAX(Tasks[[#This Row],[_StartWorkday]],NETWORKDAYS.INTL(ProjectStart,Tasks[[#This Row],[_ShownFcstFinish]],WorkWeek,Holidays)),0)</f>
        <v/>
      </c>
      <c r="GA193" s="42">
        <f>IF(AND(Tasks[[#This Row],[_IsLeaf]]=1,Tasks[[#This Row],[_LeafTotalWork]]&gt;0),Tasks[[#This Row],[_LeafWork]]/(Tasks[[#This Row],[_FinishWorkday]]-Tasks[[#This Row],[_StartWorkday]]+1),0)</f>
        <v/>
      </c>
      <c r="GB193" s="42">
        <f>Tasks[[#This Row],[_WorkPerWorkday]]*(Tasks[[#This Row],[_StartWorkday]]-1)</f>
        <v/>
      </c>
      <c r="GC193" s="42">
        <f>IF(Tasks[[#This Row],[_IsLeaf]]=1,MAX(N(Tasks[[#This Row],[_Days]]),0.1),0)</f>
        <v/>
      </c>
      <c r="GD193" s="42">
        <f>Tasks[[#This Row],[_WeightDur]]*Tasks[[#This Row],[_LeafProgress]]</f>
        <v/>
      </c>
      <c r="GE193" s="42">
        <f>Tasks[[#This Row],[_WeightDur]]*Tasks[[#This Row],[_PlannedPct]]</f>
        <v/>
      </c>
      <c r="GF19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3" s="42">
        <f>IF(AND(Tasks[[#This Row],[_IsLeaf]]=1,N(Tasks[[#This Row],[_Days]])=0,Tasks[[#This Row],[_LeafProgress]]&lt;1),Tasks[[#This Row],[_ShownFcstFinish]]+Tasks[[#This Row],[_Row]]/100000,"")</f>
        <v/>
      </c>
      <c r="GH19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3" s="42">
        <f>IF(Tasks[[#This Row],[Task Name]]="","",LEFT(Tasks[[#This Row],[WBS]],FIND(".",Tasks[[#This Row],[WBS]]&amp;".")-1))</f>
        <v/>
      </c>
      <c r="GJ193" s="42">
        <f>IF(AND(Tasks[[#This Row],[Task Name]]&lt;&gt;"",Tasks[[#This Row],[_Level]]=1),Tasks[[#This Row],[_Row]],"")</f>
        <v/>
      </c>
      <c r="GK193" s="42">
        <f>IF(AND(Tasks[[#This Row],[_IsLeaf]]=1,N(Tasks[[#This Row],[_Days]])=0),Tasks[[#This Row],[Planned Finish]]+Tasks[[#This Row],[_Row]]/100000,"")</f>
        <v/>
      </c>
      <c r="GL193" s="42">
        <f>IF(AND(Tasks[[#This Row],[_IsLeaf]]=1,Tasks[[#This Row],[_LeafProgress]]&lt;1,OR(N(Tasks[[#This Row],[Finish Var]])&gt;0,Tasks[[#This Row],[Status]]="Late Start")),MAX(0,Tasks[[#This Row],[Finish Var]])+1-Tasks[[#This Row],[_Row]]/1000000,"")</f>
        <v/>
      </c>
      <c r="GM193" s="42">
        <f>IF(AND(Tasks[[#This Row],[_IsLeaf]]=1,N(Tasks[[#This Row],[Actual Start]])=0,Tasks[[#This Row],[_ShownFcstStart]]&gt;=StatusDate,Tasks[[#This Row],[_ShownFcstStart]]&lt;=LookaheadEnd),Tasks[[#This Row],[_ShownFcstStart]]+Tasks[[#This Row],[_Row]]/100000,"")</f>
        <v/>
      </c>
      <c r="GN193" s="42">
        <f>IF(AND(Tasks[[#This Row],[_IsLeaf]]=1,Tasks[[#This Row],[_LeafProgress]]&lt;1,Tasks[[#This Row],[_ShownFcstFinish]]&gt;=StatusDate,Tasks[[#This Row],[_ShownFcstFinish]]&lt;=LookaheadEnd),Tasks[[#This Row],[_ShownFcstFinish]]+Tasks[[#This Row],[_Row]]/100000,"")</f>
        <v/>
      </c>
      <c r="GO193" s="42">
        <f>IF(Tasks[[#This Row],[_LeafCritical]],Tasks[[#This Row],[_ShownFcstStart]]+Tasks[[#This Row],[_Row]]/100000,"")</f>
        <v/>
      </c>
      <c r="GP193" s="42">
        <f>Tasks[[#This Row],[_LeafWork]]*Tasks[[#This Row],[_LeafProgress]]</f>
        <v/>
      </c>
      <c r="GQ193" s="88">
        <f>IF(AND(Tasks[[#This Row],[_IsLeaf]]=1,Tasks[[#This Row],[_LeafProgress]]&gt;=1),IF(N(Tasks[[#This Row],[Actual Finish]])&gt;0,Tasks[[#This Row],[Actual Finish]],Tasks[[#This Row],[_ShownFcstFinish]]),"")</f>
        <v/>
      </c>
      <c r="GR193" s="42">
        <f>IF(Tasks[[#This Row],[_IsLeaf]]=1,N(Tasks[[#This Row],[Story Points]]),0)</f>
        <v/>
      </c>
      <c r="GS193" s="42">
        <f>""</f>
        <v/>
      </c>
      <c r="GT193" s="42">
        <f>IF(Tasks[[#This Row],[Task Name]]="",FALSE(),AND(Tasks[[#This Row],[_IsLeaf]]=1,N(Tasks[[#This Row],[_Days]])=0))</f>
        <v/>
      </c>
      <c r="GU193" s="88">
        <f>IF(Tasks[[#This Row],[Task Name]]="",0,IF(AND(Tasks[[#This Row],[_IsLeaf]]=1,NOT(Tasks[[#This Row],[_IsMilestone]]),N(Tasks[[#This Row],[Progress]])&gt;0),Tasks[[#This Row],[Start]],0))</f>
        <v/>
      </c>
      <c r="GV193" s="88">
        <f>IF(Tasks[[#This Row],[_DoneFrom]]=0,0,IF(Tasks[[#This Row],[Progress]]&gt;=1,Tasks[[#This Row],[Finish]],MAX(Tasks[[#This Row],[_DoneFrom]],Tasks[[#This Row],[Start]]+ROUND((Tasks[[#This Row],[Finish]]-Tasks[[#This Row],[Start]]+1)*Tasks[[#This Row],[Progress]],0)-1)))</f>
        <v/>
      </c>
      <c r="GW193" s="88">
        <f>IF(Tasks[[#This Row],[Task Name]]="",0,IF(OR(NOT(Tasks[[#This Row],[_IsLeaf]]=1),Tasks[[#This Row],[_IsMilestone]],N(Tasks[[#This Row],[Progress]])&gt;=1),0,IF(Tasks[[#This Row],[_DoneTo]]&gt;0,Tasks[[#This Row],[_DoneTo]]+1,Tasks[[#This Row],[Start]])))</f>
        <v/>
      </c>
      <c r="GX193" s="88">
        <f>IF(Tasks[[#This Row],[_RemFrom]]=0,0,Tasks[[#This Row],[Finish]])</f>
        <v/>
      </c>
      <c r="GY193" s="42">
        <f>IF(Tasks[[#This Row],[Task Name]]="",FALSE(),OR(NOT(BaselineSet),N(Tasks[[#This Row],[Baseline Start]])&gt;0))</f>
        <v/>
      </c>
      <c r="GZ193" s="42">
        <f>IF(AND(Sandbox="Yes",L_PARSE_DURATION(Tasks[[#This Row],[Sandbox Duration]])&lt;&gt;""),L_PARSE_DURATION(Tasks[[#This Row],[Sandbox Duration]]),L_PARSE_DURATION(Tasks[[#This Row],[Duration]]))</f>
        <v/>
      </c>
      <c r="HA19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3" s="42">
        <f>IF(Tasks[[#This Row],[_IsLeaf]]=1,Tasks[[#This Row],[_Row]],"")</f>
        <v/>
      </c>
      <c r="HD193" s="42">
        <f>IFERROR(INDEX(Tasks[UID],SMALL(Tasks[_PickKey],Tasks[[#This Row],[_Row]]))&amp;" "&amp;INDEX(Tasks[Task Name],SMALL(Tasks[_PickKey],Tasks[[#This Row],[_Row]])),"")</f>
        <v/>
      </c>
      <c r="HE193" s="42">
        <f>IF(Tasks[[#This Row],[Task Name]]="","",IF(Tasks[[#This Row],[_IsSummary]],NETWORKDAYS.INTL(Tasks[[#This Row],[Start]],Tasks[[#This Row],[Finish]],WorkWeek,Holidays),N(Tasks[[#This Row],[_Days]])))</f>
        <v/>
      </c>
      <c r="HF193" s="42">
        <f>IF(Tasks[[#This Row],[Expected]]="",0,((Tasks[[#This Row],[Pessimistic]]-Tasks[[#This Row],[Optimistic]])/6)^2)</f>
        <v/>
      </c>
      <c r="HG193" s="42">
        <f>IF(Tasks[[#This Row],[Expected]]="",0,Tasks[[#This Row],[Expected]]-N(Tasks[[#This Row],[_Days]]))</f>
        <v/>
      </c>
    </row>
    <row r="194">
      <c r="A194" s="21">
        <f>IF(Tasks[[#This Row],[Task Name]]="","",COUNTA(Tasks[[#Headers],[Task Name]]:Tasks[[#This Row],[Task Name]])-1)</f>
        <v/>
      </c>
      <c r="B194" s="22" t="n">
        <v>202</v>
      </c>
      <c r="C194" s="22" t="n"/>
      <c r="D194" s="23" t="n"/>
      <c r="E194" s="22" t="n"/>
      <c r="F194" s="23" t="n"/>
      <c r="G194" s="22" t="n"/>
      <c r="H194" s="22" t="n"/>
      <c r="I194" s="23" t="n"/>
      <c r="J194" s="22" t="n"/>
      <c r="K194" s="22" t="n"/>
      <c r="L194" s="23" t="n"/>
      <c r="M194" s="22" t="n"/>
      <c r="N194" s="22" t="n"/>
      <c r="O194" s="23" t="n"/>
      <c r="P194" s="22" t="n"/>
      <c r="Q194" s="22" t="n"/>
      <c r="R194" s="23" t="n"/>
      <c r="S194" s="23" t="n"/>
      <c r="T194" s="82" t="n"/>
      <c r="U194" s="23" t="n"/>
      <c r="V194" s="82" t="n"/>
      <c r="W194" s="23" t="n"/>
      <c r="X194" s="82" t="n"/>
      <c r="Y194" s="23" t="n"/>
      <c r="Z194" s="82" t="n"/>
      <c r="AA194" s="23" t="n"/>
      <c r="AB194" s="23" t="n"/>
      <c r="AC194" s="7" t="n"/>
      <c r="AD194" s="7" t="n"/>
      <c r="AE194" s="61">
        <f>IF(Tasks[[#This Row],[Task Name]]="","",IF(Tasks[[#This Row],[_IsSummary]],MIN(INDEX(Tasks[_ShownFcstStart],Tasks[[#This Row],[_Row]]+1):INDEX(Tasks[_ShownFcstStart],Tasks[[#This Row],[_Row]]+Tasks[[#This Row],[_Descendants]])),Tasks[[#This Row],[_ShownFcstStart]]))</f>
        <v/>
      </c>
      <c r="AF194" s="61">
        <f>IF(Tasks[[#This Row],[Task Name]]="","",IF(Tasks[[#This Row],[_IsSummary]],MAX(INDEX(Tasks[_ShownFcstFinish],Tasks[[#This Row],[_Row]]+1):INDEX(Tasks[_ShownFcstFinish],Tasks[[#This Row],[_Row]]+Tasks[[#This Row],[_Descendants]])),Tasks[[#This Row],[_ShownFcstFinish]]))</f>
        <v/>
      </c>
      <c r="AG194" s="21">
        <f>""</f>
        <v/>
      </c>
      <c r="AH194" s="23" t="n"/>
      <c r="AI19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4" s="7" t="n"/>
      <c r="AK194" s="22" t="n"/>
      <c r="AL194" s="23" t="n"/>
      <c r="AM194" s="7" t="n"/>
      <c r="AN194" s="21">
        <f>IF(Tasks[[#This Row],[Task Name]]="","",IF(Tasks[[#This Row],[Finish]]&gt;=Tasks[[#This Row],[Planned Finish]],NETWORKDAYS.INTL(Tasks[[#This Row],[Planned Finish]],Tasks[[#This Row],[Finish]],WorkWeek,Holidays)-1,1-NETWORKDAYS.INTL(Tasks[[#This Row],[Finish]],Tasks[[#This Row],[Planned Finish]],WorkWeek,Holidays)))</f>
        <v/>
      </c>
      <c r="AO194" s="21">
        <f>IF(Tasks[[#This Row],[Task Name]]="","",IF(Tasks[[#This Row],[Progress]]&gt;=1,"Complete",IF(OR(N(Tasks[[#This Row],[Actual Start]])&gt;0,Tasks[[#This Row],[Progress]]&gt;0),IF(Tasks[[#This Row],[Finish Var]]&gt;0,"Behind","In Progress"),IF(Tasks[[#This Row],[Planned Start]]&lt;StatusDate,"Late Start","Not Started"))))</f>
        <v/>
      </c>
      <c r="AP194" s="21">
        <f>IF(Tasks[[#This Row],[Task Name]]="","",IF(IF(Tasks[[#This Row],[_IsSummary]],COUNTIF(INDEX(Tasks[_LeafCritical],Tasks[[#This Row],[_Row]]+1):INDEX(Tasks[_LeafCritical],Tasks[[#This Row],[_Row]]+Tasks[[#This Row],[_Descendants]]),TRUE())&gt;0,Tasks[[#This Row],[_LeafCritical]]),"Yes",""))</f>
        <v/>
      </c>
      <c r="AQ194" s="61">
        <f>IF(Tasks[[#This Row],[Task Name]]="","",IF(N(Tasks[[#This Row],[Baseline Start]])&gt;0,Tasks[[#This Row],[Baseline Start]],Tasks[[#This Row],[_CalcStart]]))</f>
        <v/>
      </c>
      <c r="AR194" s="61">
        <f>IF(Tasks[[#This Row],[Task Name]]="","",IF(N(Tasks[[#This Row],[Baseline Finish]])&gt;0,Tasks[[#This Row],[Baseline Finish]],Tasks[[#This Row],[_CalcFinish]]))</f>
        <v/>
      </c>
      <c r="AS194" s="21">
        <f>IF(Tasks[[#This Row],[Task Name]]="","",IF(Tasks[[#This Row],[Start]]&gt;=Tasks[[#This Row],[Planned Start]],NETWORKDAYS.INTL(Tasks[[#This Row],[Planned Start]],Tasks[[#This Row],[Start]],WorkWeek,Holidays)-1,1-NETWORKDAYS.INTL(Tasks[[#This Row],[Start]],Tasks[[#This Row],[Planned Start]],WorkWeek,Holidays)))</f>
        <v/>
      </c>
      <c r="AT194" s="61">
        <f>IF(Tasks[[#This Row],[Task Name]]="","",IF(Tasks[[#This Row],[_IsSummary]],MIN(INDEX(Tasks[_LeafLateStart],Tasks[[#This Row],[_Row]]+1):INDEX(Tasks[_LeafLateStart],Tasks[[#This Row],[_Row]]+Tasks[[#This Row],[_Descendants]])),Tasks[[#This Row],[_LeafLateStart]]))</f>
        <v/>
      </c>
      <c r="AU194" s="61">
        <f>IF(Tasks[[#This Row],[Task Name]]="","",IF(Tasks[[#This Row],[_IsSummary]],MAX(INDEX(Tasks[_LeafLateFinish],Tasks[[#This Row],[_Row]]+1):INDEX(Tasks[_LeafLateFinish],Tasks[[#This Row],[_Row]]+Tasks[[#This Row],[_Descendants]])),Tasks[[#This Row],[_LeafLateFinish]]))</f>
        <v/>
      </c>
      <c r="AV194" s="21">
        <f>IF(Tasks[[#This Row],[Task Name]]="","",IF(Tasks[[#This Row],[_IsSummary]],MIN(INDEX(Tasks[_LeafTotalSlack],Tasks[[#This Row],[_Row]]+1):INDEX(Tasks[_LeafTotalSlack],Tasks[[#This Row],[_Row]]+Tasks[[#This Row],[_Descendants]])),Tasks[[#This Row],[_LeafTotalSlack]]))</f>
        <v/>
      </c>
      <c r="AW19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3" t="n"/>
      <c r="BA19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f>IF(Tasks[[#This Row],[Task Name]]="","",IF(Tasks[[#This Row],[_Level]]&lt;=OutlineShowLevel,"Yes","No"))</f>
        <v/>
      </c>
      <c r="BE194" s="84">
        <f>IF(Tasks[[#This Row],[Task Name]]="","",IF(Tasks[[#This Row],[_IsSummary]],SUM(INDEX(Tasks[_LeafTotalWork],Tasks[[#This Row],[_Row]]+1):INDEX(Tasks[_LeafTotalWork],Tasks[[#This Row],[_Row]]+Tasks[[#This Row],[_Descendants]])),Tasks[[#This Row],[_LeafTotalWork]]))</f>
        <v/>
      </c>
      <c r="BF194" s="23" t="n"/>
      <c r="BG19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f>""</f>
        <v/>
      </c>
      <c r="BI194" s="85" t="n"/>
      <c r="BJ194" s="22" t="n"/>
      <c r="BK194" s="21">
        <f>IF(OR(Tasks[[#This Row],[Task Name]]="",Tasks[[#This Row],[Baseline Duration]]=""),"",Tasks[[#This Row],[_SpanDays]]-N(Tasks[[#This Row],[Baseline Duration]]))</f>
        <v/>
      </c>
      <c r="BL194" s="84">
        <f>IF(OR(Tasks[[#This Row],[Task Name]]="",Tasks[[#This Row],[Baseline Work]]=""),"",Tasks[[#This Row],[Work]]-N(Tasks[[#This Row],[Baseline Work]]))</f>
        <v/>
      </c>
      <c r="BM194" s="61">
        <f>IF(Tasks[[#This Row],[Task Name]]="","",IF(OR(TakeBaseline="Yes",N(Tasks[[#This Row],[Baseline Start]])=0),Tasks[[#This Row],[Start]],Tasks[[#This Row],[Baseline Start]]))</f>
        <v/>
      </c>
      <c r="BN194" s="61">
        <f>IF(Tasks[[#This Row],[Task Name]]="","",IF(OR(TakeBaseline="Yes",N(Tasks[[#This Row],[Baseline Finish]])=0),Tasks[[#This Row],[Finish]],Tasks[[#This Row],[Baseline Finish]]))</f>
        <v/>
      </c>
      <c r="BO194" s="21">
        <f>IF(Tasks[[#This Row],[Task Name]]="","",IF(OR(TakeBaseline="Yes",N(Tasks[[#This Row],[Baseline Duration]])=0),Tasks[[#This Row],[_SpanDays]],Tasks[[#This Row],[Baseline Duration]]))</f>
        <v/>
      </c>
      <c r="BP194" s="84">
        <f>IF(Tasks[[#This Row],[Task Name]]="","",IF(OR(TakeBaseline="Yes",N(Tasks[[#This Row],[Baseline Work]])=0),Tasks[[#This Row],[Work]],Tasks[[#This Row],[Baseline Work]]))</f>
        <v/>
      </c>
      <c r="BQ194" s="7" t="n"/>
      <c r="BR194" s="7" t="n"/>
      <c r="BS194" s="22" t="n"/>
      <c r="BT194" s="86" t="n"/>
      <c r="BU194" s="23" t="n"/>
      <c r="BV194" s="23" t="n"/>
      <c r="BW194" s="23" t="n"/>
      <c r="BX194" s="87">
        <f>IF(AND(Tasks[[#This Row],[_IsLeaf]]=1,ISNUMBER(Tasks[[#This Row],[Optimistic]]),ISNUMBER(Tasks[[#This Row],[Pessimistic]])),ROUND((Tasks[[#This Row],[Optimistic]]+4*N(Tasks[[#This Row],[_Days]])+Tasks[[#This Row],[Pessimistic]])/6,1),"")</f>
        <v/>
      </c>
      <c r="BY194" s="85" t="n"/>
      <c r="BZ194" s="85" t="n"/>
      <c r="CA194" s="22" t="n"/>
      <c r="CB194" s="42">
        <f>IF(Tasks[[#This Row],[Task Name]]="","",MAX(1,N(Tasks[[#This Row],[Level]])))</f>
        <v/>
      </c>
      <c r="CC194" s="42">
        <f>ROW()-ROW(Tasks[[#Headers],[ID]])</f>
        <v/>
      </c>
      <c r="CD194" s="42">
        <f>IF(OR(Tasks[[#This Row],[Task Name]]="",Tasks[[#This Row],[_Level]]&lt;=1),0,IFERROR(LOOKUP(2,1/(Tasks[[#Headers],[_Level]]:Tasks[[#This Row],[_Level]]=Tasks[[#This Row],[_Level]]-1),ROW(Tasks[[#Headers],[_Level]]:Tasks[[#This Row],[_Level]])),0))</f>
        <v/>
      </c>
      <c r="CE194" s="42">
        <f>IFERROR(N(INDEX(Tasks[_Level],Tasks[[#This Row],[_Row]]+1)),0)</f>
        <v/>
      </c>
      <c r="CF194" s="42">
        <f>AND(Tasks[[#This Row],[Task Name]]&lt;&gt;"",Tasks[[#This Row],[_NextLevel]]&gt;Tasks[[#This Row],[_Level]])</f>
        <v/>
      </c>
      <c r="CG194" s="42">
        <f>IF(Tasks[[#This Row],[_IsSummary]],COUNTIF(Tasks[WBS],Tasks[[#This Row],[WBS]]&amp;".*"),0)</f>
        <v/>
      </c>
      <c r="CH194" s="42">
        <f>IF(AND(Tasks[[#This Row],[Task Name]]&lt;&gt;"",NOT(Tasks[[#This Row],[_IsSummary]])),1,0)</f>
        <v/>
      </c>
      <c r="CI194" s="42">
        <f>IF(N(Tasks[[#This Row],[_Pred1UID]])=0,0,IFERROR(MATCH(Tasks[[#This Row],[_Pred1UID]],Tasks[UID],0),-1))</f>
        <v/>
      </c>
      <c r="CJ194" s="42">
        <f>IF(N(Tasks[[#This Row],[_Pred2UID]])=0,0,IFERROR(MATCH(Tasks[[#This Row],[_Pred2UID]],Tasks[UID],0),-1))</f>
        <v/>
      </c>
      <c r="CK194" s="42">
        <f>IF(N(Tasks[[#This Row],[_Pred3UID]])=0,0,IFERROR(MATCH(Tasks[[#This Row],[_Pred3UID]],Tasks[UID],0),-1))</f>
        <v/>
      </c>
      <c r="CL194" s="42">
        <f>IF(N(Tasks[[#This Row],[_Pred4UID]])=0,0,IFERROR(MATCH(Tasks[[#This Row],[_Pred4UID]],Tasks[UID],0),-1))</f>
        <v/>
      </c>
      <c r="CM19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4" s="88">
        <f>IF(N(Tasks[[#This Row],[Constraint Date]])=0,0,IF(AND(OR(Tasks[[#This Row],[_ConstraintCode]]=3,Tasks[[#This Row],[_ConstraintCode]]=6,Tasks[[#This Row],[_ConstraintCode]]=7),N(Tasks[[#This Row],[_Days]])&gt;1),WORKDAY.INTL(N(Tasks[[#This Row],[Constraint Date]]),-(N(Tasks[[#This Row],[_Days]])-1),WorkWeek,Holidays),N(Tasks[[#This Row],[Constraint Date]])))</f>
        <v/>
      </c>
      <c r="CO194" s="88">
        <f>IF(OR(Tasks[[#This Row],[_ConstraintCode]]=2,Tasks[[#This Row],[_ConstraintCode]]=3,Tasks[[#This Row],[_ConstraintCode]]=4,Tasks[[#This Row],[_ConstraintCode]]=6),Tasks[[#This Row],[_ConstraintStart]],0)</f>
        <v/>
      </c>
      <c r="CP194" s="88">
        <f>IF(OR(Tasks[[#This Row],[_ConstraintCode]]=2,Tasks[[#This Row],[_ConstraintCode]]=3,Tasks[[#This Row],[_ConstraintCode]]=5,Tasks[[#This Row],[_ConstraintCode]]=7),Tasks[[#This Row],[_ConstraintStart]],2958465)</f>
        <v/>
      </c>
      <c r="CQ19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4" s="88">
        <f>IF(NOT(Tasks[[#This Row],[_IsLeaf]]=1),"",IF(N(Tasks[[#This Row],[_Days]])&lt;=0,Tasks[[#This Row],[_LeafCalcStart]],WORKDAY.INTL(Tasks[[#This Row],[_LeafCalcStart]],Tasks[[#This Row],[_Days]]-1,WorkWeek,Holidays)))</f>
        <v/>
      </c>
      <c r="CS19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4" s="42">
        <f>IF(Tasks[[#This Row],[_Predecessors]]="","",TRIM(MID(SUBSTITUTE(SUBSTITUTE(SUBSTITUTE(UPPER(Tasks[[#This Row],[_Predecessors]]),";",",")," ",""),",",REPT(" ",99)),1,99)))</f>
        <v/>
      </c>
      <c r="CV194" s="42">
        <f>IF(Tasks[[#This Row],[_Pred1Text]]="","",IFERROR(VALUE(LEFT(Tasks[[#This Row],[_Pred1Text]],MIN(FIND("F",Tasks[[#This Row],[_Pred1Text]]&amp;"F"),FIND("S",Tasks[[#This Row],[_Pred1Text]]&amp;"S"),FIND("+",Tasks[[#This Row],[_Pred1Text]]&amp;"+"),FIND("-",Tasks[[#This Row],[_Pred1Text]]&amp;"-"))-1)),""))</f>
        <v/>
      </c>
      <c r="CW19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4" s="42">
        <f>IF(Tasks[[#This Row],[_Pred1Text]]="","",TRIM(MID(SUBSTITUTE(SUBSTITUTE(SUBSTITUTE(UPPER(Tasks[[#This Row],[_Predecessors]]),";",",")," ",""),",",REPT(" ",99)),100,99)))</f>
        <v/>
      </c>
      <c r="CZ194" s="42">
        <f>IF(Tasks[[#This Row],[_Pred2Text]]="","",IFERROR(VALUE(LEFT(Tasks[[#This Row],[_Pred2Text]],MIN(FIND("F",Tasks[[#This Row],[_Pred2Text]]&amp;"F"),FIND("S",Tasks[[#This Row],[_Pred2Text]]&amp;"S"),FIND("+",Tasks[[#This Row],[_Pred2Text]]&amp;"+"),FIND("-",Tasks[[#This Row],[_Pred2Text]]&amp;"-"))-1)),""))</f>
        <v/>
      </c>
      <c r="DA19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4" s="42">
        <f>IF(Tasks[[#This Row],[_Pred2Text]]="","",TRIM(MID(SUBSTITUTE(SUBSTITUTE(SUBSTITUTE(UPPER(Tasks[[#This Row],[_Predecessors]]),";",",")," ",""),",",REPT(" ",99)),199,99)))</f>
        <v/>
      </c>
      <c r="DD194" s="42">
        <f>IF(Tasks[[#This Row],[_Pred3Text]]="","",IFERROR(VALUE(LEFT(Tasks[[#This Row],[_Pred3Text]],MIN(FIND("F",Tasks[[#This Row],[_Pred3Text]]&amp;"F"),FIND("S",Tasks[[#This Row],[_Pred3Text]]&amp;"S"),FIND("+",Tasks[[#This Row],[_Pred3Text]]&amp;"+"),FIND("-",Tasks[[#This Row],[_Pred3Text]]&amp;"-"))-1)),""))</f>
        <v/>
      </c>
      <c r="DE19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4" s="42">
        <f>IF(Tasks[[#This Row],[_Pred3Text]]="","",TRIM(MID(SUBSTITUTE(SUBSTITUTE(SUBSTITUTE(UPPER(Tasks[[#This Row],[_Predecessors]]),";",",")," ",""),",",REPT(" ",99)),298,99)))</f>
        <v/>
      </c>
      <c r="DH194" s="42">
        <f>IF(Tasks[[#This Row],[_Pred4Text]]="","",IFERROR(VALUE(LEFT(Tasks[[#This Row],[_Pred4Text]],MIN(FIND("F",Tasks[[#This Row],[_Pred4Text]]&amp;"F"),FIND("S",Tasks[[#This Row],[_Pred4Text]]&amp;"S"),FIND("+",Tasks[[#This Row],[_Pred4Text]]&amp;"+"),FIND("-",Tasks[[#This Row],[_Pred4Text]]&amp;"-"))-1)),""))</f>
        <v/>
      </c>
      <c r="DI19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4" s="42">
        <f>IF(OR(Tasks[[#This Row],[Task Name]]="",Tasks[[#This Row],[_Resources]]=""),"",TRIM(MID(SUBSTITUTE(Tasks[[#This Row],[_Resources]],",",REPT(" ",99)),1,99)))</f>
        <v/>
      </c>
      <c r="DL194" s="42">
        <f>IF(Tasks[[#This Row],[_Res1Text]]="","",TRIM(MID(SUBSTITUTE(Tasks[[#This Row],[_Resources]],",",REPT(" ",99)),100,99)))</f>
        <v/>
      </c>
      <c r="DM194" s="42">
        <f>IF(Tasks[[#This Row],[_Res2Text]]="","",TRIM(MID(SUBSTITUTE(Tasks[[#This Row],[_Resources]],",",REPT(" ",99)),199,99)))</f>
        <v/>
      </c>
      <c r="DN194" s="42">
        <f>IF(Tasks[[#This Row],[_Res3Text]]="","",TRIM(MID(SUBSTITUTE(Tasks[[#This Row],[_Resources]],",",REPT(" ",99)),298,99)))</f>
        <v/>
      </c>
      <c r="DO194" s="42">
        <f>IF(Tasks[[#This Row],[_Res1Text]]="",0,IFERROR(MATCH(TRIM(LEFT(Tasks[[#This Row],[_Res1Text]],FIND("[",Tasks[[#This Row],[_Res1Text]]&amp;"[")-1)),res_Name,0),IFERROR(MATCH(TRIM(LEFT(Tasks[[#This Row],[_Res1Text]],FIND("[",Tasks[[#This Row],[_Res1Text]]&amp;"[")-1)),res_Initials,0),0)))</f>
        <v/>
      </c>
      <c r="DP194" s="42">
        <f>IF(Tasks[[#This Row],[_Res2Text]]="",0,IFERROR(MATCH(TRIM(LEFT(Tasks[[#This Row],[_Res2Text]],FIND("[",Tasks[[#This Row],[_Res2Text]]&amp;"[")-1)),res_Name,0),IFERROR(MATCH(TRIM(LEFT(Tasks[[#This Row],[_Res2Text]],FIND("[",Tasks[[#This Row],[_Res2Text]]&amp;"[")-1)),res_Initials,0),0)))</f>
        <v/>
      </c>
      <c r="DQ194" s="42">
        <f>IF(Tasks[[#This Row],[_Res3Text]]="",0,IFERROR(MATCH(TRIM(LEFT(Tasks[[#This Row],[_Res3Text]],FIND("[",Tasks[[#This Row],[_Res3Text]]&amp;"[")-1)),res_Name,0),IFERROR(MATCH(TRIM(LEFT(Tasks[[#This Row],[_Res3Text]],FIND("[",Tasks[[#This Row],[_Res3Text]]&amp;"[")-1)),res_Initials,0),0)))</f>
        <v/>
      </c>
      <c r="DR194" s="42">
        <f>IF(Tasks[[#This Row],[_Res4Text]]="",0,IFERROR(MATCH(TRIM(LEFT(Tasks[[#This Row],[_Res4Text]],FIND("[",Tasks[[#This Row],[_Res4Text]]&amp;"[")-1)),res_Name,0),IFERROR(MATCH(TRIM(LEFT(Tasks[[#This Row],[_Res4Text]],FIND("[",Tasks[[#This Row],[_Res4Text]]&amp;"[")-1)),res_Initials,0),0)))</f>
        <v/>
      </c>
      <c r="DS194" s="42">
        <f>IF(Tasks[[#This Row],[_Res1Text]]="","",IF(Tasks[[#This Row],[_Res1Row]]&gt;0,INDEX(res_Name,Tasks[[#This Row],[_Res1Row]]),TRIM(LEFT(Tasks[[#This Row],[_Res1Text]],FIND("[",Tasks[[#This Row],[_Res1Text]]&amp;"[")-1))))</f>
        <v/>
      </c>
      <c r="DT19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4" s="42">
        <f>IF(NOT(Tasks[[#This Row],[_IsLeaf]]=1),0,(Tasks[[#This Row],[_Resource1]]&lt;&gt;"")+(Tasks[[#This Row],[_Res2]]&lt;&gt;"")+(Tasks[[#This Row],[_Res3]]&lt;&gt;"")+(Tasks[[#This Row],[_Res4]]&lt;&gt;""))</f>
        <v/>
      </c>
      <c r="DV194" s="42">
        <f>IF(Tasks[[#This Row],[_Res2Text]]="","",IF(Tasks[[#This Row],[_Res2Row]]&gt;0,INDEX(res_Name,Tasks[[#This Row],[_Res2Row]]),TRIM(LEFT(Tasks[[#This Row],[_Res2Text]],FIND("[",Tasks[[#This Row],[_Res2Text]]&amp;"[")-1))))</f>
        <v/>
      </c>
      <c r="DW19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4" s="42">
        <f>IF(OR(NOT(Tasks[[#This Row],[_IsLeaf]]=1),Tasks[[#This Row],[_Res2Row]]=0),0,N(Tasks[[#This Row],[_Days]])*HoursPerDay*IF(Tasks[[#This Row],[_Res2Units]]="",DefaultUnits,Tasks[[#This Row],[_Res2Units]]))</f>
        <v/>
      </c>
      <c r="DY194" s="42">
        <f>IF(AND(AND(Tasks[[#This Row],[_IsLeaf]]=1,Tasks[[#This Row],[_LeafTotalWork]]&gt;0),Tasks[[#This Row],[_Res2Work]]&gt;0),Tasks[[#This Row],[_Res2Work]]/(Tasks[[#This Row],[_FinishWorkday]]-Tasks[[#This Row],[_StartWorkday]]+1),0)</f>
        <v/>
      </c>
      <c r="DZ194" s="42">
        <f>Tasks[[#This Row],[_Res2WorkPerWD]]*MAX(0,Tasks[[#This Row],[_StartWorkday]]-1)</f>
        <v/>
      </c>
      <c r="EA194" s="42">
        <f>Tasks[[#This Row],[_Res2Work]]*Tasks[[#This Row],[_LeafProgress]]</f>
        <v/>
      </c>
      <c r="EB194" s="42">
        <f>IF(Tasks[[#This Row],[_Res3Text]]="","",IF(Tasks[[#This Row],[_Res3Row]]&gt;0,INDEX(res_Name,Tasks[[#This Row],[_Res3Row]]),TRIM(LEFT(Tasks[[#This Row],[_Res3Text]],FIND("[",Tasks[[#This Row],[_Res3Text]]&amp;"[")-1))))</f>
        <v/>
      </c>
      <c r="EC19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4" s="42">
        <f>IF(OR(NOT(Tasks[[#This Row],[_IsLeaf]]=1),Tasks[[#This Row],[_Res3Row]]=0),0,N(Tasks[[#This Row],[_Days]])*HoursPerDay*IF(Tasks[[#This Row],[_Res3Units]]="",DefaultUnits,Tasks[[#This Row],[_Res3Units]]))</f>
        <v/>
      </c>
      <c r="EE194" s="42">
        <f>IF(AND(AND(Tasks[[#This Row],[_IsLeaf]]=1,Tasks[[#This Row],[_LeafTotalWork]]&gt;0),Tasks[[#This Row],[_Res3Work]]&gt;0),Tasks[[#This Row],[_Res3Work]]/(Tasks[[#This Row],[_FinishWorkday]]-Tasks[[#This Row],[_StartWorkday]]+1),0)</f>
        <v/>
      </c>
      <c r="EF194" s="42">
        <f>Tasks[[#This Row],[_Res3WorkPerWD]]*MAX(0,Tasks[[#This Row],[_StartWorkday]]-1)</f>
        <v/>
      </c>
      <c r="EG194" s="42">
        <f>Tasks[[#This Row],[_Res3Work]]*Tasks[[#This Row],[_LeafProgress]]</f>
        <v/>
      </c>
      <c r="EH194" s="42">
        <f>IF(Tasks[[#This Row],[_Res4Text]]="","",IF(Tasks[[#This Row],[_Res4Row]]&gt;0,INDEX(res_Name,Tasks[[#This Row],[_Res4Row]]),TRIM(LEFT(Tasks[[#This Row],[_Res4Text]],FIND("[",Tasks[[#This Row],[_Res4Text]]&amp;"[")-1))))</f>
        <v/>
      </c>
      <c r="EI19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4" s="42">
        <f>IF(OR(NOT(Tasks[[#This Row],[_IsLeaf]]=1),Tasks[[#This Row],[_Res4Row]]=0),0,N(Tasks[[#This Row],[_Days]])*HoursPerDay*IF(Tasks[[#This Row],[_Res4Units]]="",DefaultUnits,Tasks[[#This Row],[_Res4Units]]))</f>
        <v/>
      </c>
      <c r="EK194" s="42">
        <f>IF(AND(AND(Tasks[[#This Row],[_IsLeaf]]=1,Tasks[[#This Row],[_LeafTotalWork]]&gt;0),Tasks[[#This Row],[_Res4Work]]&gt;0),Tasks[[#This Row],[_Res4Work]]/(Tasks[[#This Row],[_FinishWorkday]]-Tasks[[#This Row],[_StartWorkday]]+1),0)</f>
        <v/>
      </c>
      <c r="EL194" s="42">
        <f>Tasks[[#This Row],[_Res4WorkPerWD]]*MAX(0,Tasks[[#This Row],[_StartWorkday]]-1)</f>
        <v/>
      </c>
      <c r="EM194" s="42">
        <f>Tasks[[#This Row],[_Res4Work]]*Tasks[[#This Row],[_LeafProgress]]</f>
        <v/>
      </c>
      <c r="EN194" s="42">
        <f>IF(ISNUMBER(Tasks[[#This Row],[% Complete]]),Tasks[[#This Row],[% Complete]],IF(Tasks[[#This Row],[Stage]]="",0,IFERROR(INDEX(stg_Pct,MATCH(Tasks[[#This Row],[Stage]],stg_Name,0)),0)))</f>
        <v/>
      </c>
      <c r="EO194" s="42">
        <f>IF(NOT(Tasks[[#This Row],[_IsLeaf]]=1),0,IF(N(Tasks[[#This Row],[Actual Finish]])&gt;0,1,MIN(1,Tasks[[#This Row],[_Pct]])))</f>
        <v/>
      </c>
      <c r="EP194" s="42">
        <f>IF(OR(NOT(Tasks[[#This Row],[_IsLeaf]]=1),Tasks[[#This Row],[_Res1Row]]=0),0,N(Tasks[[#This Row],[_Days]])*HoursPerDay*IF(Tasks[[#This Row],[_Units1]]="",DefaultUnits,Tasks[[#This Row],[_Units1]]))</f>
        <v/>
      </c>
      <c r="EQ194" s="42">
        <f>Tasks[[#This Row],[_LeafWork]]+Tasks[[#This Row],[_Res2Work]]+Tasks[[#This Row],[_Res3Work]]+Tasks[[#This Row],[_Res4Work]]</f>
        <v/>
      </c>
      <c r="ER19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4" s="42">
        <f>IF(NOT(Tasks[[#This Row],[_IsLeaf]]=1),0,MAX(_xlfn.MAXIFS(Tasks[_Row],Tasks[_Pred1UID],Tasks[[#This Row],[UID]]),_xlfn.MAXIFS(Tasks[_Row],Tasks[_Pred2UID],Tasks[[#This Row],[UID]]),_xlfn.MAXIFS(Tasks[_Row],Tasks[_Pred3UID],Tasks[[#This Row],[UID]]),_xlfn.MAXIFS(Tasks[_Row],Tasks[_Pred4UID],Tasks[[#This Row],[UID]])))</f>
        <v/>
      </c>
      <c r="FA19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4" s="88">
        <f>IF(NOT(Tasks[[#This Row],[_IsLeaf]]=1),"",IF(N(Tasks[[#This Row],[_Days]])&lt;=0,Tasks[[#This Row],[_LeafLateFinish]],WORKDAY.INTL(Tasks[[#This Row],[_LeafLateFinish]],-(Tasks[[#This Row],[_Days]]-1),WorkWeek,Holidays)))</f>
        <v/>
      </c>
      <c r="FD19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4" s="42">
        <f>AND(Tasks[[#This Row],[_IsLeaf]]=1,Tasks[[#This Row],[_LeafProgress]]&lt;1,N(Tasks[[#This Row],[_LeafTotalSlack]])&lt;=CriticalSlackDays)</f>
        <v/>
      </c>
      <c r="FF194" s="42">
        <f>IF(AND(Tasks[[#This Row],[_IsLeaf]]=1,Tasks[[#This Row],[_ConstraintCode]]=1,Tasks[[#This Row],[Mode]]&lt;&gt;"Manual",N(Tasks[[#This Row],[Actual Start]])=0),MAX(0,N(Tasks[[#This Row],[Free Slack]])),0)</f>
        <v/>
      </c>
      <c r="FG194" s="88">
        <f>IF(NOT(Tasks[[#This Row],[_IsLeaf]]=1),"",IF(Tasks[[#This Row],[_AlapShift]]=0,Tasks[[#This Row],[_LeafCalcStart]],WORKDAY.INTL(Tasks[[#This Row],[_LeafCalcStart]],Tasks[[#This Row],[_AlapShift]],WorkWeek,Holidays)))</f>
        <v/>
      </c>
      <c r="FH194" s="88">
        <f>IF(NOT(Tasks[[#This Row],[_IsLeaf]]=1),"",IF(Tasks[[#This Row],[_AlapShift]]=0,Tasks[[#This Row],[_LeafCalcFinish]],WORKDAY.INTL(Tasks[[#This Row],[_LeafCalcFinish]],Tasks[[#This Row],[_AlapShift]],WorkWeek,Holidays)))</f>
        <v/>
      </c>
      <c r="FI194" s="88">
        <f>IF(NOT(Tasks[[#This Row],[_IsLeaf]]=1),"",IF(Tasks[[#This Row],[_AlapShift]]=0,Tasks[[#This Row],[_LeafFcstStart]],WORKDAY.INTL(Tasks[[#This Row],[_LeafFcstStart]],Tasks[[#This Row],[_AlapShift]],WorkWeek,Holidays)))</f>
        <v/>
      </c>
      <c r="FJ194" s="88">
        <f>IF(NOT(Tasks[[#This Row],[_IsLeaf]]=1),"",IF(Tasks[[#This Row],[_AlapShift]]=0,Tasks[[#This Row],[_LeafFcstFinish]],WORKDAY.INTL(Tasks[[#This Row],[_LeafFcstFinish]],Tasks[[#This Row],[_AlapShift]],WorkWeek,Holidays)))</f>
        <v/>
      </c>
      <c r="FK194" s="88">
        <f>IF(Tasks[[#This Row],[Task Name]]="","",IF(Tasks[[#This Row],[_IsSummary]],MIN(INDEX(Tasks[_ShownCalcStart],Tasks[[#This Row],[_Row]]+1):INDEX(Tasks[_ShownCalcStart],Tasks[[#This Row],[_Row]]+Tasks[[#This Row],[_Descendants]])),Tasks[[#This Row],[_ShownCalcStart]]))</f>
        <v/>
      </c>
      <c r="FL194" s="88">
        <f>IF(Tasks[[#This Row],[Task Name]]="","",IF(Tasks[[#This Row],[_IsSummary]],MAX(INDEX(Tasks[_ShownCalcFinish],Tasks[[#This Row],[_Row]]+1):INDEX(Tasks[_ShownCalcFinish],Tasks[[#This Row],[_Row]]+Tasks[[#This Row],[_Descendants]])),Tasks[[#This Row],[_ShownCalcFinish]]))</f>
        <v/>
      </c>
      <c r="FM19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4" s="42">
        <f>IF(AND(Tasks[[#This Row],[_IsLeaf]]=1,Tasks[[#This Row],[_LeafTotalWork]]&gt;0),NETWORKDAYS.INTL(ProjectStart,Tasks[[#This Row],[_ShownFcstStart]],WorkWeek,Holidays),0)</f>
        <v/>
      </c>
      <c r="FZ194" s="42">
        <f>IF(AND(Tasks[[#This Row],[_IsLeaf]]=1,Tasks[[#This Row],[_LeafTotalWork]]&gt;0),MAX(Tasks[[#This Row],[_StartWorkday]],NETWORKDAYS.INTL(ProjectStart,Tasks[[#This Row],[_ShownFcstFinish]],WorkWeek,Holidays)),0)</f>
        <v/>
      </c>
      <c r="GA194" s="42">
        <f>IF(AND(Tasks[[#This Row],[_IsLeaf]]=1,Tasks[[#This Row],[_LeafTotalWork]]&gt;0),Tasks[[#This Row],[_LeafWork]]/(Tasks[[#This Row],[_FinishWorkday]]-Tasks[[#This Row],[_StartWorkday]]+1),0)</f>
        <v/>
      </c>
      <c r="GB194" s="42">
        <f>Tasks[[#This Row],[_WorkPerWorkday]]*(Tasks[[#This Row],[_StartWorkday]]-1)</f>
        <v/>
      </c>
      <c r="GC194" s="42">
        <f>IF(Tasks[[#This Row],[_IsLeaf]]=1,MAX(N(Tasks[[#This Row],[_Days]]),0.1),0)</f>
        <v/>
      </c>
      <c r="GD194" s="42">
        <f>Tasks[[#This Row],[_WeightDur]]*Tasks[[#This Row],[_LeafProgress]]</f>
        <v/>
      </c>
      <c r="GE194" s="42">
        <f>Tasks[[#This Row],[_WeightDur]]*Tasks[[#This Row],[_PlannedPct]]</f>
        <v/>
      </c>
      <c r="GF19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4" s="42">
        <f>IF(AND(Tasks[[#This Row],[_IsLeaf]]=1,N(Tasks[[#This Row],[_Days]])=0,Tasks[[#This Row],[_LeafProgress]]&lt;1),Tasks[[#This Row],[_ShownFcstFinish]]+Tasks[[#This Row],[_Row]]/100000,"")</f>
        <v/>
      </c>
      <c r="GH19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4" s="42">
        <f>IF(Tasks[[#This Row],[Task Name]]="","",LEFT(Tasks[[#This Row],[WBS]],FIND(".",Tasks[[#This Row],[WBS]]&amp;".")-1))</f>
        <v/>
      </c>
      <c r="GJ194" s="42">
        <f>IF(AND(Tasks[[#This Row],[Task Name]]&lt;&gt;"",Tasks[[#This Row],[_Level]]=1),Tasks[[#This Row],[_Row]],"")</f>
        <v/>
      </c>
      <c r="GK194" s="42">
        <f>IF(AND(Tasks[[#This Row],[_IsLeaf]]=1,N(Tasks[[#This Row],[_Days]])=0),Tasks[[#This Row],[Planned Finish]]+Tasks[[#This Row],[_Row]]/100000,"")</f>
        <v/>
      </c>
      <c r="GL194" s="42">
        <f>IF(AND(Tasks[[#This Row],[_IsLeaf]]=1,Tasks[[#This Row],[_LeafProgress]]&lt;1,OR(N(Tasks[[#This Row],[Finish Var]])&gt;0,Tasks[[#This Row],[Status]]="Late Start")),MAX(0,Tasks[[#This Row],[Finish Var]])+1-Tasks[[#This Row],[_Row]]/1000000,"")</f>
        <v/>
      </c>
      <c r="GM194" s="42">
        <f>IF(AND(Tasks[[#This Row],[_IsLeaf]]=1,N(Tasks[[#This Row],[Actual Start]])=0,Tasks[[#This Row],[_ShownFcstStart]]&gt;=StatusDate,Tasks[[#This Row],[_ShownFcstStart]]&lt;=LookaheadEnd),Tasks[[#This Row],[_ShownFcstStart]]+Tasks[[#This Row],[_Row]]/100000,"")</f>
        <v/>
      </c>
      <c r="GN194" s="42">
        <f>IF(AND(Tasks[[#This Row],[_IsLeaf]]=1,Tasks[[#This Row],[_LeafProgress]]&lt;1,Tasks[[#This Row],[_ShownFcstFinish]]&gt;=StatusDate,Tasks[[#This Row],[_ShownFcstFinish]]&lt;=LookaheadEnd),Tasks[[#This Row],[_ShownFcstFinish]]+Tasks[[#This Row],[_Row]]/100000,"")</f>
        <v/>
      </c>
      <c r="GO194" s="42">
        <f>IF(Tasks[[#This Row],[_LeafCritical]],Tasks[[#This Row],[_ShownFcstStart]]+Tasks[[#This Row],[_Row]]/100000,"")</f>
        <v/>
      </c>
      <c r="GP194" s="42">
        <f>Tasks[[#This Row],[_LeafWork]]*Tasks[[#This Row],[_LeafProgress]]</f>
        <v/>
      </c>
      <c r="GQ194" s="88">
        <f>IF(AND(Tasks[[#This Row],[_IsLeaf]]=1,Tasks[[#This Row],[_LeafProgress]]&gt;=1),IF(N(Tasks[[#This Row],[Actual Finish]])&gt;0,Tasks[[#This Row],[Actual Finish]],Tasks[[#This Row],[_ShownFcstFinish]]),"")</f>
        <v/>
      </c>
      <c r="GR194" s="42">
        <f>IF(Tasks[[#This Row],[_IsLeaf]]=1,N(Tasks[[#This Row],[Story Points]]),0)</f>
        <v/>
      </c>
      <c r="GS194" s="42">
        <f>""</f>
        <v/>
      </c>
      <c r="GT194" s="42">
        <f>IF(Tasks[[#This Row],[Task Name]]="",FALSE(),AND(Tasks[[#This Row],[_IsLeaf]]=1,N(Tasks[[#This Row],[_Days]])=0))</f>
        <v/>
      </c>
      <c r="GU194" s="88">
        <f>IF(Tasks[[#This Row],[Task Name]]="",0,IF(AND(Tasks[[#This Row],[_IsLeaf]]=1,NOT(Tasks[[#This Row],[_IsMilestone]]),N(Tasks[[#This Row],[Progress]])&gt;0),Tasks[[#This Row],[Start]],0))</f>
        <v/>
      </c>
      <c r="GV194" s="88">
        <f>IF(Tasks[[#This Row],[_DoneFrom]]=0,0,IF(Tasks[[#This Row],[Progress]]&gt;=1,Tasks[[#This Row],[Finish]],MAX(Tasks[[#This Row],[_DoneFrom]],Tasks[[#This Row],[Start]]+ROUND((Tasks[[#This Row],[Finish]]-Tasks[[#This Row],[Start]]+1)*Tasks[[#This Row],[Progress]],0)-1)))</f>
        <v/>
      </c>
      <c r="GW194" s="88">
        <f>IF(Tasks[[#This Row],[Task Name]]="",0,IF(OR(NOT(Tasks[[#This Row],[_IsLeaf]]=1),Tasks[[#This Row],[_IsMilestone]],N(Tasks[[#This Row],[Progress]])&gt;=1),0,IF(Tasks[[#This Row],[_DoneTo]]&gt;0,Tasks[[#This Row],[_DoneTo]]+1,Tasks[[#This Row],[Start]])))</f>
        <v/>
      </c>
      <c r="GX194" s="88">
        <f>IF(Tasks[[#This Row],[_RemFrom]]=0,0,Tasks[[#This Row],[Finish]])</f>
        <v/>
      </c>
      <c r="GY194" s="42">
        <f>IF(Tasks[[#This Row],[Task Name]]="",FALSE(),OR(NOT(BaselineSet),N(Tasks[[#This Row],[Baseline Start]])&gt;0))</f>
        <v/>
      </c>
      <c r="GZ194" s="42">
        <f>IF(AND(Sandbox="Yes",L_PARSE_DURATION(Tasks[[#This Row],[Sandbox Duration]])&lt;&gt;""),L_PARSE_DURATION(Tasks[[#This Row],[Sandbox Duration]]),L_PARSE_DURATION(Tasks[[#This Row],[Duration]]))</f>
        <v/>
      </c>
      <c r="HA19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4" s="42">
        <f>IF(Tasks[[#This Row],[_IsLeaf]]=1,Tasks[[#This Row],[_Row]],"")</f>
        <v/>
      </c>
      <c r="HD194" s="42">
        <f>IFERROR(INDEX(Tasks[UID],SMALL(Tasks[_PickKey],Tasks[[#This Row],[_Row]]))&amp;" "&amp;INDEX(Tasks[Task Name],SMALL(Tasks[_PickKey],Tasks[[#This Row],[_Row]])),"")</f>
        <v/>
      </c>
      <c r="HE194" s="42">
        <f>IF(Tasks[[#This Row],[Task Name]]="","",IF(Tasks[[#This Row],[_IsSummary]],NETWORKDAYS.INTL(Tasks[[#This Row],[Start]],Tasks[[#This Row],[Finish]],WorkWeek,Holidays),N(Tasks[[#This Row],[_Days]])))</f>
        <v/>
      </c>
      <c r="HF194" s="42">
        <f>IF(Tasks[[#This Row],[Expected]]="",0,((Tasks[[#This Row],[Pessimistic]]-Tasks[[#This Row],[Optimistic]])/6)^2)</f>
        <v/>
      </c>
      <c r="HG194" s="42">
        <f>IF(Tasks[[#This Row],[Expected]]="",0,Tasks[[#This Row],[Expected]]-N(Tasks[[#This Row],[_Days]]))</f>
        <v/>
      </c>
    </row>
    <row r="195">
      <c r="A195" s="21">
        <f>IF(Tasks[[#This Row],[Task Name]]="","",COUNTA(Tasks[[#Headers],[Task Name]]:Tasks[[#This Row],[Task Name]])-1)</f>
        <v/>
      </c>
      <c r="B195" s="22" t="n">
        <v>203</v>
      </c>
      <c r="C195" s="22" t="n"/>
      <c r="D195" s="23" t="n"/>
      <c r="E195" s="22" t="n"/>
      <c r="F195" s="23" t="n"/>
      <c r="G195" s="22" t="n"/>
      <c r="H195" s="22" t="n"/>
      <c r="I195" s="23" t="n"/>
      <c r="J195" s="22" t="n"/>
      <c r="K195" s="22" t="n"/>
      <c r="L195" s="23" t="n"/>
      <c r="M195" s="22" t="n"/>
      <c r="N195" s="22" t="n"/>
      <c r="O195" s="23" t="n"/>
      <c r="P195" s="22" t="n"/>
      <c r="Q195" s="22" t="n"/>
      <c r="R195" s="23" t="n"/>
      <c r="S195" s="23" t="n"/>
      <c r="T195" s="82" t="n"/>
      <c r="U195" s="23" t="n"/>
      <c r="V195" s="82" t="n"/>
      <c r="W195" s="23" t="n"/>
      <c r="X195" s="82" t="n"/>
      <c r="Y195" s="23" t="n"/>
      <c r="Z195" s="82" t="n"/>
      <c r="AA195" s="23" t="n"/>
      <c r="AB195" s="23" t="n"/>
      <c r="AC195" s="7" t="n"/>
      <c r="AD195" s="7" t="n"/>
      <c r="AE195" s="61">
        <f>IF(Tasks[[#This Row],[Task Name]]="","",IF(Tasks[[#This Row],[_IsSummary]],MIN(INDEX(Tasks[_ShownFcstStart],Tasks[[#This Row],[_Row]]+1):INDEX(Tasks[_ShownFcstStart],Tasks[[#This Row],[_Row]]+Tasks[[#This Row],[_Descendants]])),Tasks[[#This Row],[_ShownFcstStart]]))</f>
        <v/>
      </c>
      <c r="AF195" s="61">
        <f>IF(Tasks[[#This Row],[Task Name]]="","",IF(Tasks[[#This Row],[_IsSummary]],MAX(INDEX(Tasks[_ShownFcstFinish],Tasks[[#This Row],[_Row]]+1):INDEX(Tasks[_ShownFcstFinish],Tasks[[#This Row],[_Row]]+Tasks[[#This Row],[_Descendants]])),Tasks[[#This Row],[_ShownFcstFinish]]))</f>
        <v/>
      </c>
      <c r="AG195" s="21">
        <f>""</f>
        <v/>
      </c>
      <c r="AH195" s="23" t="n"/>
      <c r="AI19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5" s="7" t="n"/>
      <c r="AK195" s="22" t="n"/>
      <c r="AL195" s="23" t="n"/>
      <c r="AM195" s="7" t="n"/>
      <c r="AN195" s="21">
        <f>IF(Tasks[[#This Row],[Task Name]]="","",IF(Tasks[[#This Row],[Finish]]&gt;=Tasks[[#This Row],[Planned Finish]],NETWORKDAYS.INTL(Tasks[[#This Row],[Planned Finish]],Tasks[[#This Row],[Finish]],WorkWeek,Holidays)-1,1-NETWORKDAYS.INTL(Tasks[[#This Row],[Finish]],Tasks[[#This Row],[Planned Finish]],WorkWeek,Holidays)))</f>
        <v/>
      </c>
      <c r="AO195" s="21">
        <f>IF(Tasks[[#This Row],[Task Name]]="","",IF(Tasks[[#This Row],[Progress]]&gt;=1,"Complete",IF(OR(N(Tasks[[#This Row],[Actual Start]])&gt;0,Tasks[[#This Row],[Progress]]&gt;0),IF(Tasks[[#This Row],[Finish Var]]&gt;0,"Behind","In Progress"),IF(Tasks[[#This Row],[Planned Start]]&lt;StatusDate,"Late Start","Not Started"))))</f>
        <v/>
      </c>
      <c r="AP195" s="21">
        <f>IF(Tasks[[#This Row],[Task Name]]="","",IF(IF(Tasks[[#This Row],[_IsSummary]],COUNTIF(INDEX(Tasks[_LeafCritical],Tasks[[#This Row],[_Row]]+1):INDEX(Tasks[_LeafCritical],Tasks[[#This Row],[_Row]]+Tasks[[#This Row],[_Descendants]]),TRUE())&gt;0,Tasks[[#This Row],[_LeafCritical]]),"Yes",""))</f>
        <v/>
      </c>
      <c r="AQ195" s="61">
        <f>IF(Tasks[[#This Row],[Task Name]]="","",IF(N(Tasks[[#This Row],[Baseline Start]])&gt;0,Tasks[[#This Row],[Baseline Start]],Tasks[[#This Row],[_CalcStart]]))</f>
        <v/>
      </c>
      <c r="AR195" s="61">
        <f>IF(Tasks[[#This Row],[Task Name]]="","",IF(N(Tasks[[#This Row],[Baseline Finish]])&gt;0,Tasks[[#This Row],[Baseline Finish]],Tasks[[#This Row],[_CalcFinish]]))</f>
        <v/>
      </c>
      <c r="AS195" s="21">
        <f>IF(Tasks[[#This Row],[Task Name]]="","",IF(Tasks[[#This Row],[Start]]&gt;=Tasks[[#This Row],[Planned Start]],NETWORKDAYS.INTL(Tasks[[#This Row],[Planned Start]],Tasks[[#This Row],[Start]],WorkWeek,Holidays)-1,1-NETWORKDAYS.INTL(Tasks[[#This Row],[Start]],Tasks[[#This Row],[Planned Start]],WorkWeek,Holidays)))</f>
        <v/>
      </c>
      <c r="AT195" s="61">
        <f>IF(Tasks[[#This Row],[Task Name]]="","",IF(Tasks[[#This Row],[_IsSummary]],MIN(INDEX(Tasks[_LeafLateStart],Tasks[[#This Row],[_Row]]+1):INDEX(Tasks[_LeafLateStart],Tasks[[#This Row],[_Row]]+Tasks[[#This Row],[_Descendants]])),Tasks[[#This Row],[_LeafLateStart]]))</f>
        <v/>
      </c>
      <c r="AU195" s="61">
        <f>IF(Tasks[[#This Row],[Task Name]]="","",IF(Tasks[[#This Row],[_IsSummary]],MAX(INDEX(Tasks[_LeafLateFinish],Tasks[[#This Row],[_Row]]+1):INDEX(Tasks[_LeafLateFinish],Tasks[[#This Row],[_Row]]+Tasks[[#This Row],[_Descendants]])),Tasks[[#This Row],[_LeafLateFinish]]))</f>
        <v/>
      </c>
      <c r="AV195" s="21">
        <f>IF(Tasks[[#This Row],[Task Name]]="","",IF(Tasks[[#This Row],[_IsSummary]],MIN(INDEX(Tasks[_LeafTotalSlack],Tasks[[#This Row],[_Row]]+1):INDEX(Tasks[_LeafTotalSlack],Tasks[[#This Row],[_Row]]+Tasks[[#This Row],[_Descendants]])),Tasks[[#This Row],[_LeafTotalSlack]]))</f>
        <v/>
      </c>
      <c r="AW19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3" t="n"/>
      <c r="BA19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f>IF(Tasks[[#This Row],[Task Name]]="","",IF(Tasks[[#This Row],[_Level]]&lt;=OutlineShowLevel,"Yes","No"))</f>
        <v/>
      </c>
      <c r="BE195" s="84">
        <f>IF(Tasks[[#This Row],[Task Name]]="","",IF(Tasks[[#This Row],[_IsSummary]],SUM(INDEX(Tasks[_LeafTotalWork],Tasks[[#This Row],[_Row]]+1):INDEX(Tasks[_LeafTotalWork],Tasks[[#This Row],[_Row]]+Tasks[[#This Row],[_Descendants]])),Tasks[[#This Row],[_LeafTotalWork]]))</f>
        <v/>
      </c>
      <c r="BF195" s="23" t="n"/>
      <c r="BG19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f>""</f>
        <v/>
      </c>
      <c r="BI195" s="85" t="n"/>
      <c r="BJ195" s="22" t="n"/>
      <c r="BK195" s="21">
        <f>IF(OR(Tasks[[#This Row],[Task Name]]="",Tasks[[#This Row],[Baseline Duration]]=""),"",Tasks[[#This Row],[_SpanDays]]-N(Tasks[[#This Row],[Baseline Duration]]))</f>
        <v/>
      </c>
      <c r="BL195" s="84">
        <f>IF(OR(Tasks[[#This Row],[Task Name]]="",Tasks[[#This Row],[Baseline Work]]=""),"",Tasks[[#This Row],[Work]]-N(Tasks[[#This Row],[Baseline Work]]))</f>
        <v/>
      </c>
      <c r="BM195" s="61">
        <f>IF(Tasks[[#This Row],[Task Name]]="","",IF(OR(TakeBaseline="Yes",N(Tasks[[#This Row],[Baseline Start]])=0),Tasks[[#This Row],[Start]],Tasks[[#This Row],[Baseline Start]]))</f>
        <v/>
      </c>
      <c r="BN195" s="61">
        <f>IF(Tasks[[#This Row],[Task Name]]="","",IF(OR(TakeBaseline="Yes",N(Tasks[[#This Row],[Baseline Finish]])=0),Tasks[[#This Row],[Finish]],Tasks[[#This Row],[Baseline Finish]]))</f>
        <v/>
      </c>
      <c r="BO195" s="21">
        <f>IF(Tasks[[#This Row],[Task Name]]="","",IF(OR(TakeBaseline="Yes",N(Tasks[[#This Row],[Baseline Duration]])=0),Tasks[[#This Row],[_SpanDays]],Tasks[[#This Row],[Baseline Duration]]))</f>
        <v/>
      </c>
      <c r="BP195" s="84">
        <f>IF(Tasks[[#This Row],[Task Name]]="","",IF(OR(TakeBaseline="Yes",N(Tasks[[#This Row],[Baseline Work]])=0),Tasks[[#This Row],[Work]],Tasks[[#This Row],[Baseline Work]]))</f>
        <v/>
      </c>
      <c r="BQ195" s="7" t="n"/>
      <c r="BR195" s="7" t="n"/>
      <c r="BS195" s="22" t="n"/>
      <c r="BT195" s="86" t="n"/>
      <c r="BU195" s="23" t="n"/>
      <c r="BV195" s="23" t="n"/>
      <c r="BW195" s="23" t="n"/>
      <c r="BX195" s="87">
        <f>IF(AND(Tasks[[#This Row],[_IsLeaf]]=1,ISNUMBER(Tasks[[#This Row],[Optimistic]]),ISNUMBER(Tasks[[#This Row],[Pessimistic]])),ROUND((Tasks[[#This Row],[Optimistic]]+4*N(Tasks[[#This Row],[_Days]])+Tasks[[#This Row],[Pessimistic]])/6,1),"")</f>
        <v/>
      </c>
      <c r="BY195" s="85" t="n"/>
      <c r="BZ195" s="85" t="n"/>
      <c r="CA195" s="22" t="n"/>
      <c r="CB195" s="42">
        <f>IF(Tasks[[#This Row],[Task Name]]="","",MAX(1,N(Tasks[[#This Row],[Level]])))</f>
        <v/>
      </c>
      <c r="CC195" s="42">
        <f>ROW()-ROW(Tasks[[#Headers],[ID]])</f>
        <v/>
      </c>
      <c r="CD195" s="42">
        <f>IF(OR(Tasks[[#This Row],[Task Name]]="",Tasks[[#This Row],[_Level]]&lt;=1),0,IFERROR(LOOKUP(2,1/(Tasks[[#Headers],[_Level]]:Tasks[[#This Row],[_Level]]=Tasks[[#This Row],[_Level]]-1),ROW(Tasks[[#Headers],[_Level]]:Tasks[[#This Row],[_Level]])),0))</f>
        <v/>
      </c>
      <c r="CE195" s="42">
        <f>IFERROR(N(INDEX(Tasks[_Level],Tasks[[#This Row],[_Row]]+1)),0)</f>
        <v/>
      </c>
      <c r="CF195" s="42">
        <f>AND(Tasks[[#This Row],[Task Name]]&lt;&gt;"",Tasks[[#This Row],[_NextLevel]]&gt;Tasks[[#This Row],[_Level]])</f>
        <v/>
      </c>
      <c r="CG195" s="42">
        <f>IF(Tasks[[#This Row],[_IsSummary]],COUNTIF(Tasks[WBS],Tasks[[#This Row],[WBS]]&amp;".*"),0)</f>
        <v/>
      </c>
      <c r="CH195" s="42">
        <f>IF(AND(Tasks[[#This Row],[Task Name]]&lt;&gt;"",NOT(Tasks[[#This Row],[_IsSummary]])),1,0)</f>
        <v/>
      </c>
      <c r="CI195" s="42">
        <f>IF(N(Tasks[[#This Row],[_Pred1UID]])=0,0,IFERROR(MATCH(Tasks[[#This Row],[_Pred1UID]],Tasks[UID],0),-1))</f>
        <v/>
      </c>
      <c r="CJ195" s="42">
        <f>IF(N(Tasks[[#This Row],[_Pred2UID]])=0,0,IFERROR(MATCH(Tasks[[#This Row],[_Pred2UID]],Tasks[UID],0),-1))</f>
        <v/>
      </c>
      <c r="CK195" s="42">
        <f>IF(N(Tasks[[#This Row],[_Pred3UID]])=0,0,IFERROR(MATCH(Tasks[[#This Row],[_Pred3UID]],Tasks[UID],0),-1))</f>
        <v/>
      </c>
      <c r="CL195" s="42">
        <f>IF(N(Tasks[[#This Row],[_Pred4UID]])=0,0,IFERROR(MATCH(Tasks[[#This Row],[_Pred4UID]],Tasks[UID],0),-1))</f>
        <v/>
      </c>
      <c r="CM19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5" s="88">
        <f>IF(N(Tasks[[#This Row],[Constraint Date]])=0,0,IF(AND(OR(Tasks[[#This Row],[_ConstraintCode]]=3,Tasks[[#This Row],[_ConstraintCode]]=6,Tasks[[#This Row],[_ConstraintCode]]=7),N(Tasks[[#This Row],[_Days]])&gt;1),WORKDAY.INTL(N(Tasks[[#This Row],[Constraint Date]]),-(N(Tasks[[#This Row],[_Days]])-1),WorkWeek,Holidays),N(Tasks[[#This Row],[Constraint Date]])))</f>
        <v/>
      </c>
      <c r="CO195" s="88">
        <f>IF(OR(Tasks[[#This Row],[_ConstraintCode]]=2,Tasks[[#This Row],[_ConstraintCode]]=3,Tasks[[#This Row],[_ConstraintCode]]=4,Tasks[[#This Row],[_ConstraintCode]]=6),Tasks[[#This Row],[_ConstraintStart]],0)</f>
        <v/>
      </c>
      <c r="CP195" s="88">
        <f>IF(OR(Tasks[[#This Row],[_ConstraintCode]]=2,Tasks[[#This Row],[_ConstraintCode]]=3,Tasks[[#This Row],[_ConstraintCode]]=5,Tasks[[#This Row],[_ConstraintCode]]=7),Tasks[[#This Row],[_ConstraintStart]],2958465)</f>
        <v/>
      </c>
      <c r="CQ19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5" s="88">
        <f>IF(NOT(Tasks[[#This Row],[_IsLeaf]]=1),"",IF(N(Tasks[[#This Row],[_Days]])&lt;=0,Tasks[[#This Row],[_LeafCalcStart]],WORKDAY.INTL(Tasks[[#This Row],[_LeafCalcStart]],Tasks[[#This Row],[_Days]]-1,WorkWeek,Holidays)))</f>
        <v/>
      </c>
      <c r="CS19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5" s="42">
        <f>IF(Tasks[[#This Row],[_Predecessors]]="","",TRIM(MID(SUBSTITUTE(SUBSTITUTE(SUBSTITUTE(UPPER(Tasks[[#This Row],[_Predecessors]]),";",",")," ",""),",",REPT(" ",99)),1,99)))</f>
        <v/>
      </c>
      <c r="CV195" s="42">
        <f>IF(Tasks[[#This Row],[_Pred1Text]]="","",IFERROR(VALUE(LEFT(Tasks[[#This Row],[_Pred1Text]],MIN(FIND("F",Tasks[[#This Row],[_Pred1Text]]&amp;"F"),FIND("S",Tasks[[#This Row],[_Pred1Text]]&amp;"S"),FIND("+",Tasks[[#This Row],[_Pred1Text]]&amp;"+"),FIND("-",Tasks[[#This Row],[_Pred1Text]]&amp;"-"))-1)),""))</f>
        <v/>
      </c>
      <c r="CW19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5" s="42">
        <f>IF(Tasks[[#This Row],[_Pred1Text]]="","",TRIM(MID(SUBSTITUTE(SUBSTITUTE(SUBSTITUTE(UPPER(Tasks[[#This Row],[_Predecessors]]),";",",")," ",""),",",REPT(" ",99)),100,99)))</f>
        <v/>
      </c>
      <c r="CZ195" s="42">
        <f>IF(Tasks[[#This Row],[_Pred2Text]]="","",IFERROR(VALUE(LEFT(Tasks[[#This Row],[_Pred2Text]],MIN(FIND("F",Tasks[[#This Row],[_Pred2Text]]&amp;"F"),FIND("S",Tasks[[#This Row],[_Pred2Text]]&amp;"S"),FIND("+",Tasks[[#This Row],[_Pred2Text]]&amp;"+"),FIND("-",Tasks[[#This Row],[_Pred2Text]]&amp;"-"))-1)),""))</f>
        <v/>
      </c>
      <c r="DA19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5" s="42">
        <f>IF(Tasks[[#This Row],[_Pred2Text]]="","",TRIM(MID(SUBSTITUTE(SUBSTITUTE(SUBSTITUTE(UPPER(Tasks[[#This Row],[_Predecessors]]),";",",")," ",""),",",REPT(" ",99)),199,99)))</f>
        <v/>
      </c>
      <c r="DD195" s="42">
        <f>IF(Tasks[[#This Row],[_Pred3Text]]="","",IFERROR(VALUE(LEFT(Tasks[[#This Row],[_Pred3Text]],MIN(FIND("F",Tasks[[#This Row],[_Pred3Text]]&amp;"F"),FIND("S",Tasks[[#This Row],[_Pred3Text]]&amp;"S"),FIND("+",Tasks[[#This Row],[_Pred3Text]]&amp;"+"),FIND("-",Tasks[[#This Row],[_Pred3Text]]&amp;"-"))-1)),""))</f>
        <v/>
      </c>
      <c r="DE19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5" s="42">
        <f>IF(Tasks[[#This Row],[_Pred3Text]]="","",TRIM(MID(SUBSTITUTE(SUBSTITUTE(SUBSTITUTE(UPPER(Tasks[[#This Row],[_Predecessors]]),";",",")," ",""),",",REPT(" ",99)),298,99)))</f>
        <v/>
      </c>
      <c r="DH195" s="42">
        <f>IF(Tasks[[#This Row],[_Pred4Text]]="","",IFERROR(VALUE(LEFT(Tasks[[#This Row],[_Pred4Text]],MIN(FIND("F",Tasks[[#This Row],[_Pred4Text]]&amp;"F"),FIND("S",Tasks[[#This Row],[_Pred4Text]]&amp;"S"),FIND("+",Tasks[[#This Row],[_Pred4Text]]&amp;"+"),FIND("-",Tasks[[#This Row],[_Pred4Text]]&amp;"-"))-1)),""))</f>
        <v/>
      </c>
      <c r="DI19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5" s="42">
        <f>IF(OR(Tasks[[#This Row],[Task Name]]="",Tasks[[#This Row],[_Resources]]=""),"",TRIM(MID(SUBSTITUTE(Tasks[[#This Row],[_Resources]],",",REPT(" ",99)),1,99)))</f>
        <v/>
      </c>
      <c r="DL195" s="42">
        <f>IF(Tasks[[#This Row],[_Res1Text]]="","",TRIM(MID(SUBSTITUTE(Tasks[[#This Row],[_Resources]],",",REPT(" ",99)),100,99)))</f>
        <v/>
      </c>
      <c r="DM195" s="42">
        <f>IF(Tasks[[#This Row],[_Res2Text]]="","",TRIM(MID(SUBSTITUTE(Tasks[[#This Row],[_Resources]],",",REPT(" ",99)),199,99)))</f>
        <v/>
      </c>
      <c r="DN195" s="42">
        <f>IF(Tasks[[#This Row],[_Res3Text]]="","",TRIM(MID(SUBSTITUTE(Tasks[[#This Row],[_Resources]],",",REPT(" ",99)),298,99)))</f>
        <v/>
      </c>
      <c r="DO195" s="42">
        <f>IF(Tasks[[#This Row],[_Res1Text]]="",0,IFERROR(MATCH(TRIM(LEFT(Tasks[[#This Row],[_Res1Text]],FIND("[",Tasks[[#This Row],[_Res1Text]]&amp;"[")-1)),res_Name,0),IFERROR(MATCH(TRIM(LEFT(Tasks[[#This Row],[_Res1Text]],FIND("[",Tasks[[#This Row],[_Res1Text]]&amp;"[")-1)),res_Initials,0),0)))</f>
        <v/>
      </c>
      <c r="DP195" s="42">
        <f>IF(Tasks[[#This Row],[_Res2Text]]="",0,IFERROR(MATCH(TRIM(LEFT(Tasks[[#This Row],[_Res2Text]],FIND("[",Tasks[[#This Row],[_Res2Text]]&amp;"[")-1)),res_Name,0),IFERROR(MATCH(TRIM(LEFT(Tasks[[#This Row],[_Res2Text]],FIND("[",Tasks[[#This Row],[_Res2Text]]&amp;"[")-1)),res_Initials,0),0)))</f>
        <v/>
      </c>
      <c r="DQ195" s="42">
        <f>IF(Tasks[[#This Row],[_Res3Text]]="",0,IFERROR(MATCH(TRIM(LEFT(Tasks[[#This Row],[_Res3Text]],FIND("[",Tasks[[#This Row],[_Res3Text]]&amp;"[")-1)),res_Name,0),IFERROR(MATCH(TRIM(LEFT(Tasks[[#This Row],[_Res3Text]],FIND("[",Tasks[[#This Row],[_Res3Text]]&amp;"[")-1)),res_Initials,0),0)))</f>
        <v/>
      </c>
      <c r="DR195" s="42">
        <f>IF(Tasks[[#This Row],[_Res4Text]]="",0,IFERROR(MATCH(TRIM(LEFT(Tasks[[#This Row],[_Res4Text]],FIND("[",Tasks[[#This Row],[_Res4Text]]&amp;"[")-1)),res_Name,0),IFERROR(MATCH(TRIM(LEFT(Tasks[[#This Row],[_Res4Text]],FIND("[",Tasks[[#This Row],[_Res4Text]]&amp;"[")-1)),res_Initials,0),0)))</f>
        <v/>
      </c>
      <c r="DS195" s="42">
        <f>IF(Tasks[[#This Row],[_Res1Text]]="","",IF(Tasks[[#This Row],[_Res1Row]]&gt;0,INDEX(res_Name,Tasks[[#This Row],[_Res1Row]]),TRIM(LEFT(Tasks[[#This Row],[_Res1Text]],FIND("[",Tasks[[#This Row],[_Res1Text]]&amp;"[")-1))))</f>
        <v/>
      </c>
      <c r="DT19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5" s="42">
        <f>IF(NOT(Tasks[[#This Row],[_IsLeaf]]=1),0,(Tasks[[#This Row],[_Resource1]]&lt;&gt;"")+(Tasks[[#This Row],[_Res2]]&lt;&gt;"")+(Tasks[[#This Row],[_Res3]]&lt;&gt;"")+(Tasks[[#This Row],[_Res4]]&lt;&gt;""))</f>
        <v/>
      </c>
      <c r="DV195" s="42">
        <f>IF(Tasks[[#This Row],[_Res2Text]]="","",IF(Tasks[[#This Row],[_Res2Row]]&gt;0,INDEX(res_Name,Tasks[[#This Row],[_Res2Row]]),TRIM(LEFT(Tasks[[#This Row],[_Res2Text]],FIND("[",Tasks[[#This Row],[_Res2Text]]&amp;"[")-1))))</f>
        <v/>
      </c>
      <c r="DW19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5" s="42">
        <f>IF(OR(NOT(Tasks[[#This Row],[_IsLeaf]]=1),Tasks[[#This Row],[_Res2Row]]=0),0,N(Tasks[[#This Row],[_Days]])*HoursPerDay*IF(Tasks[[#This Row],[_Res2Units]]="",DefaultUnits,Tasks[[#This Row],[_Res2Units]]))</f>
        <v/>
      </c>
      <c r="DY195" s="42">
        <f>IF(AND(AND(Tasks[[#This Row],[_IsLeaf]]=1,Tasks[[#This Row],[_LeafTotalWork]]&gt;0),Tasks[[#This Row],[_Res2Work]]&gt;0),Tasks[[#This Row],[_Res2Work]]/(Tasks[[#This Row],[_FinishWorkday]]-Tasks[[#This Row],[_StartWorkday]]+1),0)</f>
        <v/>
      </c>
      <c r="DZ195" s="42">
        <f>Tasks[[#This Row],[_Res2WorkPerWD]]*MAX(0,Tasks[[#This Row],[_StartWorkday]]-1)</f>
        <v/>
      </c>
      <c r="EA195" s="42">
        <f>Tasks[[#This Row],[_Res2Work]]*Tasks[[#This Row],[_LeafProgress]]</f>
        <v/>
      </c>
      <c r="EB195" s="42">
        <f>IF(Tasks[[#This Row],[_Res3Text]]="","",IF(Tasks[[#This Row],[_Res3Row]]&gt;0,INDEX(res_Name,Tasks[[#This Row],[_Res3Row]]),TRIM(LEFT(Tasks[[#This Row],[_Res3Text]],FIND("[",Tasks[[#This Row],[_Res3Text]]&amp;"[")-1))))</f>
        <v/>
      </c>
      <c r="EC19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5" s="42">
        <f>IF(OR(NOT(Tasks[[#This Row],[_IsLeaf]]=1),Tasks[[#This Row],[_Res3Row]]=0),0,N(Tasks[[#This Row],[_Days]])*HoursPerDay*IF(Tasks[[#This Row],[_Res3Units]]="",DefaultUnits,Tasks[[#This Row],[_Res3Units]]))</f>
        <v/>
      </c>
      <c r="EE195" s="42">
        <f>IF(AND(AND(Tasks[[#This Row],[_IsLeaf]]=1,Tasks[[#This Row],[_LeafTotalWork]]&gt;0),Tasks[[#This Row],[_Res3Work]]&gt;0),Tasks[[#This Row],[_Res3Work]]/(Tasks[[#This Row],[_FinishWorkday]]-Tasks[[#This Row],[_StartWorkday]]+1),0)</f>
        <v/>
      </c>
      <c r="EF195" s="42">
        <f>Tasks[[#This Row],[_Res3WorkPerWD]]*MAX(0,Tasks[[#This Row],[_StartWorkday]]-1)</f>
        <v/>
      </c>
      <c r="EG195" s="42">
        <f>Tasks[[#This Row],[_Res3Work]]*Tasks[[#This Row],[_LeafProgress]]</f>
        <v/>
      </c>
      <c r="EH195" s="42">
        <f>IF(Tasks[[#This Row],[_Res4Text]]="","",IF(Tasks[[#This Row],[_Res4Row]]&gt;0,INDEX(res_Name,Tasks[[#This Row],[_Res4Row]]),TRIM(LEFT(Tasks[[#This Row],[_Res4Text]],FIND("[",Tasks[[#This Row],[_Res4Text]]&amp;"[")-1))))</f>
        <v/>
      </c>
      <c r="EI19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5" s="42">
        <f>IF(OR(NOT(Tasks[[#This Row],[_IsLeaf]]=1),Tasks[[#This Row],[_Res4Row]]=0),0,N(Tasks[[#This Row],[_Days]])*HoursPerDay*IF(Tasks[[#This Row],[_Res4Units]]="",DefaultUnits,Tasks[[#This Row],[_Res4Units]]))</f>
        <v/>
      </c>
      <c r="EK195" s="42">
        <f>IF(AND(AND(Tasks[[#This Row],[_IsLeaf]]=1,Tasks[[#This Row],[_LeafTotalWork]]&gt;0),Tasks[[#This Row],[_Res4Work]]&gt;0),Tasks[[#This Row],[_Res4Work]]/(Tasks[[#This Row],[_FinishWorkday]]-Tasks[[#This Row],[_StartWorkday]]+1),0)</f>
        <v/>
      </c>
      <c r="EL195" s="42">
        <f>Tasks[[#This Row],[_Res4WorkPerWD]]*MAX(0,Tasks[[#This Row],[_StartWorkday]]-1)</f>
        <v/>
      </c>
      <c r="EM195" s="42">
        <f>Tasks[[#This Row],[_Res4Work]]*Tasks[[#This Row],[_LeafProgress]]</f>
        <v/>
      </c>
      <c r="EN195" s="42">
        <f>IF(ISNUMBER(Tasks[[#This Row],[% Complete]]),Tasks[[#This Row],[% Complete]],IF(Tasks[[#This Row],[Stage]]="",0,IFERROR(INDEX(stg_Pct,MATCH(Tasks[[#This Row],[Stage]],stg_Name,0)),0)))</f>
        <v/>
      </c>
      <c r="EO195" s="42">
        <f>IF(NOT(Tasks[[#This Row],[_IsLeaf]]=1),0,IF(N(Tasks[[#This Row],[Actual Finish]])&gt;0,1,MIN(1,Tasks[[#This Row],[_Pct]])))</f>
        <v/>
      </c>
      <c r="EP195" s="42">
        <f>IF(OR(NOT(Tasks[[#This Row],[_IsLeaf]]=1),Tasks[[#This Row],[_Res1Row]]=0),0,N(Tasks[[#This Row],[_Days]])*HoursPerDay*IF(Tasks[[#This Row],[_Units1]]="",DefaultUnits,Tasks[[#This Row],[_Units1]]))</f>
        <v/>
      </c>
      <c r="EQ195" s="42">
        <f>Tasks[[#This Row],[_LeafWork]]+Tasks[[#This Row],[_Res2Work]]+Tasks[[#This Row],[_Res3Work]]+Tasks[[#This Row],[_Res4Work]]</f>
        <v/>
      </c>
      <c r="ER19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5" s="42">
        <f>IF(NOT(Tasks[[#This Row],[_IsLeaf]]=1),0,MAX(_xlfn.MAXIFS(Tasks[_Row],Tasks[_Pred1UID],Tasks[[#This Row],[UID]]),_xlfn.MAXIFS(Tasks[_Row],Tasks[_Pred2UID],Tasks[[#This Row],[UID]]),_xlfn.MAXIFS(Tasks[_Row],Tasks[_Pred3UID],Tasks[[#This Row],[UID]]),_xlfn.MAXIFS(Tasks[_Row],Tasks[_Pred4UID],Tasks[[#This Row],[UID]])))</f>
        <v/>
      </c>
      <c r="FA19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5" s="88">
        <f>IF(NOT(Tasks[[#This Row],[_IsLeaf]]=1),"",IF(N(Tasks[[#This Row],[_Days]])&lt;=0,Tasks[[#This Row],[_LeafLateFinish]],WORKDAY.INTL(Tasks[[#This Row],[_LeafLateFinish]],-(Tasks[[#This Row],[_Days]]-1),WorkWeek,Holidays)))</f>
        <v/>
      </c>
      <c r="FD19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5" s="42">
        <f>AND(Tasks[[#This Row],[_IsLeaf]]=1,Tasks[[#This Row],[_LeafProgress]]&lt;1,N(Tasks[[#This Row],[_LeafTotalSlack]])&lt;=CriticalSlackDays)</f>
        <v/>
      </c>
      <c r="FF195" s="42">
        <f>IF(AND(Tasks[[#This Row],[_IsLeaf]]=1,Tasks[[#This Row],[_ConstraintCode]]=1,Tasks[[#This Row],[Mode]]&lt;&gt;"Manual",N(Tasks[[#This Row],[Actual Start]])=0),MAX(0,N(Tasks[[#This Row],[Free Slack]])),0)</f>
        <v/>
      </c>
      <c r="FG195" s="88">
        <f>IF(NOT(Tasks[[#This Row],[_IsLeaf]]=1),"",IF(Tasks[[#This Row],[_AlapShift]]=0,Tasks[[#This Row],[_LeafCalcStart]],WORKDAY.INTL(Tasks[[#This Row],[_LeafCalcStart]],Tasks[[#This Row],[_AlapShift]],WorkWeek,Holidays)))</f>
        <v/>
      </c>
      <c r="FH195" s="88">
        <f>IF(NOT(Tasks[[#This Row],[_IsLeaf]]=1),"",IF(Tasks[[#This Row],[_AlapShift]]=0,Tasks[[#This Row],[_LeafCalcFinish]],WORKDAY.INTL(Tasks[[#This Row],[_LeafCalcFinish]],Tasks[[#This Row],[_AlapShift]],WorkWeek,Holidays)))</f>
        <v/>
      </c>
      <c r="FI195" s="88">
        <f>IF(NOT(Tasks[[#This Row],[_IsLeaf]]=1),"",IF(Tasks[[#This Row],[_AlapShift]]=0,Tasks[[#This Row],[_LeafFcstStart]],WORKDAY.INTL(Tasks[[#This Row],[_LeafFcstStart]],Tasks[[#This Row],[_AlapShift]],WorkWeek,Holidays)))</f>
        <v/>
      </c>
      <c r="FJ195" s="88">
        <f>IF(NOT(Tasks[[#This Row],[_IsLeaf]]=1),"",IF(Tasks[[#This Row],[_AlapShift]]=0,Tasks[[#This Row],[_LeafFcstFinish]],WORKDAY.INTL(Tasks[[#This Row],[_LeafFcstFinish]],Tasks[[#This Row],[_AlapShift]],WorkWeek,Holidays)))</f>
        <v/>
      </c>
      <c r="FK195" s="88">
        <f>IF(Tasks[[#This Row],[Task Name]]="","",IF(Tasks[[#This Row],[_IsSummary]],MIN(INDEX(Tasks[_ShownCalcStart],Tasks[[#This Row],[_Row]]+1):INDEX(Tasks[_ShownCalcStart],Tasks[[#This Row],[_Row]]+Tasks[[#This Row],[_Descendants]])),Tasks[[#This Row],[_ShownCalcStart]]))</f>
        <v/>
      </c>
      <c r="FL195" s="88">
        <f>IF(Tasks[[#This Row],[Task Name]]="","",IF(Tasks[[#This Row],[_IsSummary]],MAX(INDEX(Tasks[_ShownCalcFinish],Tasks[[#This Row],[_Row]]+1):INDEX(Tasks[_ShownCalcFinish],Tasks[[#This Row],[_Row]]+Tasks[[#This Row],[_Descendants]])),Tasks[[#This Row],[_ShownCalcFinish]]))</f>
        <v/>
      </c>
      <c r="FM19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5" s="42">
        <f>IF(AND(Tasks[[#This Row],[_IsLeaf]]=1,Tasks[[#This Row],[_LeafTotalWork]]&gt;0),NETWORKDAYS.INTL(ProjectStart,Tasks[[#This Row],[_ShownFcstStart]],WorkWeek,Holidays),0)</f>
        <v/>
      </c>
      <c r="FZ195" s="42">
        <f>IF(AND(Tasks[[#This Row],[_IsLeaf]]=1,Tasks[[#This Row],[_LeafTotalWork]]&gt;0),MAX(Tasks[[#This Row],[_StartWorkday]],NETWORKDAYS.INTL(ProjectStart,Tasks[[#This Row],[_ShownFcstFinish]],WorkWeek,Holidays)),0)</f>
        <v/>
      </c>
      <c r="GA195" s="42">
        <f>IF(AND(Tasks[[#This Row],[_IsLeaf]]=1,Tasks[[#This Row],[_LeafTotalWork]]&gt;0),Tasks[[#This Row],[_LeafWork]]/(Tasks[[#This Row],[_FinishWorkday]]-Tasks[[#This Row],[_StartWorkday]]+1),0)</f>
        <v/>
      </c>
      <c r="GB195" s="42">
        <f>Tasks[[#This Row],[_WorkPerWorkday]]*(Tasks[[#This Row],[_StartWorkday]]-1)</f>
        <v/>
      </c>
      <c r="GC195" s="42">
        <f>IF(Tasks[[#This Row],[_IsLeaf]]=1,MAX(N(Tasks[[#This Row],[_Days]]),0.1),0)</f>
        <v/>
      </c>
      <c r="GD195" s="42">
        <f>Tasks[[#This Row],[_WeightDur]]*Tasks[[#This Row],[_LeafProgress]]</f>
        <v/>
      </c>
      <c r="GE195" s="42">
        <f>Tasks[[#This Row],[_WeightDur]]*Tasks[[#This Row],[_PlannedPct]]</f>
        <v/>
      </c>
      <c r="GF19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5" s="42">
        <f>IF(AND(Tasks[[#This Row],[_IsLeaf]]=1,N(Tasks[[#This Row],[_Days]])=0,Tasks[[#This Row],[_LeafProgress]]&lt;1),Tasks[[#This Row],[_ShownFcstFinish]]+Tasks[[#This Row],[_Row]]/100000,"")</f>
        <v/>
      </c>
      <c r="GH19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5" s="42">
        <f>IF(Tasks[[#This Row],[Task Name]]="","",LEFT(Tasks[[#This Row],[WBS]],FIND(".",Tasks[[#This Row],[WBS]]&amp;".")-1))</f>
        <v/>
      </c>
      <c r="GJ195" s="42">
        <f>IF(AND(Tasks[[#This Row],[Task Name]]&lt;&gt;"",Tasks[[#This Row],[_Level]]=1),Tasks[[#This Row],[_Row]],"")</f>
        <v/>
      </c>
      <c r="GK195" s="42">
        <f>IF(AND(Tasks[[#This Row],[_IsLeaf]]=1,N(Tasks[[#This Row],[_Days]])=0),Tasks[[#This Row],[Planned Finish]]+Tasks[[#This Row],[_Row]]/100000,"")</f>
        <v/>
      </c>
      <c r="GL195" s="42">
        <f>IF(AND(Tasks[[#This Row],[_IsLeaf]]=1,Tasks[[#This Row],[_LeafProgress]]&lt;1,OR(N(Tasks[[#This Row],[Finish Var]])&gt;0,Tasks[[#This Row],[Status]]="Late Start")),MAX(0,Tasks[[#This Row],[Finish Var]])+1-Tasks[[#This Row],[_Row]]/1000000,"")</f>
        <v/>
      </c>
      <c r="GM195" s="42">
        <f>IF(AND(Tasks[[#This Row],[_IsLeaf]]=1,N(Tasks[[#This Row],[Actual Start]])=0,Tasks[[#This Row],[_ShownFcstStart]]&gt;=StatusDate,Tasks[[#This Row],[_ShownFcstStart]]&lt;=LookaheadEnd),Tasks[[#This Row],[_ShownFcstStart]]+Tasks[[#This Row],[_Row]]/100000,"")</f>
        <v/>
      </c>
      <c r="GN195" s="42">
        <f>IF(AND(Tasks[[#This Row],[_IsLeaf]]=1,Tasks[[#This Row],[_LeafProgress]]&lt;1,Tasks[[#This Row],[_ShownFcstFinish]]&gt;=StatusDate,Tasks[[#This Row],[_ShownFcstFinish]]&lt;=LookaheadEnd),Tasks[[#This Row],[_ShownFcstFinish]]+Tasks[[#This Row],[_Row]]/100000,"")</f>
        <v/>
      </c>
      <c r="GO195" s="42">
        <f>IF(Tasks[[#This Row],[_LeafCritical]],Tasks[[#This Row],[_ShownFcstStart]]+Tasks[[#This Row],[_Row]]/100000,"")</f>
        <v/>
      </c>
      <c r="GP195" s="42">
        <f>Tasks[[#This Row],[_LeafWork]]*Tasks[[#This Row],[_LeafProgress]]</f>
        <v/>
      </c>
      <c r="GQ195" s="88">
        <f>IF(AND(Tasks[[#This Row],[_IsLeaf]]=1,Tasks[[#This Row],[_LeafProgress]]&gt;=1),IF(N(Tasks[[#This Row],[Actual Finish]])&gt;0,Tasks[[#This Row],[Actual Finish]],Tasks[[#This Row],[_ShownFcstFinish]]),"")</f>
        <v/>
      </c>
      <c r="GR195" s="42">
        <f>IF(Tasks[[#This Row],[_IsLeaf]]=1,N(Tasks[[#This Row],[Story Points]]),0)</f>
        <v/>
      </c>
      <c r="GS195" s="42">
        <f>""</f>
        <v/>
      </c>
      <c r="GT195" s="42">
        <f>IF(Tasks[[#This Row],[Task Name]]="",FALSE(),AND(Tasks[[#This Row],[_IsLeaf]]=1,N(Tasks[[#This Row],[_Days]])=0))</f>
        <v/>
      </c>
      <c r="GU195" s="88">
        <f>IF(Tasks[[#This Row],[Task Name]]="",0,IF(AND(Tasks[[#This Row],[_IsLeaf]]=1,NOT(Tasks[[#This Row],[_IsMilestone]]),N(Tasks[[#This Row],[Progress]])&gt;0),Tasks[[#This Row],[Start]],0))</f>
        <v/>
      </c>
      <c r="GV195" s="88">
        <f>IF(Tasks[[#This Row],[_DoneFrom]]=0,0,IF(Tasks[[#This Row],[Progress]]&gt;=1,Tasks[[#This Row],[Finish]],MAX(Tasks[[#This Row],[_DoneFrom]],Tasks[[#This Row],[Start]]+ROUND((Tasks[[#This Row],[Finish]]-Tasks[[#This Row],[Start]]+1)*Tasks[[#This Row],[Progress]],0)-1)))</f>
        <v/>
      </c>
      <c r="GW195" s="88">
        <f>IF(Tasks[[#This Row],[Task Name]]="",0,IF(OR(NOT(Tasks[[#This Row],[_IsLeaf]]=1),Tasks[[#This Row],[_IsMilestone]],N(Tasks[[#This Row],[Progress]])&gt;=1),0,IF(Tasks[[#This Row],[_DoneTo]]&gt;0,Tasks[[#This Row],[_DoneTo]]+1,Tasks[[#This Row],[Start]])))</f>
        <v/>
      </c>
      <c r="GX195" s="88">
        <f>IF(Tasks[[#This Row],[_RemFrom]]=0,0,Tasks[[#This Row],[Finish]])</f>
        <v/>
      </c>
      <c r="GY195" s="42">
        <f>IF(Tasks[[#This Row],[Task Name]]="",FALSE(),OR(NOT(BaselineSet),N(Tasks[[#This Row],[Baseline Start]])&gt;0))</f>
        <v/>
      </c>
      <c r="GZ195" s="42">
        <f>IF(AND(Sandbox="Yes",L_PARSE_DURATION(Tasks[[#This Row],[Sandbox Duration]])&lt;&gt;""),L_PARSE_DURATION(Tasks[[#This Row],[Sandbox Duration]]),L_PARSE_DURATION(Tasks[[#This Row],[Duration]]))</f>
        <v/>
      </c>
      <c r="HA19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5" s="42">
        <f>IF(Tasks[[#This Row],[_IsLeaf]]=1,Tasks[[#This Row],[_Row]],"")</f>
        <v/>
      </c>
      <c r="HD195" s="42">
        <f>IFERROR(INDEX(Tasks[UID],SMALL(Tasks[_PickKey],Tasks[[#This Row],[_Row]]))&amp;" "&amp;INDEX(Tasks[Task Name],SMALL(Tasks[_PickKey],Tasks[[#This Row],[_Row]])),"")</f>
        <v/>
      </c>
      <c r="HE195" s="42">
        <f>IF(Tasks[[#This Row],[Task Name]]="","",IF(Tasks[[#This Row],[_IsSummary]],NETWORKDAYS.INTL(Tasks[[#This Row],[Start]],Tasks[[#This Row],[Finish]],WorkWeek,Holidays),N(Tasks[[#This Row],[_Days]])))</f>
        <v/>
      </c>
      <c r="HF195" s="42">
        <f>IF(Tasks[[#This Row],[Expected]]="",0,((Tasks[[#This Row],[Pessimistic]]-Tasks[[#This Row],[Optimistic]])/6)^2)</f>
        <v/>
      </c>
      <c r="HG195" s="42">
        <f>IF(Tasks[[#This Row],[Expected]]="",0,Tasks[[#This Row],[Expected]]-N(Tasks[[#This Row],[_Days]]))</f>
        <v/>
      </c>
    </row>
    <row r="196">
      <c r="A196" s="21">
        <f>IF(Tasks[[#This Row],[Task Name]]="","",COUNTA(Tasks[[#Headers],[Task Name]]:Tasks[[#This Row],[Task Name]])-1)</f>
        <v/>
      </c>
      <c r="B196" s="22" t="n">
        <v>204</v>
      </c>
      <c r="C196" s="22" t="n"/>
      <c r="D196" s="23" t="n"/>
      <c r="E196" s="22" t="n"/>
      <c r="F196" s="23" t="n"/>
      <c r="G196" s="22" t="n"/>
      <c r="H196" s="22" t="n"/>
      <c r="I196" s="23" t="n"/>
      <c r="J196" s="22" t="n"/>
      <c r="K196" s="22" t="n"/>
      <c r="L196" s="23" t="n"/>
      <c r="M196" s="22" t="n"/>
      <c r="N196" s="22" t="n"/>
      <c r="O196" s="23" t="n"/>
      <c r="P196" s="22" t="n"/>
      <c r="Q196" s="22" t="n"/>
      <c r="R196" s="23" t="n"/>
      <c r="S196" s="23" t="n"/>
      <c r="T196" s="82" t="n"/>
      <c r="U196" s="23" t="n"/>
      <c r="V196" s="82" t="n"/>
      <c r="W196" s="23" t="n"/>
      <c r="X196" s="82" t="n"/>
      <c r="Y196" s="23" t="n"/>
      <c r="Z196" s="82" t="n"/>
      <c r="AA196" s="23" t="n"/>
      <c r="AB196" s="23" t="n"/>
      <c r="AC196" s="7" t="n"/>
      <c r="AD196" s="7" t="n"/>
      <c r="AE196" s="61">
        <f>IF(Tasks[[#This Row],[Task Name]]="","",IF(Tasks[[#This Row],[_IsSummary]],MIN(INDEX(Tasks[_ShownFcstStart],Tasks[[#This Row],[_Row]]+1):INDEX(Tasks[_ShownFcstStart],Tasks[[#This Row],[_Row]]+Tasks[[#This Row],[_Descendants]])),Tasks[[#This Row],[_ShownFcstStart]]))</f>
        <v/>
      </c>
      <c r="AF196" s="61">
        <f>IF(Tasks[[#This Row],[Task Name]]="","",IF(Tasks[[#This Row],[_IsSummary]],MAX(INDEX(Tasks[_ShownFcstFinish],Tasks[[#This Row],[_Row]]+1):INDEX(Tasks[_ShownFcstFinish],Tasks[[#This Row],[_Row]]+Tasks[[#This Row],[_Descendants]])),Tasks[[#This Row],[_ShownFcstFinish]]))</f>
        <v/>
      </c>
      <c r="AG196" s="21">
        <f>""</f>
        <v/>
      </c>
      <c r="AH196" s="23" t="n"/>
      <c r="AI19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6" s="7" t="n"/>
      <c r="AK196" s="22" t="n"/>
      <c r="AL196" s="23" t="n"/>
      <c r="AM196" s="7" t="n"/>
      <c r="AN196" s="21">
        <f>IF(Tasks[[#This Row],[Task Name]]="","",IF(Tasks[[#This Row],[Finish]]&gt;=Tasks[[#This Row],[Planned Finish]],NETWORKDAYS.INTL(Tasks[[#This Row],[Planned Finish]],Tasks[[#This Row],[Finish]],WorkWeek,Holidays)-1,1-NETWORKDAYS.INTL(Tasks[[#This Row],[Finish]],Tasks[[#This Row],[Planned Finish]],WorkWeek,Holidays)))</f>
        <v/>
      </c>
      <c r="AO196" s="21">
        <f>IF(Tasks[[#This Row],[Task Name]]="","",IF(Tasks[[#This Row],[Progress]]&gt;=1,"Complete",IF(OR(N(Tasks[[#This Row],[Actual Start]])&gt;0,Tasks[[#This Row],[Progress]]&gt;0),IF(Tasks[[#This Row],[Finish Var]]&gt;0,"Behind","In Progress"),IF(Tasks[[#This Row],[Planned Start]]&lt;StatusDate,"Late Start","Not Started"))))</f>
        <v/>
      </c>
      <c r="AP196" s="21">
        <f>IF(Tasks[[#This Row],[Task Name]]="","",IF(IF(Tasks[[#This Row],[_IsSummary]],COUNTIF(INDEX(Tasks[_LeafCritical],Tasks[[#This Row],[_Row]]+1):INDEX(Tasks[_LeafCritical],Tasks[[#This Row],[_Row]]+Tasks[[#This Row],[_Descendants]]),TRUE())&gt;0,Tasks[[#This Row],[_LeafCritical]]),"Yes",""))</f>
        <v/>
      </c>
      <c r="AQ196" s="61">
        <f>IF(Tasks[[#This Row],[Task Name]]="","",IF(N(Tasks[[#This Row],[Baseline Start]])&gt;0,Tasks[[#This Row],[Baseline Start]],Tasks[[#This Row],[_CalcStart]]))</f>
        <v/>
      </c>
      <c r="AR196" s="61">
        <f>IF(Tasks[[#This Row],[Task Name]]="","",IF(N(Tasks[[#This Row],[Baseline Finish]])&gt;0,Tasks[[#This Row],[Baseline Finish]],Tasks[[#This Row],[_CalcFinish]]))</f>
        <v/>
      </c>
      <c r="AS196" s="21">
        <f>IF(Tasks[[#This Row],[Task Name]]="","",IF(Tasks[[#This Row],[Start]]&gt;=Tasks[[#This Row],[Planned Start]],NETWORKDAYS.INTL(Tasks[[#This Row],[Planned Start]],Tasks[[#This Row],[Start]],WorkWeek,Holidays)-1,1-NETWORKDAYS.INTL(Tasks[[#This Row],[Start]],Tasks[[#This Row],[Planned Start]],WorkWeek,Holidays)))</f>
        <v/>
      </c>
      <c r="AT196" s="61">
        <f>IF(Tasks[[#This Row],[Task Name]]="","",IF(Tasks[[#This Row],[_IsSummary]],MIN(INDEX(Tasks[_LeafLateStart],Tasks[[#This Row],[_Row]]+1):INDEX(Tasks[_LeafLateStart],Tasks[[#This Row],[_Row]]+Tasks[[#This Row],[_Descendants]])),Tasks[[#This Row],[_LeafLateStart]]))</f>
        <v/>
      </c>
      <c r="AU196" s="61">
        <f>IF(Tasks[[#This Row],[Task Name]]="","",IF(Tasks[[#This Row],[_IsSummary]],MAX(INDEX(Tasks[_LeafLateFinish],Tasks[[#This Row],[_Row]]+1):INDEX(Tasks[_LeafLateFinish],Tasks[[#This Row],[_Row]]+Tasks[[#This Row],[_Descendants]])),Tasks[[#This Row],[_LeafLateFinish]]))</f>
        <v/>
      </c>
      <c r="AV196" s="21">
        <f>IF(Tasks[[#This Row],[Task Name]]="","",IF(Tasks[[#This Row],[_IsSummary]],MIN(INDEX(Tasks[_LeafTotalSlack],Tasks[[#This Row],[_Row]]+1):INDEX(Tasks[_LeafTotalSlack],Tasks[[#This Row],[_Row]]+Tasks[[#This Row],[_Descendants]])),Tasks[[#This Row],[_LeafTotalSlack]]))</f>
        <v/>
      </c>
      <c r="AW19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3" t="n"/>
      <c r="BA19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f>IF(Tasks[[#This Row],[Task Name]]="","",IF(Tasks[[#This Row],[_Level]]&lt;=OutlineShowLevel,"Yes","No"))</f>
        <v/>
      </c>
      <c r="BE196" s="84">
        <f>IF(Tasks[[#This Row],[Task Name]]="","",IF(Tasks[[#This Row],[_IsSummary]],SUM(INDEX(Tasks[_LeafTotalWork],Tasks[[#This Row],[_Row]]+1):INDEX(Tasks[_LeafTotalWork],Tasks[[#This Row],[_Row]]+Tasks[[#This Row],[_Descendants]])),Tasks[[#This Row],[_LeafTotalWork]]))</f>
        <v/>
      </c>
      <c r="BF196" s="23" t="n"/>
      <c r="BG19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f>""</f>
        <v/>
      </c>
      <c r="BI196" s="85" t="n"/>
      <c r="BJ196" s="22" t="n"/>
      <c r="BK196" s="21">
        <f>IF(OR(Tasks[[#This Row],[Task Name]]="",Tasks[[#This Row],[Baseline Duration]]=""),"",Tasks[[#This Row],[_SpanDays]]-N(Tasks[[#This Row],[Baseline Duration]]))</f>
        <v/>
      </c>
      <c r="BL196" s="84">
        <f>IF(OR(Tasks[[#This Row],[Task Name]]="",Tasks[[#This Row],[Baseline Work]]=""),"",Tasks[[#This Row],[Work]]-N(Tasks[[#This Row],[Baseline Work]]))</f>
        <v/>
      </c>
      <c r="BM196" s="61">
        <f>IF(Tasks[[#This Row],[Task Name]]="","",IF(OR(TakeBaseline="Yes",N(Tasks[[#This Row],[Baseline Start]])=0),Tasks[[#This Row],[Start]],Tasks[[#This Row],[Baseline Start]]))</f>
        <v/>
      </c>
      <c r="BN196" s="61">
        <f>IF(Tasks[[#This Row],[Task Name]]="","",IF(OR(TakeBaseline="Yes",N(Tasks[[#This Row],[Baseline Finish]])=0),Tasks[[#This Row],[Finish]],Tasks[[#This Row],[Baseline Finish]]))</f>
        <v/>
      </c>
      <c r="BO196" s="21">
        <f>IF(Tasks[[#This Row],[Task Name]]="","",IF(OR(TakeBaseline="Yes",N(Tasks[[#This Row],[Baseline Duration]])=0),Tasks[[#This Row],[_SpanDays]],Tasks[[#This Row],[Baseline Duration]]))</f>
        <v/>
      </c>
      <c r="BP196" s="84">
        <f>IF(Tasks[[#This Row],[Task Name]]="","",IF(OR(TakeBaseline="Yes",N(Tasks[[#This Row],[Baseline Work]])=0),Tasks[[#This Row],[Work]],Tasks[[#This Row],[Baseline Work]]))</f>
        <v/>
      </c>
      <c r="BQ196" s="7" t="n"/>
      <c r="BR196" s="7" t="n"/>
      <c r="BS196" s="22" t="n"/>
      <c r="BT196" s="86" t="n"/>
      <c r="BU196" s="23" t="n"/>
      <c r="BV196" s="23" t="n"/>
      <c r="BW196" s="23" t="n"/>
      <c r="BX196" s="87">
        <f>IF(AND(Tasks[[#This Row],[_IsLeaf]]=1,ISNUMBER(Tasks[[#This Row],[Optimistic]]),ISNUMBER(Tasks[[#This Row],[Pessimistic]])),ROUND((Tasks[[#This Row],[Optimistic]]+4*N(Tasks[[#This Row],[_Days]])+Tasks[[#This Row],[Pessimistic]])/6,1),"")</f>
        <v/>
      </c>
      <c r="BY196" s="85" t="n"/>
      <c r="BZ196" s="85" t="n"/>
      <c r="CA196" s="22" t="n"/>
      <c r="CB196" s="42">
        <f>IF(Tasks[[#This Row],[Task Name]]="","",MAX(1,N(Tasks[[#This Row],[Level]])))</f>
        <v/>
      </c>
      <c r="CC196" s="42">
        <f>ROW()-ROW(Tasks[[#Headers],[ID]])</f>
        <v/>
      </c>
      <c r="CD196" s="42">
        <f>IF(OR(Tasks[[#This Row],[Task Name]]="",Tasks[[#This Row],[_Level]]&lt;=1),0,IFERROR(LOOKUP(2,1/(Tasks[[#Headers],[_Level]]:Tasks[[#This Row],[_Level]]=Tasks[[#This Row],[_Level]]-1),ROW(Tasks[[#Headers],[_Level]]:Tasks[[#This Row],[_Level]])),0))</f>
        <v/>
      </c>
      <c r="CE196" s="42">
        <f>IFERROR(N(INDEX(Tasks[_Level],Tasks[[#This Row],[_Row]]+1)),0)</f>
        <v/>
      </c>
      <c r="CF196" s="42">
        <f>AND(Tasks[[#This Row],[Task Name]]&lt;&gt;"",Tasks[[#This Row],[_NextLevel]]&gt;Tasks[[#This Row],[_Level]])</f>
        <v/>
      </c>
      <c r="CG196" s="42">
        <f>IF(Tasks[[#This Row],[_IsSummary]],COUNTIF(Tasks[WBS],Tasks[[#This Row],[WBS]]&amp;".*"),0)</f>
        <v/>
      </c>
      <c r="CH196" s="42">
        <f>IF(AND(Tasks[[#This Row],[Task Name]]&lt;&gt;"",NOT(Tasks[[#This Row],[_IsSummary]])),1,0)</f>
        <v/>
      </c>
      <c r="CI196" s="42">
        <f>IF(N(Tasks[[#This Row],[_Pred1UID]])=0,0,IFERROR(MATCH(Tasks[[#This Row],[_Pred1UID]],Tasks[UID],0),-1))</f>
        <v/>
      </c>
      <c r="CJ196" s="42">
        <f>IF(N(Tasks[[#This Row],[_Pred2UID]])=0,0,IFERROR(MATCH(Tasks[[#This Row],[_Pred2UID]],Tasks[UID],0),-1))</f>
        <v/>
      </c>
      <c r="CK196" s="42">
        <f>IF(N(Tasks[[#This Row],[_Pred3UID]])=0,0,IFERROR(MATCH(Tasks[[#This Row],[_Pred3UID]],Tasks[UID],0),-1))</f>
        <v/>
      </c>
      <c r="CL196" s="42">
        <f>IF(N(Tasks[[#This Row],[_Pred4UID]])=0,0,IFERROR(MATCH(Tasks[[#This Row],[_Pred4UID]],Tasks[UID],0),-1))</f>
        <v/>
      </c>
      <c r="CM19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6" s="88">
        <f>IF(N(Tasks[[#This Row],[Constraint Date]])=0,0,IF(AND(OR(Tasks[[#This Row],[_ConstraintCode]]=3,Tasks[[#This Row],[_ConstraintCode]]=6,Tasks[[#This Row],[_ConstraintCode]]=7),N(Tasks[[#This Row],[_Days]])&gt;1),WORKDAY.INTL(N(Tasks[[#This Row],[Constraint Date]]),-(N(Tasks[[#This Row],[_Days]])-1),WorkWeek,Holidays),N(Tasks[[#This Row],[Constraint Date]])))</f>
        <v/>
      </c>
      <c r="CO196" s="88">
        <f>IF(OR(Tasks[[#This Row],[_ConstraintCode]]=2,Tasks[[#This Row],[_ConstraintCode]]=3,Tasks[[#This Row],[_ConstraintCode]]=4,Tasks[[#This Row],[_ConstraintCode]]=6),Tasks[[#This Row],[_ConstraintStart]],0)</f>
        <v/>
      </c>
      <c r="CP196" s="88">
        <f>IF(OR(Tasks[[#This Row],[_ConstraintCode]]=2,Tasks[[#This Row],[_ConstraintCode]]=3,Tasks[[#This Row],[_ConstraintCode]]=5,Tasks[[#This Row],[_ConstraintCode]]=7),Tasks[[#This Row],[_ConstraintStart]],2958465)</f>
        <v/>
      </c>
      <c r="CQ19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6" s="88">
        <f>IF(NOT(Tasks[[#This Row],[_IsLeaf]]=1),"",IF(N(Tasks[[#This Row],[_Days]])&lt;=0,Tasks[[#This Row],[_LeafCalcStart]],WORKDAY.INTL(Tasks[[#This Row],[_LeafCalcStart]],Tasks[[#This Row],[_Days]]-1,WorkWeek,Holidays)))</f>
        <v/>
      </c>
      <c r="CS19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6" s="42">
        <f>IF(Tasks[[#This Row],[_Predecessors]]="","",TRIM(MID(SUBSTITUTE(SUBSTITUTE(SUBSTITUTE(UPPER(Tasks[[#This Row],[_Predecessors]]),";",",")," ",""),",",REPT(" ",99)),1,99)))</f>
        <v/>
      </c>
      <c r="CV196" s="42">
        <f>IF(Tasks[[#This Row],[_Pred1Text]]="","",IFERROR(VALUE(LEFT(Tasks[[#This Row],[_Pred1Text]],MIN(FIND("F",Tasks[[#This Row],[_Pred1Text]]&amp;"F"),FIND("S",Tasks[[#This Row],[_Pred1Text]]&amp;"S"),FIND("+",Tasks[[#This Row],[_Pred1Text]]&amp;"+"),FIND("-",Tasks[[#This Row],[_Pred1Text]]&amp;"-"))-1)),""))</f>
        <v/>
      </c>
      <c r="CW19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6" s="42">
        <f>IF(Tasks[[#This Row],[_Pred1Text]]="","",TRIM(MID(SUBSTITUTE(SUBSTITUTE(SUBSTITUTE(UPPER(Tasks[[#This Row],[_Predecessors]]),";",",")," ",""),",",REPT(" ",99)),100,99)))</f>
        <v/>
      </c>
      <c r="CZ196" s="42">
        <f>IF(Tasks[[#This Row],[_Pred2Text]]="","",IFERROR(VALUE(LEFT(Tasks[[#This Row],[_Pred2Text]],MIN(FIND("F",Tasks[[#This Row],[_Pred2Text]]&amp;"F"),FIND("S",Tasks[[#This Row],[_Pred2Text]]&amp;"S"),FIND("+",Tasks[[#This Row],[_Pred2Text]]&amp;"+"),FIND("-",Tasks[[#This Row],[_Pred2Text]]&amp;"-"))-1)),""))</f>
        <v/>
      </c>
      <c r="DA19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6" s="42">
        <f>IF(Tasks[[#This Row],[_Pred2Text]]="","",TRIM(MID(SUBSTITUTE(SUBSTITUTE(SUBSTITUTE(UPPER(Tasks[[#This Row],[_Predecessors]]),";",",")," ",""),",",REPT(" ",99)),199,99)))</f>
        <v/>
      </c>
      <c r="DD196" s="42">
        <f>IF(Tasks[[#This Row],[_Pred3Text]]="","",IFERROR(VALUE(LEFT(Tasks[[#This Row],[_Pred3Text]],MIN(FIND("F",Tasks[[#This Row],[_Pred3Text]]&amp;"F"),FIND("S",Tasks[[#This Row],[_Pred3Text]]&amp;"S"),FIND("+",Tasks[[#This Row],[_Pred3Text]]&amp;"+"),FIND("-",Tasks[[#This Row],[_Pred3Text]]&amp;"-"))-1)),""))</f>
        <v/>
      </c>
      <c r="DE19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6" s="42">
        <f>IF(Tasks[[#This Row],[_Pred3Text]]="","",TRIM(MID(SUBSTITUTE(SUBSTITUTE(SUBSTITUTE(UPPER(Tasks[[#This Row],[_Predecessors]]),";",",")," ",""),",",REPT(" ",99)),298,99)))</f>
        <v/>
      </c>
      <c r="DH196" s="42">
        <f>IF(Tasks[[#This Row],[_Pred4Text]]="","",IFERROR(VALUE(LEFT(Tasks[[#This Row],[_Pred4Text]],MIN(FIND("F",Tasks[[#This Row],[_Pred4Text]]&amp;"F"),FIND("S",Tasks[[#This Row],[_Pred4Text]]&amp;"S"),FIND("+",Tasks[[#This Row],[_Pred4Text]]&amp;"+"),FIND("-",Tasks[[#This Row],[_Pred4Text]]&amp;"-"))-1)),""))</f>
        <v/>
      </c>
      <c r="DI19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6" s="42">
        <f>IF(OR(Tasks[[#This Row],[Task Name]]="",Tasks[[#This Row],[_Resources]]=""),"",TRIM(MID(SUBSTITUTE(Tasks[[#This Row],[_Resources]],",",REPT(" ",99)),1,99)))</f>
        <v/>
      </c>
      <c r="DL196" s="42">
        <f>IF(Tasks[[#This Row],[_Res1Text]]="","",TRIM(MID(SUBSTITUTE(Tasks[[#This Row],[_Resources]],",",REPT(" ",99)),100,99)))</f>
        <v/>
      </c>
      <c r="DM196" s="42">
        <f>IF(Tasks[[#This Row],[_Res2Text]]="","",TRIM(MID(SUBSTITUTE(Tasks[[#This Row],[_Resources]],",",REPT(" ",99)),199,99)))</f>
        <v/>
      </c>
      <c r="DN196" s="42">
        <f>IF(Tasks[[#This Row],[_Res3Text]]="","",TRIM(MID(SUBSTITUTE(Tasks[[#This Row],[_Resources]],",",REPT(" ",99)),298,99)))</f>
        <v/>
      </c>
      <c r="DO196" s="42">
        <f>IF(Tasks[[#This Row],[_Res1Text]]="",0,IFERROR(MATCH(TRIM(LEFT(Tasks[[#This Row],[_Res1Text]],FIND("[",Tasks[[#This Row],[_Res1Text]]&amp;"[")-1)),res_Name,0),IFERROR(MATCH(TRIM(LEFT(Tasks[[#This Row],[_Res1Text]],FIND("[",Tasks[[#This Row],[_Res1Text]]&amp;"[")-1)),res_Initials,0),0)))</f>
        <v/>
      </c>
      <c r="DP196" s="42">
        <f>IF(Tasks[[#This Row],[_Res2Text]]="",0,IFERROR(MATCH(TRIM(LEFT(Tasks[[#This Row],[_Res2Text]],FIND("[",Tasks[[#This Row],[_Res2Text]]&amp;"[")-1)),res_Name,0),IFERROR(MATCH(TRIM(LEFT(Tasks[[#This Row],[_Res2Text]],FIND("[",Tasks[[#This Row],[_Res2Text]]&amp;"[")-1)),res_Initials,0),0)))</f>
        <v/>
      </c>
      <c r="DQ196" s="42">
        <f>IF(Tasks[[#This Row],[_Res3Text]]="",0,IFERROR(MATCH(TRIM(LEFT(Tasks[[#This Row],[_Res3Text]],FIND("[",Tasks[[#This Row],[_Res3Text]]&amp;"[")-1)),res_Name,0),IFERROR(MATCH(TRIM(LEFT(Tasks[[#This Row],[_Res3Text]],FIND("[",Tasks[[#This Row],[_Res3Text]]&amp;"[")-1)),res_Initials,0),0)))</f>
        <v/>
      </c>
      <c r="DR196" s="42">
        <f>IF(Tasks[[#This Row],[_Res4Text]]="",0,IFERROR(MATCH(TRIM(LEFT(Tasks[[#This Row],[_Res4Text]],FIND("[",Tasks[[#This Row],[_Res4Text]]&amp;"[")-1)),res_Name,0),IFERROR(MATCH(TRIM(LEFT(Tasks[[#This Row],[_Res4Text]],FIND("[",Tasks[[#This Row],[_Res4Text]]&amp;"[")-1)),res_Initials,0),0)))</f>
        <v/>
      </c>
      <c r="DS196" s="42">
        <f>IF(Tasks[[#This Row],[_Res1Text]]="","",IF(Tasks[[#This Row],[_Res1Row]]&gt;0,INDEX(res_Name,Tasks[[#This Row],[_Res1Row]]),TRIM(LEFT(Tasks[[#This Row],[_Res1Text]],FIND("[",Tasks[[#This Row],[_Res1Text]]&amp;"[")-1))))</f>
        <v/>
      </c>
      <c r="DT19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6" s="42">
        <f>IF(NOT(Tasks[[#This Row],[_IsLeaf]]=1),0,(Tasks[[#This Row],[_Resource1]]&lt;&gt;"")+(Tasks[[#This Row],[_Res2]]&lt;&gt;"")+(Tasks[[#This Row],[_Res3]]&lt;&gt;"")+(Tasks[[#This Row],[_Res4]]&lt;&gt;""))</f>
        <v/>
      </c>
      <c r="DV196" s="42">
        <f>IF(Tasks[[#This Row],[_Res2Text]]="","",IF(Tasks[[#This Row],[_Res2Row]]&gt;0,INDEX(res_Name,Tasks[[#This Row],[_Res2Row]]),TRIM(LEFT(Tasks[[#This Row],[_Res2Text]],FIND("[",Tasks[[#This Row],[_Res2Text]]&amp;"[")-1))))</f>
        <v/>
      </c>
      <c r="DW19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6" s="42">
        <f>IF(OR(NOT(Tasks[[#This Row],[_IsLeaf]]=1),Tasks[[#This Row],[_Res2Row]]=0),0,N(Tasks[[#This Row],[_Days]])*HoursPerDay*IF(Tasks[[#This Row],[_Res2Units]]="",DefaultUnits,Tasks[[#This Row],[_Res2Units]]))</f>
        <v/>
      </c>
      <c r="DY196" s="42">
        <f>IF(AND(AND(Tasks[[#This Row],[_IsLeaf]]=1,Tasks[[#This Row],[_LeafTotalWork]]&gt;0),Tasks[[#This Row],[_Res2Work]]&gt;0),Tasks[[#This Row],[_Res2Work]]/(Tasks[[#This Row],[_FinishWorkday]]-Tasks[[#This Row],[_StartWorkday]]+1),0)</f>
        <v/>
      </c>
      <c r="DZ196" s="42">
        <f>Tasks[[#This Row],[_Res2WorkPerWD]]*MAX(0,Tasks[[#This Row],[_StartWorkday]]-1)</f>
        <v/>
      </c>
      <c r="EA196" s="42">
        <f>Tasks[[#This Row],[_Res2Work]]*Tasks[[#This Row],[_LeafProgress]]</f>
        <v/>
      </c>
      <c r="EB196" s="42">
        <f>IF(Tasks[[#This Row],[_Res3Text]]="","",IF(Tasks[[#This Row],[_Res3Row]]&gt;0,INDEX(res_Name,Tasks[[#This Row],[_Res3Row]]),TRIM(LEFT(Tasks[[#This Row],[_Res3Text]],FIND("[",Tasks[[#This Row],[_Res3Text]]&amp;"[")-1))))</f>
        <v/>
      </c>
      <c r="EC19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6" s="42">
        <f>IF(OR(NOT(Tasks[[#This Row],[_IsLeaf]]=1),Tasks[[#This Row],[_Res3Row]]=0),0,N(Tasks[[#This Row],[_Days]])*HoursPerDay*IF(Tasks[[#This Row],[_Res3Units]]="",DefaultUnits,Tasks[[#This Row],[_Res3Units]]))</f>
        <v/>
      </c>
      <c r="EE196" s="42">
        <f>IF(AND(AND(Tasks[[#This Row],[_IsLeaf]]=1,Tasks[[#This Row],[_LeafTotalWork]]&gt;0),Tasks[[#This Row],[_Res3Work]]&gt;0),Tasks[[#This Row],[_Res3Work]]/(Tasks[[#This Row],[_FinishWorkday]]-Tasks[[#This Row],[_StartWorkday]]+1),0)</f>
        <v/>
      </c>
      <c r="EF196" s="42">
        <f>Tasks[[#This Row],[_Res3WorkPerWD]]*MAX(0,Tasks[[#This Row],[_StartWorkday]]-1)</f>
        <v/>
      </c>
      <c r="EG196" s="42">
        <f>Tasks[[#This Row],[_Res3Work]]*Tasks[[#This Row],[_LeafProgress]]</f>
        <v/>
      </c>
      <c r="EH196" s="42">
        <f>IF(Tasks[[#This Row],[_Res4Text]]="","",IF(Tasks[[#This Row],[_Res4Row]]&gt;0,INDEX(res_Name,Tasks[[#This Row],[_Res4Row]]),TRIM(LEFT(Tasks[[#This Row],[_Res4Text]],FIND("[",Tasks[[#This Row],[_Res4Text]]&amp;"[")-1))))</f>
        <v/>
      </c>
      <c r="EI19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6" s="42">
        <f>IF(OR(NOT(Tasks[[#This Row],[_IsLeaf]]=1),Tasks[[#This Row],[_Res4Row]]=0),0,N(Tasks[[#This Row],[_Days]])*HoursPerDay*IF(Tasks[[#This Row],[_Res4Units]]="",DefaultUnits,Tasks[[#This Row],[_Res4Units]]))</f>
        <v/>
      </c>
      <c r="EK196" s="42">
        <f>IF(AND(AND(Tasks[[#This Row],[_IsLeaf]]=1,Tasks[[#This Row],[_LeafTotalWork]]&gt;0),Tasks[[#This Row],[_Res4Work]]&gt;0),Tasks[[#This Row],[_Res4Work]]/(Tasks[[#This Row],[_FinishWorkday]]-Tasks[[#This Row],[_StartWorkday]]+1),0)</f>
        <v/>
      </c>
      <c r="EL196" s="42">
        <f>Tasks[[#This Row],[_Res4WorkPerWD]]*MAX(0,Tasks[[#This Row],[_StartWorkday]]-1)</f>
        <v/>
      </c>
      <c r="EM196" s="42">
        <f>Tasks[[#This Row],[_Res4Work]]*Tasks[[#This Row],[_LeafProgress]]</f>
        <v/>
      </c>
      <c r="EN196" s="42">
        <f>IF(ISNUMBER(Tasks[[#This Row],[% Complete]]),Tasks[[#This Row],[% Complete]],IF(Tasks[[#This Row],[Stage]]="",0,IFERROR(INDEX(stg_Pct,MATCH(Tasks[[#This Row],[Stage]],stg_Name,0)),0)))</f>
        <v/>
      </c>
      <c r="EO196" s="42">
        <f>IF(NOT(Tasks[[#This Row],[_IsLeaf]]=1),0,IF(N(Tasks[[#This Row],[Actual Finish]])&gt;0,1,MIN(1,Tasks[[#This Row],[_Pct]])))</f>
        <v/>
      </c>
      <c r="EP196" s="42">
        <f>IF(OR(NOT(Tasks[[#This Row],[_IsLeaf]]=1),Tasks[[#This Row],[_Res1Row]]=0),0,N(Tasks[[#This Row],[_Days]])*HoursPerDay*IF(Tasks[[#This Row],[_Units1]]="",DefaultUnits,Tasks[[#This Row],[_Units1]]))</f>
        <v/>
      </c>
      <c r="EQ196" s="42">
        <f>Tasks[[#This Row],[_LeafWork]]+Tasks[[#This Row],[_Res2Work]]+Tasks[[#This Row],[_Res3Work]]+Tasks[[#This Row],[_Res4Work]]</f>
        <v/>
      </c>
      <c r="ER19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6" s="42">
        <f>IF(NOT(Tasks[[#This Row],[_IsLeaf]]=1),0,MAX(_xlfn.MAXIFS(Tasks[_Row],Tasks[_Pred1UID],Tasks[[#This Row],[UID]]),_xlfn.MAXIFS(Tasks[_Row],Tasks[_Pred2UID],Tasks[[#This Row],[UID]]),_xlfn.MAXIFS(Tasks[_Row],Tasks[_Pred3UID],Tasks[[#This Row],[UID]]),_xlfn.MAXIFS(Tasks[_Row],Tasks[_Pred4UID],Tasks[[#This Row],[UID]])))</f>
        <v/>
      </c>
      <c r="FA19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6" s="88">
        <f>IF(NOT(Tasks[[#This Row],[_IsLeaf]]=1),"",IF(N(Tasks[[#This Row],[_Days]])&lt;=0,Tasks[[#This Row],[_LeafLateFinish]],WORKDAY.INTL(Tasks[[#This Row],[_LeafLateFinish]],-(Tasks[[#This Row],[_Days]]-1),WorkWeek,Holidays)))</f>
        <v/>
      </c>
      <c r="FD19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6" s="42">
        <f>AND(Tasks[[#This Row],[_IsLeaf]]=1,Tasks[[#This Row],[_LeafProgress]]&lt;1,N(Tasks[[#This Row],[_LeafTotalSlack]])&lt;=CriticalSlackDays)</f>
        <v/>
      </c>
      <c r="FF196" s="42">
        <f>IF(AND(Tasks[[#This Row],[_IsLeaf]]=1,Tasks[[#This Row],[_ConstraintCode]]=1,Tasks[[#This Row],[Mode]]&lt;&gt;"Manual",N(Tasks[[#This Row],[Actual Start]])=0),MAX(0,N(Tasks[[#This Row],[Free Slack]])),0)</f>
        <v/>
      </c>
      <c r="FG196" s="88">
        <f>IF(NOT(Tasks[[#This Row],[_IsLeaf]]=1),"",IF(Tasks[[#This Row],[_AlapShift]]=0,Tasks[[#This Row],[_LeafCalcStart]],WORKDAY.INTL(Tasks[[#This Row],[_LeafCalcStart]],Tasks[[#This Row],[_AlapShift]],WorkWeek,Holidays)))</f>
        <v/>
      </c>
      <c r="FH196" s="88">
        <f>IF(NOT(Tasks[[#This Row],[_IsLeaf]]=1),"",IF(Tasks[[#This Row],[_AlapShift]]=0,Tasks[[#This Row],[_LeafCalcFinish]],WORKDAY.INTL(Tasks[[#This Row],[_LeafCalcFinish]],Tasks[[#This Row],[_AlapShift]],WorkWeek,Holidays)))</f>
        <v/>
      </c>
      <c r="FI196" s="88">
        <f>IF(NOT(Tasks[[#This Row],[_IsLeaf]]=1),"",IF(Tasks[[#This Row],[_AlapShift]]=0,Tasks[[#This Row],[_LeafFcstStart]],WORKDAY.INTL(Tasks[[#This Row],[_LeafFcstStart]],Tasks[[#This Row],[_AlapShift]],WorkWeek,Holidays)))</f>
        <v/>
      </c>
      <c r="FJ196" s="88">
        <f>IF(NOT(Tasks[[#This Row],[_IsLeaf]]=1),"",IF(Tasks[[#This Row],[_AlapShift]]=0,Tasks[[#This Row],[_LeafFcstFinish]],WORKDAY.INTL(Tasks[[#This Row],[_LeafFcstFinish]],Tasks[[#This Row],[_AlapShift]],WorkWeek,Holidays)))</f>
        <v/>
      </c>
      <c r="FK196" s="88">
        <f>IF(Tasks[[#This Row],[Task Name]]="","",IF(Tasks[[#This Row],[_IsSummary]],MIN(INDEX(Tasks[_ShownCalcStart],Tasks[[#This Row],[_Row]]+1):INDEX(Tasks[_ShownCalcStart],Tasks[[#This Row],[_Row]]+Tasks[[#This Row],[_Descendants]])),Tasks[[#This Row],[_ShownCalcStart]]))</f>
        <v/>
      </c>
      <c r="FL196" s="88">
        <f>IF(Tasks[[#This Row],[Task Name]]="","",IF(Tasks[[#This Row],[_IsSummary]],MAX(INDEX(Tasks[_ShownCalcFinish],Tasks[[#This Row],[_Row]]+1):INDEX(Tasks[_ShownCalcFinish],Tasks[[#This Row],[_Row]]+Tasks[[#This Row],[_Descendants]])),Tasks[[#This Row],[_ShownCalcFinish]]))</f>
        <v/>
      </c>
      <c r="FM19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6" s="42">
        <f>IF(AND(Tasks[[#This Row],[_IsLeaf]]=1,Tasks[[#This Row],[_LeafTotalWork]]&gt;0),NETWORKDAYS.INTL(ProjectStart,Tasks[[#This Row],[_ShownFcstStart]],WorkWeek,Holidays),0)</f>
        <v/>
      </c>
      <c r="FZ196" s="42">
        <f>IF(AND(Tasks[[#This Row],[_IsLeaf]]=1,Tasks[[#This Row],[_LeafTotalWork]]&gt;0),MAX(Tasks[[#This Row],[_StartWorkday]],NETWORKDAYS.INTL(ProjectStart,Tasks[[#This Row],[_ShownFcstFinish]],WorkWeek,Holidays)),0)</f>
        <v/>
      </c>
      <c r="GA196" s="42">
        <f>IF(AND(Tasks[[#This Row],[_IsLeaf]]=1,Tasks[[#This Row],[_LeafTotalWork]]&gt;0),Tasks[[#This Row],[_LeafWork]]/(Tasks[[#This Row],[_FinishWorkday]]-Tasks[[#This Row],[_StartWorkday]]+1),0)</f>
        <v/>
      </c>
      <c r="GB196" s="42">
        <f>Tasks[[#This Row],[_WorkPerWorkday]]*(Tasks[[#This Row],[_StartWorkday]]-1)</f>
        <v/>
      </c>
      <c r="GC196" s="42">
        <f>IF(Tasks[[#This Row],[_IsLeaf]]=1,MAX(N(Tasks[[#This Row],[_Days]]),0.1),0)</f>
        <v/>
      </c>
      <c r="GD196" s="42">
        <f>Tasks[[#This Row],[_WeightDur]]*Tasks[[#This Row],[_LeafProgress]]</f>
        <v/>
      </c>
      <c r="GE196" s="42">
        <f>Tasks[[#This Row],[_WeightDur]]*Tasks[[#This Row],[_PlannedPct]]</f>
        <v/>
      </c>
      <c r="GF19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6" s="42">
        <f>IF(AND(Tasks[[#This Row],[_IsLeaf]]=1,N(Tasks[[#This Row],[_Days]])=0,Tasks[[#This Row],[_LeafProgress]]&lt;1),Tasks[[#This Row],[_ShownFcstFinish]]+Tasks[[#This Row],[_Row]]/100000,"")</f>
        <v/>
      </c>
      <c r="GH19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6" s="42">
        <f>IF(Tasks[[#This Row],[Task Name]]="","",LEFT(Tasks[[#This Row],[WBS]],FIND(".",Tasks[[#This Row],[WBS]]&amp;".")-1))</f>
        <v/>
      </c>
      <c r="GJ196" s="42">
        <f>IF(AND(Tasks[[#This Row],[Task Name]]&lt;&gt;"",Tasks[[#This Row],[_Level]]=1),Tasks[[#This Row],[_Row]],"")</f>
        <v/>
      </c>
      <c r="GK196" s="42">
        <f>IF(AND(Tasks[[#This Row],[_IsLeaf]]=1,N(Tasks[[#This Row],[_Days]])=0),Tasks[[#This Row],[Planned Finish]]+Tasks[[#This Row],[_Row]]/100000,"")</f>
        <v/>
      </c>
      <c r="GL196" s="42">
        <f>IF(AND(Tasks[[#This Row],[_IsLeaf]]=1,Tasks[[#This Row],[_LeafProgress]]&lt;1,OR(N(Tasks[[#This Row],[Finish Var]])&gt;0,Tasks[[#This Row],[Status]]="Late Start")),MAX(0,Tasks[[#This Row],[Finish Var]])+1-Tasks[[#This Row],[_Row]]/1000000,"")</f>
        <v/>
      </c>
      <c r="GM196" s="42">
        <f>IF(AND(Tasks[[#This Row],[_IsLeaf]]=1,N(Tasks[[#This Row],[Actual Start]])=0,Tasks[[#This Row],[_ShownFcstStart]]&gt;=StatusDate,Tasks[[#This Row],[_ShownFcstStart]]&lt;=LookaheadEnd),Tasks[[#This Row],[_ShownFcstStart]]+Tasks[[#This Row],[_Row]]/100000,"")</f>
        <v/>
      </c>
      <c r="GN196" s="42">
        <f>IF(AND(Tasks[[#This Row],[_IsLeaf]]=1,Tasks[[#This Row],[_LeafProgress]]&lt;1,Tasks[[#This Row],[_ShownFcstFinish]]&gt;=StatusDate,Tasks[[#This Row],[_ShownFcstFinish]]&lt;=LookaheadEnd),Tasks[[#This Row],[_ShownFcstFinish]]+Tasks[[#This Row],[_Row]]/100000,"")</f>
        <v/>
      </c>
      <c r="GO196" s="42">
        <f>IF(Tasks[[#This Row],[_LeafCritical]],Tasks[[#This Row],[_ShownFcstStart]]+Tasks[[#This Row],[_Row]]/100000,"")</f>
        <v/>
      </c>
      <c r="GP196" s="42">
        <f>Tasks[[#This Row],[_LeafWork]]*Tasks[[#This Row],[_LeafProgress]]</f>
        <v/>
      </c>
      <c r="GQ196" s="88">
        <f>IF(AND(Tasks[[#This Row],[_IsLeaf]]=1,Tasks[[#This Row],[_LeafProgress]]&gt;=1),IF(N(Tasks[[#This Row],[Actual Finish]])&gt;0,Tasks[[#This Row],[Actual Finish]],Tasks[[#This Row],[_ShownFcstFinish]]),"")</f>
        <v/>
      </c>
      <c r="GR196" s="42">
        <f>IF(Tasks[[#This Row],[_IsLeaf]]=1,N(Tasks[[#This Row],[Story Points]]),0)</f>
        <v/>
      </c>
      <c r="GS196" s="42">
        <f>""</f>
        <v/>
      </c>
      <c r="GT196" s="42">
        <f>IF(Tasks[[#This Row],[Task Name]]="",FALSE(),AND(Tasks[[#This Row],[_IsLeaf]]=1,N(Tasks[[#This Row],[_Days]])=0))</f>
        <v/>
      </c>
      <c r="GU196" s="88">
        <f>IF(Tasks[[#This Row],[Task Name]]="",0,IF(AND(Tasks[[#This Row],[_IsLeaf]]=1,NOT(Tasks[[#This Row],[_IsMilestone]]),N(Tasks[[#This Row],[Progress]])&gt;0),Tasks[[#This Row],[Start]],0))</f>
        <v/>
      </c>
      <c r="GV196" s="88">
        <f>IF(Tasks[[#This Row],[_DoneFrom]]=0,0,IF(Tasks[[#This Row],[Progress]]&gt;=1,Tasks[[#This Row],[Finish]],MAX(Tasks[[#This Row],[_DoneFrom]],Tasks[[#This Row],[Start]]+ROUND((Tasks[[#This Row],[Finish]]-Tasks[[#This Row],[Start]]+1)*Tasks[[#This Row],[Progress]],0)-1)))</f>
        <v/>
      </c>
      <c r="GW196" s="88">
        <f>IF(Tasks[[#This Row],[Task Name]]="",0,IF(OR(NOT(Tasks[[#This Row],[_IsLeaf]]=1),Tasks[[#This Row],[_IsMilestone]],N(Tasks[[#This Row],[Progress]])&gt;=1),0,IF(Tasks[[#This Row],[_DoneTo]]&gt;0,Tasks[[#This Row],[_DoneTo]]+1,Tasks[[#This Row],[Start]])))</f>
        <v/>
      </c>
      <c r="GX196" s="88">
        <f>IF(Tasks[[#This Row],[_RemFrom]]=0,0,Tasks[[#This Row],[Finish]])</f>
        <v/>
      </c>
      <c r="GY196" s="42">
        <f>IF(Tasks[[#This Row],[Task Name]]="",FALSE(),OR(NOT(BaselineSet),N(Tasks[[#This Row],[Baseline Start]])&gt;0))</f>
        <v/>
      </c>
      <c r="GZ196" s="42">
        <f>IF(AND(Sandbox="Yes",L_PARSE_DURATION(Tasks[[#This Row],[Sandbox Duration]])&lt;&gt;""),L_PARSE_DURATION(Tasks[[#This Row],[Sandbox Duration]]),L_PARSE_DURATION(Tasks[[#This Row],[Duration]]))</f>
        <v/>
      </c>
      <c r="HA196"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6" s="42">
        <f>IF(Tasks[[#This Row],[_IsLeaf]]=1,Tasks[[#This Row],[_Row]],"")</f>
        <v/>
      </c>
      <c r="HD196" s="42">
        <f>IFERROR(INDEX(Tasks[UID],SMALL(Tasks[_PickKey],Tasks[[#This Row],[_Row]]))&amp;" "&amp;INDEX(Tasks[Task Name],SMALL(Tasks[_PickKey],Tasks[[#This Row],[_Row]])),"")</f>
        <v/>
      </c>
      <c r="HE196" s="42">
        <f>IF(Tasks[[#This Row],[Task Name]]="","",IF(Tasks[[#This Row],[_IsSummary]],NETWORKDAYS.INTL(Tasks[[#This Row],[Start]],Tasks[[#This Row],[Finish]],WorkWeek,Holidays),N(Tasks[[#This Row],[_Days]])))</f>
        <v/>
      </c>
      <c r="HF196" s="42">
        <f>IF(Tasks[[#This Row],[Expected]]="",0,((Tasks[[#This Row],[Pessimistic]]-Tasks[[#This Row],[Optimistic]])/6)^2)</f>
        <v/>
      </c>
      <c r="HG196" s="42">
        <f>IF(Tasks[[#This Row],[Expected]]="",0,Tasks[[#This Row],[Expected]]-N(Tasks[[#This Row],[_Days]]))</f>
        <v/>
      </c>
    </row>
    <row r="197">
      <c r="A197" s="21">
        <f>IF(Tasks[[#This Row],[Task Name]]="","",COUNTA(Tasks[[#Headers],[Task Name]]:Tasks[[#This Row],[Task Name]])-1)</f>
        <v/>
      </c>
      <c r="B197" s="22" t="n">
        <v>205</v>
      </c>
      <c r="C197" s="22" t="n"/>
      <c r="D197" s="23" t="n"/>
      <c r="E197" s="22" t="n"/>
      <c r="F197" s="23" t="n"/>
      <c r="G197" s="22" t="n"/>
      <c r="H197" s="22" t="n"/>
      <c r="I197" s="23" t="n"/>
      <c r="J197" s="22" t="n"/>
      <c r="K197" s="22" t="n"/>
      <c r="L197" s="23" t="n"/>
      <c r="M197" s="22" t="n"/>
      <c r="N197" s="22" t="n"/>
      <c r="O197" s="23" t="n"/>
      <c r="P197" s="22" t="n"/>
      <c r="Q197" s="22" t="n"/>
      <c r="R197" s="23" t="n"/>
      <c r="S197" s="23" t="n"/>
      <c r="T197" s="82" t="n"/>
      <c r="U197" s="23" t="n"/>
      <c r="V197" s="82" t="n"/>
      <c r="W197" s="23" t="n"/>
      <c r="X197" s="82" t="n"/>
      <c r="Y197" s="23" t="n"/>
      <c r="Z197" s="82" t="n"/>
      <c r="AA197" s="23" t="n"/>
      <c r="AB197" s="23" t="n"/>
      <c r="AC197" s="7" t="n"/>
      <c r="AD197" s="7" t="n"/>
      <c r="AE197" s="61">
        <f>IF(Tasks[[#This Row],[Task Name]]="","",IF(Tasks[[#This Row],[_IsSummary]],MIN(INDEX(Tasks[_ShownFcstStart],Tasks[[#This Row],[_Row]]+1):INDEX(Tasks[_ShownFcstStart],Tasks[[#This Row],[_Row]]+Tasks[[#This Row],[_Descendants]])),Tasks[[#This Row],[_ShownFcstStart]]))</f>
        <v/>
      </c>
      <c r="AF197" s="61">
        <f>IF(Tasks[[#This Row],[Task Name]]="","",IF(Tasks[[#This Row],[_IsSummary]],MAX(INDEX(Tasks[_ShownFcstFinish],Tasks[[#This Row],[_Row]]+1):INDEX(Tasks[_ShownFcstFinish],Tasks[[#This Row],[_Row]]+Tasks[[#This Row],[_Descendants]])),Tasks[[#This Row],[_ShownFcstFinish]]))</f>
        <v/>
      </c>
      <c r="AG197" s="21">
        <f>""</f>
        <v/>
      </c>
      <c r="AH197" s="23" t="n"/>
      <c r="AI19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7" s="7" t="n"/>
      <c r="AK197" s="22" t="n"/>
      <c r="AL197" s="23" t="n"/>
      <c r="AM197" s="7" t="n"/>
      <c r="AN197" s="21">
        <f>IF(Tasks[[#This Row],[Task Name]]="","",IF(Tasks[[#This Row],[Finish]]&gt;=Tasks[[#This Row],[Planned Finish]],NETWORKDAYS.INTL(Tasks[[#This Row],[Planned Finish]],Tasks[[#This Row],[Finish]],WorkWeek,Holidays)-1,1-NETWORKDAYS.INTL(Tasks[[#This Row],[Finish]],Tasks[[#This Row],[Planned Finish]],WorkWeek,Holidays)))</f>
        <v/>
      </c>
      <c r="AO197" s="21">
        <f>IF(Tasks[[#This Row],[Task Name]]="","",IF(Tasks[[#This Row],[Progress]]&gt;=1,"Complete",IF(OR(N(Tasks[[#This Row],[Actual Start]])&gt;0,Tasks[[#This Row],[Progress]]&gt;0),IF(Tasks[[#This Row],[Finish Var]]&gt;0,"Behind","In Progress"),IF(Tasks[[#This Row],[Planned Start]]&lt;StatusDate,"Late Start","Not Started"))))</f>
        <v/>
      </c>
      <c r="AP197" s="21">
        <f>IF(Tasks[[#This Row],[Task Name]]="","",IF(IF(Tasks[[#This Row],[_IsSummary]],COUNTIF(INDEX(Tasks[_LeafCritical],Tasks[[#This Row],[_Row]]+1):INDEX(Tasks[_LeafCritical],Tasks[[#This Row],[_Row]]+Tasks[[#This Row],[_Descendants]]),TRUE())&gt;0,Tasks[[#This Row],[_LeafCritical]]),"Yes",""))</f>
        <v/>
      </c>
      <c r="AQ197" s="61">
        <f>IF(Tasks[[#This Row],[Task Name]]="","",IF(N(Tasks[[#This Row],[Baseline Start]])&gt;0,Tasks[[#This Row],[Baseline Start]],Tasks[[#This Row],[_CalcStart]]))</f>
        <v/>
      </c>
      <c r="AR197" s="61">
        <f>IF(Tasks[[#This Row],[Task Name]]="","",IF(N(Tasks[[#This Row],[Baseline Finish]])&gt;0,Tasks[[#This Row],[Baseline Finish]],Tasks[[#This Row],[_CalcFinish]]))</f>
        <v/>
      </c>
      <c r="AS197" s="21">
        <f>IF(Tasks[[#This Row],[Task Name]]="","",IF(Tasks[[#This Row],[Start]]&gt;=Tasks[[#This Row],[Planned Start]],NETWORKDAYS.INTL(Tasks[[#This Row],[Planned Start]],Tasks[[#This Row],[Start]],WorkWeek,Holidays)-1,1-NETWORKDAYS.INTL(Tasks[[#This Row],[Start]],Tasks[[#This Row],[Planned Start]],WorkWeek,Holidays)))</f>
        <v/>
      </c>
      <c r="AT197" s="61">
        <f>IF(Tasks[[#This Row],[Task Name]]="","",IF(Tasks[[#This Row],[_IsSummary]],MIN(INDEX(Tasks[_LeafLateStart],Tasks[[#This Row],[_Row]]+1):INDEX(Tasks[_LeafLateStart],Tasks[[#This Row],[_Row]]+Tasks[[#This Row],[_Descendants]])),Tasks[[#This Row],[_LeafLateStart]]))</f>
        <v/>
      </c>
      <c r="AU197" s="61">
        <f>IF(Tasks[[#This Row],[Task Name]]="","",IF(Tasks[[#This Row],[_IsSummary]],MAX(INDEX(Tasks[_LeafLateFinish],Tasks[[#This Row],[_Row]]+1):INDEX(Tasks[_LeafLateFinish],Tasks[[#This Row],[_Row]]+Tasks[[#This Row],[_Descendants]])),Tasks[[#This Row],[_LeafLateFinish]]))</f>
        <v/>
      </c>
      <c r="AV197" s="21">
        <f>IF(Tasks[[#This Row],[Task Name]]="","",IF(Tasks[[#This Row],[_IsSummary]],MIN(INDEX(Tasks[_LeafTotalSlack],Tasks[[#This Row],[_Row]]+1):INDEX(Tasks[_LeafTotalSlack],Tasks[[#This Row],[_Row]]+Tasks[[#This Row],[_Descendants]])),Tasks[[#This Row],[_LeafTotalSlack]]))</f>
        <v/>
      </c>
      <c r="AW19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3" t="n"/>
      <c r="BA19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f>IF(Tasks[[#This Row],[Task Name]]="","",IF(Tasks[[#This Row],[_Level]]&lt;=OutlineShowLevel,"Yes","No"))</f>
        <v/>
      </c>
      <c r="BE197" s="84">
        <f>IF(Tasks[[#This Row],[Task Name]]="","",IF(Tasks[[#This Row],[_IsSummary]],SUM(INDEX(Tasks[_LeafTotalWork],Tasks[[#This Row],[_Row]]+1):INDEX(Tasks[_LeafTotalWork],Tasks[[#This Row],[_Row]]+Tasks[[#This Row],[_Descendants]])),Tasks[[#This Row],[_LeafTotalWork]]))</f>
        <v/>
      </c>
      <c r="BF197" s="23" t="n"/>
      <c r="BG19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f>""</f>
        <v/>
      </c>
      <c r="BI197" s="85" t="n"/>
      <c r="BJ197" s="22" t="n"/>
      <c r="BK197" s="21">
        <f>IF(OR(Tasks[[#This Row],[Task Name]]="",Tasks[[#This Row],[Baseline Duration]]=""),"",Tasks[[#This Row],[_SpanDays]]-N(Tasks[[#This Row],[Baseline Duration]]))</f>
        <v/>
      </c>
      <c r="BL197" s="84">
        <f>IF(OR(Tasks[[#This Row],[Task Name]]="",Tasks[[#This Row],[Baseline Work]]=""),"",Tasks[[#This Row],[Work]]-N(Tasks[[#This Row],[Baseline Work]]))</f>
        <v/>
      </c>
      <c r="BM197" s="61">
        <f>IF(Tasks[[#This Row],[Task Name]]="","",IF(OR(TakeBaseline="Yes",N(Tasks[[#This Row],[Baseline Start]])=0),Tasks[[#This Row],[Start]],Tasks[[#This Row],[Baseline Start]]))</f>
        <v/>
      </c>
      <c r="BN197" s="61">
        <f>IF(Tasks[[#This Row],[Task Name]]="","",IF(OR(TakeBaseline="Yes",N(Tasks[[#This Row],[Baseline Finish]])=0),Tasks[[#This Row],[Finish]],Tasks[[#This Row],[Baseline Finish]]))</f>
        <v/>
      </c>
      <c r="BO197" s="21">
        <f>IF(Tasks[[#This Row],[Task Name]]="","",IF(OR(TakeBaseline="Yes",N(Tasks[[#This Row],[Baseline Duration]])=0),Tasks[[#This Row],[_SpanDays]],Tasks[[#This Row],[Baseline Duration]]))</f>
        <v/>
      </c>
      <c r="BP197" s="84">
        <f>IF(Tasks[[#This Row],[Task Name]]="","",IF(OR(TakeBaseline="Yes",N(Tasks[[#This Row],[Baseline Work]])=0),Tasks[[#This Row],[Work]],Tasks[[#This Row],[Baseline Work]]))</f>
        <v/>
      </c>
      <c r="BQ197" s="7" t="n"/>
      <c r="BR197" s="7" t="n"/>
      <c r="BS197" s="22" t="n"/>
      <c r="BT197" s="86" t="n"/>
      <c r="BU197" s="23" t="n"/>
      <c r="BV197" s="23" t="n"/>
      <c r="BW197" s="23" t="n"/>
      <c r="BX197" s="87">
        <f>IF(AND(Tasks[[#This Row],[_IsLeaf]]=1,ISNUMBER(Tasks[[#This Row],[Optimistic]]),ISNUMBER(Tasks[[#This Row],[Pessimistic]])),ROUND((Tasks[[#This Row],[Optimistic]]+4*N(Tasks[[#This Row],[_Days]])+Tasks[[#This Row],[Pessimistic]])/6,1),"")</f>
        <v/>
      </c>
      <c r="BY197" s="85" t="n"/>
      <c r="BZ197" s="85" t="n"/>
      <c r="CA197" s="22" t="n"/>
      <c r="CB197" s="42">
        <f>IF(Tasks[[#This Row],[Task Name]]="","",MAX(1,N(Tasks[[#This Row],[Level]])))</f>
        <v/>
      </c>
      <c r="CC197" s="42">
        <f>ROW()-ROW(Tasks[[#Headers],[ID]])</f>
        <v/>
      </c>
      <c r="CD197" s="42">
        <f>IF(OR(Tasks[[#This Row],[Task Name]]="",Tasks[[#This Row],[_Level]]&lt;=1),0,IFERROR(LOOKUP(2,1/(Tasks[[#Headers],[_Level]]:Tasks[[#This Row],[_Level]]=Tasks[[#This Row],[_Level]]-1),ROW(Tasks[[#Headers],[_Level]]:Tasks[[#This Row],[_Level]])),0))</f>
        <v/>
      </c>
      <c r="CE197" s="42">
        <f>IFERROR(N(INDEX(Tasks[_Level],Tasks[[#This Row],[_Row]]+1)),0)</f>
        <v/>
      </c>
      <c r="CF197" s="42">
        <f>AND(Tasks[[#This Row],[Task Name]]&lt;&gt;"",Tasks[[#This Row],[_NextLevel]]&gt;Tasks[[#This Row],[_Level]])</f>
        <v/>
      </c>
      <c r="CG197" s="42">
        <f>IF(Tasks[[#This Row],[_IsSummary]],COUNTIF(Tasks[WBS],Tasks[[#This Row],[WBS]]&amp;".*"),0)</f>
        <v/>
      </c>
      <c r="CH197" s="42">
        <f>IF(AND(Tasks[[#This Row],[Task Name]]&lt;&gt;"",NOT(Tasks[[#This Row],[_IsSummary]])),1,0)</f>
        <v/>
      </c>
      <c r="CI197" s="42">
        <f>IF(N(Tasks[[#This Row],[_Pred1UID]])=0,0,IFERROR(MATCH(Tasks[[#This Row],[_Pred1UID]],Tasks[UID],0),-1))</f>
        <v/>
      </c>
      <c r="CJ197" s="42">
        <f>IF(N(Tasks[[#This Row],[_Pred2UID]])=0,0,IFERROR(MATCH(Tasks[[#This Row],[_Pred2UID]],Tasks[UID],0),-1))</f>
        <v/>
      </c>
      <c r="CK197" s="42">
        <f>IF(N(Tasks[[#This Row],[_Pred3UID]])=0,0,IFERROR(MATCH(Tasks[[#This Row],[_Pred3UID]],Tasks[UID],0),-1))</f>
        <v/>
      </c>
      <c r="CL197" s="42">
        <f>IF(N(Tasks[[#This Row],[_Pred4UID]])=0,0,IFERROR(MATCH(Tasks[[#This Row],[_Pred4UID]],Tasks[UID],0),-1))</f>
        <v/>
      </c>
      <c r="CM19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7" s="88">
        <f>IF(N(Tasks[[#This Row],[Constraint Date]])=0,0,IF(AND(OR(Tasks[[#This Row],[_ConstraintCode]]=3,Tasks[[#This Row],[_ConstraintCode]]=6,Tasks[[#This Row],[_ConstraintCode]]=7),N(Tasks[[#This Row],[_Days]])&gt;1),WORKDAY.INTL(N(Tasks[[#This Row],[Constraint Date]]),-(N(Tasks[[#This Row],[_Days]])-1),WorkWeek,Holidays),N(Tasks[[#This Row],[Constraint Date]])))</f>
        <v/>
      </c>
      <c r="CO197" s="88">
        <f>IF(OR(Tasks[[#This Row],[_ConstraintCode]]=2,Tasks[[#This Row],[_ConstraintCode]]=3,Tasks[[#This Row],[_ConstraintCode]]=4,Tasks[[#This Row],[_ConstraintCode]]=6),Tasks[[#This Row],[_ConstraintStart]],0)</f>
        <v/>
      </c>
      <c r="CP197" s="88">
        <f>IF(OR(Tasks[[#This Row],[_ConstraintCode]]=2,Tasks[[#This Row],[_ConstraintCode]]=3,Tasks[[#This Row],[_ConstraintCode]]=5,Tasks[[#This Row],[_ConstraintCode]]=7),Tasks[[#This Row],[_ConstraintStart]],2958465)</f>
        <v/>
      </c>
      <c r="CQ19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7" s="88">
        <f>IF(NOT(Tasks[[#This Row],[_IsLeaf]]=1),"",IF(N(Tasks[[#This Row],[_Days]])&lt;=0,Tasks[[#This Row],[_LeafCalcStart]],WORKDAY.INTL(Tasks[[#This Row],[_LeafCalcStart]],Tasks[[#This Row],[_Days]]-1,WorkWeek,Holidays)))</f>
        <v/>
      </c>
      <c r="CS19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7" s="42">
        <f>IF(Tasks[[#This Row],[_Predecessors]]="","",TRIM(MID(SUBSTITUTE(SUBSTITUTE(SUBSTITUTE(UPPER(Tasks[[#This Row],[_Predecessors]]),";",",")," ",""),",",REPT(" ",99)),1,99)))</f>
        <v/>
      </c>
      <c r="CV197" s="42">
        <f>IF(Tasks[[#This Row],[_Pred1Text]]="","",IFERROR(VALUE(LEFT(Tasks[[#This Row],[_Pred1Text]],MIN(FIND("F",Tasks[[#This Row],[_Pred1Text]]&amp;"F"),FIND("S",Tasks[[#This Row],[_Pred1Text]]&amp;"S"),FIND("+",Tasks[[#This Row],[_Pred1Text]]&amp;"+"),FIND("-",Tasks[[#This Row],[_Pred1Text]]&amp;"-"))-1)),""))</f>
        <v/>
      </c>
      <c r="CW19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7" s="42">
        <f>IF(Tasks[[#This Row],[_Pred1Text]]="","",TRIM(MID(SUBSTITUTE(SUBSTITUTE(SUBSTITUTE(UPPER(Tasks[[#This Row],[_Predecessors]]),";",",")," ",""),",",REPT(" ",99)),100,99)))</f>
        <v/>
      </c>
      <c r="CZ197" s="42">
        <f>IF(Tasks[[#This Row],[_Pred2Text]]="","",IFERROR(VALUE(LEFT(Tasks[[#This Row],[_Pred2Text]],MIN(FIND("F",Tasks[[#This Row],[_Pred2Text]]&amp;"F"),FIND("S",Tasks[[#This Row],[_Pred2Text]]&amp;"S"),FIND("+",Tasks[[#This Row],[_Pred2Text]]&amp;"+"),FIND("-",Tasks[[#This Row],[_Pred2Text]]&amp;"-"))-1)),""))</f>
        <v/>
      </c>
      <c r="DA19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7" s="42">
        <f>IF(Tasks[[#This Row],[_Pred2Text]]="","",TRIM(MID(SUBSTITUTE(SUBSTITUTE(SUBSTITUTE(UPPER(Tasks[[#This Row],[_Predecessors]]),";",",")," ",""),",",REPT(" ",99)),199,99)))</f>
        <v/>
      </c>
      <c r="DD197" s="42">
        <f>IF(Tasks[[#This Row],[_Pred3Text]]="","",IFERROR(VALUE(LEFT(Tasks[[#This Row],[_Pred3Text]],MIN(FIND("F",Tasks[[#This Row],[_Pred3Text]]&amp;"F"),FIND("S",Tasks[[#This Row],[_Pred3Text]]&amp;"S"),FIND("+",Tasks[[#This Row],[_Pred3Text]]&amp;"+"),FIND("-",Tasks[[#This Row],[_Pred3Text]]&amp;"-"))-1)),""))</f>
        <v/>
      </c>
      <c r="DE19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7" s="42">
        <f>IF(Tasks[[#This Row],[_Pred3Text]]="","",TRIM(MID(SUBSTITUTE(SUBSTITUTE(SUBSTITUTE(UPPER(Tasks[[#This Row],[_Predecessors]]),";",",")," ",""),",",REPT(" ",99)),298,99)))</f>
        <v/>
      </c>
      <c r="DH197" s="42">
        <f>IF(Tasks[[#This Row],[_Pred4Text]]="","",IFERROR(VALUE(LEFT(Tasks[[#This Row],[_Pred4Text]],MIN(FIND("F",Tasks[[#This Row],[_Pred4Text]]&amp;"F"),FIND("S",Tasks[[#This Row],[_Pred4Text]]&amp;"S"),FIND("+",Tasks[[#This Row],[_Pred4Text]]&amp;"+"),FIND("-",Tasks[[#This Row],[_Pred4Text]]&amp;"-"))-1)),""))</f>
        <v/>
      </c>
      <c r="DI19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7" s="42">
        <f>IF(OR(Tasks[[#This Row],[Task Name]]="",Tasks[[#This Row],[_Resources]]=""),"",TRIM(MID(SUBSTITUTE(Tasks[[#This Row],[_Resources]],",",REPT(" ",99)),1,99)))</f>
        <v/>
      </c>
      <c r="DL197" s="42">
        <f>IF(Tasks[[#This Row],[_Res1Text]]="","",TRIM(MID(SUBSTITUTE(Tasks[[#This Row],[_Resources]],",",REPT(" ",99)),100,99)))</f>
        <v/>
      </c>
      <c r="DM197" s="42">
        <f>IF(Tasks[[#This Row],[_Res2Text]]="","",TRIM(MID(SUBSTITUTE(Tasks[[#This Row],[_Resources]],",",REPT(" ",99)),199,99)))</f>
        <v/>
      </c>
      <c r="DN197" s="42">
        <f>IF(Tasks[[#This Row],[_Res3Text]]="","",TRIM(MID(SUBSTITUTE(Tasks[[#This Row],[_Resources]],",",REPT(" ",99)),298,99)))</f>
        <v/>
      </c>
      <c r="DO197" s="42">
        <f>IF(Tasks[[#This Row],[_Res1Text]]="",0,IFERROR(MATCH(TRIM(LEFT(Tasks[[#This Row],[_Res1Text]],FIND("[",Tasks[[#This Row],[_Res1Text]]&amp;"[")-1)),res_Name,0),IFERROR(MATCH(TRIM(LEFT(Tasks[[#This Row],[_Res1Text]],FIND("[",Tasks[[#This Row],[_Res1Text]]&amp;"[")-1)),res_Initials,0),0)))</f>
        <v/>
      </c>
      <c r="DP197" s="42">
        <f>IF(Tasks[[#This Row],[_Res2Text]]="",0,IFERROR(MATCH(TRIM(LEFT(Tasks[[#This Row],[_Res2Text]],FIND("[",Tasks[[#This Row],[_Res2Text]]&amp;"[")-1)),res_Name,0),IFERROR(MATCH(TRIM(LEFT(Tasks[[#This Row],[_Res2Text]],FIND("[",Tasks[[#This Row],[_Res2Text]]&amp;"[")-1)),res_Initials,0),0)))</f>
        <v/>
      </c>
      <c r="DQ197" s="42">
        <f>IF(Tasks[[#This Row],[_Res3Text]]="",0,IFERROR(MATCH(TRIM(LEFT(Tasks[[#This Row],[_Res3Text]],FIND("[",Tasks[[#This Row],[_Res3Text]]&amp;"[")-1)),res_Name,0),IFERROR(MATCH(TRIM(LEFT(Tasks[[#This Row],[_Res3Text]],FIND("[",Tasks[[#This Row],[_Res3Text]]&amp;"[")-1)),res_Initials,0),0)))</f>
        <v/>
      </c>
      <c r="DR197" s="42">
        <f>IF(Tasks[[#This Row],[_Res4Text]]="",0,IFERROR(MATCH(TRIM(LEFT(Tasks[[#This Row],[_Res4Text]],FIND("[",Tasks[[#This Row],[_Res4Text]]&amp;"[")-1)),res_Name,0),IFERROR(MATCH(TRIM(LEFT(Tasks[[#This Row],[_Res4Text]],FIND("[",Tasks[[#This Row],[_Res4Text]]&amp;"[")-1)),res_Initials,0),0)))</f>
        <v/>
      </c>
      <c r="DS197" s="42">
        <f>IF(Tasks[[#This Row],[_Res1Text]]="","",IF(Tasks[[#This Row],[_Res1Row]]&gt;0,INDEX(res_Name,Tasks[[#This Row],[_Res1Row]]),TRIM(LEFT(Tasks[[#This Row],[_Res1Text]],FIND("[",Tasks[[#This Row],[_Res1Text]]&amp;"[")-1))))</f>
        <v/>
      </c>
      <c r="DT19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7" s="42">
        <f>IF(NOT(Tasks[[#This Row],[_IsLeaf]]=1),0,(Tasks[[#This Row],[_Resource1]]&lt;&gt;"")+(Tasks[[#This Row],[_Res2]]&lt;&gt;"")+(Tasks[[#This Row],[_Res3]]&lt;&gt;"")+(Tasks[[#This Row],[_Res4]]&lt;&gt;""))</f>
        <v/>
      </c>
      <c r="DV197" s="42">
        <f>IF(Tasks[[#This Row],[_Res2Text]]="","",IF(Tasks[[#This Row],[_Res2Row]]&gt;0,INDEX(res_Name,Tasks[[#This Row],[_Res2Row]]),TRIM(LEFT(Tasks[[#This Row],[_Res2Text]],FIND("[",Tasks[[#This Row],[_Res2Text]]&amp;"[")-1))))</f>
        <v/>
      </c>
      <c r="DW19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7" s="42">
        <f>IF(OR(NOT(Tasks[[#This Row],[_IsLeaf]]=1),Tasks[[#This Row],[_Res2Row]]=0),0,N(Tasks[[#This Row],[_Days]])*HoursPerDay*IF(Tasks[[#This Row],[_Res2Units]]="",DefaultUnits,Tasks[[#This Row],[_Res2Units]]))</f>
        <v/>
      </c>
      <c r="DY197" s="42">
        <f>IF(AND(AND(Tasks[[#This Row],[_IsLeaf]]=1,Tasks[[#This Row],[_LeafTotalWork]]&gt;0),Tasks[[#This Row],[_Res2Work]]&gt;0),Tasks[[#This Row],[_Res2Work]]/(Tasks[[#This Row],[_FinishWorkday]]-Tasks[[#This Row],[_StartWorkday]]+1),0)</f>
        <v/>
      </c>
      <c r="DZ197" s="42">
        <f>Tasks[[#This Row],[_Res2WorkPerWD]]*MAX(0,Tasks[[#This Row],[_StartWorkday]]-1)</f>
        <v/>
      </c>
      <c r="EA197" s="42">
        <f>Tasks[[#This Row],[_Res2Work]]*Tasks[[#This Row],[_LeafProgress]]</f>
        <v/>
      </c>
      <c r="EB197" s="42">
        <f>IF(Tasks[[#This Row],[_Res3Text]]="","",IF(Tasks[[#This Row],[_Res3Row]]&gt;0,INDEX(res_Name,Tasks[[#This Row],[_Res3Row]]),TRIM(LEFT(Tasks[[#This Row],[_Res3Text]],FIND("[",Tasks[[#This Row],[_Res3Text]]&amp;"[")-1))))</f>
        <v/>
      </c>
      <c r="EC19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7" s="42">
        <f>IF(OR(NOT(Tasks[[#This Row],[_IsLeaf]]=1),Tasks[[#This Row],[_Res3Row]]=0),0,N(Tasks[[#This Row],[_Days]])*HoursPerDay*IF(Tasks[[#This Row],[_Res3Units]]="",DefaultUnits,Tasks[[#This Row],[_Res3Units]]))</f>
        <v/>
      </c>
      <c r="EE197" s="42">
        <f>IF(AND(AND(Tasks[[#This Row],[_IsLeaf]]=1,Tasks[[#This Row],[_LeafTotalWork]]&gt;0),Tasks[[#This Row],[_Res3Work]]&gt;0),Tasks[[#This Row],[_Res3Work]]/(Tasks[[#This Row],[_FinishWorkday]]-Tasks[[#This Row],[_StartWorkday]]+1),0)</f>
        <v/>
      </c>
      <c r="EF197" s="42">
        <f>Tasks[[#This Row],[_Res3WorkPerWD]]*MAX(0,Tasks[[#This Row],[_StartWorkday]]-1)</f>
        <v/>
      </c>
      <c r="EG197" s="42">
        <f>Tasks[[#This Row],[_Res3Work]]*Tasks[[#This Row],[_LeafProgress]]</f>
        <v/>
      </c>
      <c r="EH197" s="42">
        <f>IF(Tasks[[#This Row],[_Res4Text]]="","",IF(Tasks[[#This Row],[_Res4Row]]&gt;0,INDEX(res_Name,Tasks[[#This Row],[_Res4Row]]),TRIM(LEFT(Tasks[[#This Row],[_Res4Text]],FIND("[",Tasks[[#This Row],[_Res4Text]]&amp;"[")-1))))</f>
        <v/>
      </c>
      <c r="EI19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7" s="42">
        <f>IF(OR(NOT(Tasks[[#This Row],[_IsLeaf]]=1),Tasks[[#This Row],[_Res4Row]]=0),0,N(Tasks[[#This Row],[_Days]])*HoursPerDay*IF(Tasks[[#This Row],[_Res4Units]]="",DefaultUnits,Tasks[[#This Row],[_Res4Units]]))</f>
        <v/>
      </c>
      <c r="EK197" s="42">
        <f>IF(AND(AND(Tasks[[#This Row],[_IsLeaf]]=1,Tasks[[#This Row],[_LeafTotalWork]]&gt;0),Tasks[[#This Row],[_Res4Work]]&gt;0),Tasks[[#This Row],[_Res4Work]]/(Tasks[[#This Row],[_FinishWorkday]]-Tasks[[#This Row],[_StartWorkday]]+1),0)</f>
        <v/>
      </c>
      <c r="EL197" s="42">
        <f>Tasks[[#This Row],[_Res4WorkPerWD]]*MAX(0,Tasks[[#This Row],[_StartWorkday]]-1)</f>
        <v/>
      </c>
      <c r="EM197" s="42">
        <f>Tasks[[#This Row],[_Res4Work]]*Tasks[[#This Row],[_LeafProgress]]</f>
        <v/>
      </c>
      <c r="EN197" s="42">
        <f>IF(ISNUMBER(Tasks[[#This Row],[% Complete]]),Tasks[[#This Row],[% Complete]],IF(Tasks[[#This Row],[Stage]]="",0,IFERROR(INDEX(stg_Pct,MATCH(Tasks[[#This Row],[Stage]],stg_Name,0)),0)))</f>
        <v/>
      </c>
      <c r="EO197" s="42">
        <f>IF(NOT(Tasks[[#This Row],[_IsLeaf]]=1),0,IF(N(Tasks[[#This Row],[Actual Finish]])&gt;0,1,MIN(1,Tasks[[#This Row],[_Pct]])))</f>
        <v/>
      </c>
      <c r="EP197" s="42">
        <f>IF(OR(NOT(Tasks[[#This Row],[_IsLeaf]]=1),Tasks[[#This Row],[_Res1Row]]=0),0,N(Tasks[[#This Row],[_Days]])*HoursPerDay*IF(Tasks[[#This Row],[_Units1]]="",DefaultUnits,Tasks[[#This Row],[_Units1]]))</f>
        <v/>
      </c>
      <c r="EQ197" s="42">
        <f>Tasks[[#This Row],[_LeafWork]]+Tasks[[#This Row],[_Res2Work]]+Tasks[[#This Row],[_Res3Work]]+Tasks[[#This Row],[_Res4Work]]</f>
        <v/>
      </c>
      <c r="ER19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7" s="42">
        <f>IF(NOT(Tasks[[#This Row],[_IsLeaf]]=1),0,MAX(_xlfn.MAXIFS(Tasks[_Row],Tasks[_Pred1UID],Tasks[[#This Row],[UID]]),_xlfn.MAXIFS(Tasks[_Row],Tasks[_Pred2UID],Tasks[[#This Row],[UID]]),_xlfn.MAXIFS(Tasks[_Row],Tasks[_Pred3UID],Tasks[[#This Row],[UID]]),_xlfn.MAXIFS(Tasks[_Row],Tasks[_Pred4UID],Tasks[[#This Row],[UID]])))</f>
        <v/>
      </c>
      <c r="FA19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7" s="88">
        <f>IF(NOT(Tasks[[#This Row],[_IsLeaf]]=1),"",IF(N(Tasks[[#This Row],[_Days]])&lt;=0,Tasks[[#This Row],[_LeafLateFinish]],WORKDAY.INTL(Tasks[[#This Row],[_LeafLateFinish]],-(Tasks[[#This Row],[_Days]]-1),WorkWeek,Holidays)))</f>
        <v/>
      </c>
      <c r="FD19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7" s="42">
        <f>AND(Tasks[[#This Row],[_IsLeaf]]=1,Tasks[[#This Row],[_LeafProgress]]&lt;1,N(Tasks[[#This Row],[_LeafTotalSlack]])&lt;=CriticalSlackDays)</f>
        <v/>
      </c>
      <c r="FF197" s="42">
        <f>IF(AND(Tasks[[#This Row],[_IsLeaf]]=1,Tasks[[#This Row],[_ConstraintCode]]=1,Tasks[[#This Row],[Mode]]&lt;&gt;"Manual",N(Tasks[[#This Row],[Actual Start]])=0),MAX(0,N(Tasks[[#This Row],[Free Slack]])),0)</f>
        <v/>
      </c>
      <c r="FG197" s="88">
        <f>IF(NOT(Tasks[[#This Row],[_IsLeaf]]=1),"",IF(Tasks[[#This Row],[_AlapShift]]=0,Tasks[[#This Row],[_LeafCalcStart]],WORKDAY.INTL(Tasks[[#This Row],[_LeafCalcStart]],Tasks[[#This Row],[_AlapShift]],WorkWeek,Holidays)))</f>
        <v/>
      </c>
      <c r="FH197" s="88">
        <f>IF(NOT(Tasks[[#This Row],[_IsLeaf]]=1),"",IF(Tasks[[#This Row],[_AlapShift]]=0,Tasks[[#This Row],[_LeafCalcFinish]],WORKDAY.INTL(Tasks[[#This Row],[_LeafCalcFinish]],Tasks[[#This Row],[_AlapShift]],WorkWeek,Holidays)))</f>
        <v/>
      </c>
      <c r="FI197" s="88">
        <f>IF(NOT(Tasks[[#This Row],[_IsLeaf]]=1),"",IF(Tasks[[#This Row],[_AlapShift]]=0,Tasks[[#This Row],[_LeafFcstStart]],WORKDAY.INTL(Tasks[[#This Row],[_LeafFcstStart]],Tasks[[#This Row],[_AlapShift]],WorkWeek,Holidays)))</f>
        <v/>
      </c>
      <c r="FJ197" s="88">
        <f>IF(NOT(Tasks[[#This Row],[_IsLeaf]]=1),"",IF(Tasks[[#This Row],[_AlapShift]]=0,Tasks[[#This Row],[_LeafFcstFinish]],WORKDAY.INTL(Tasks[[#This Row],[_LeafFcstFinish]],Tasks[[#This Row],[_AlapShift]],WorkWeek,Holidays)))</f>
        <v/>
      </c>
      <c r="FK197" s="88">
        <f>IF(Tasks[[#This Row],[Task Name]]="","",IF(Tasks[[#This Row],[_IsSummary]],MIN(INDEX(Tasks[_ShownCalcStart],Tasks[[#This Row],[_Row]]+1):INDEX(Tasks[_ShownCalcStart],Tasks[[#This Row],[_Row]]+Tasks[[#This Row],[_Descendants]])),Tasks[[#This Row],[_ShownCalcStart]]))</f>
        <v/>
      </c>
      <c r="FL197" s="88">
        <f>IF(Tasks[[#This Row],[Task Name]]="","",IF(Tasks[[#This Row],[_IsSummary]],MAX(INDEX(Tasks[_ShownCalcFinish],Tasks[[#This Row],[_Row]]+1):INDEX(Tasks[_ShownCalcFinish],Tasks[[#This Row],[_Row]]+Tasks[[#This Row],[_Descendants]])),Tasks[[#This Row],[_ShownCalcFinish]]))</f>
        <v/>
      </c>
      <c r="FM19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7" s="42">
        <f>IF(AND(Tasks[[#This Row],[_IsLeaf]]=1,Tasks[[#This Row],[_LeafTotalWork]]&gt;0),NETWORKDAYS.INTL(ProjectStart,Tasks[[#This Row],[_ShownFcstStart]],WorkWeek,Holidays),0)</f>
        <v/>
      </c>
      <c r="FZ197" s="42">
        <f>IF(AND(Tasks[[#This Row],[_IsLeaf]]=1,Tasks[[#This Row],[_LeafTotalWork]]&gt;0),MAX(Tasks[[#This Row],[_StartWorkday]],NETWORKDAYS.INTL(ProjectStart,Tasks[[#This Row],[_ShownFcstFinish]],WorkWeek,Holidays)),0)</f>
        <v/>
      </c>
      <c r="GA197" s="42">
        <f>IF(AND(Tasks[[#This Row],[_IsLeaf]]=1,Tasks[[#This Row],[_LeafTotalWork]]&gt;0),Tasks[[#This Row],[_LeafWork]]/(Tasks[[#This Row],[_FinishWorkday]]-Tasks[[#This Row],[_StartWorkday]]+1),0)</f>
        <v/>
      </c>
      <c r="GB197" s="42">
        <f>Tasks[[#This Row],[_WorkPerWorkday]]*(Tasks[[#This Row],[_StartWorkday]]-1)</f>
        <v/>
      </c>
      <c r="GC197" s="42">
        <f>IF(Tasks[[#This Row],[_IsLeaf]]=1,MAX(N(Tasks[[#This Row],[_Days]]),0.1),0)</f>
        <v/>
      </c>
      <c r="GD197" s="42">
        <f>Tasks[[#This Row],[_WeightDur]]*Tasks[[#This Row],[_LeafProgress]]</f>
        <v/>
      </c>
      <c r="GE197" s="42">
        <f>Tasks[[#This Row],[_WeightDur]]*Tasks[[#This Row],[_PlannedPct]]</f>
        <v/>
      </c>
      <c r="GF19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7" s="42">
        <f>IF(AND(Tasks[[#This Row],[_IsLeaf]]=1,N(Tasks[[#This Row],[_Days]])=0,Tasks[[#This Row],[_LeafProgress]]&lt;1),Tasks[[#This Row],[_ShownFcstFinish]]+Tasks[[#This Row],[_Row]]/100000,"")</f>
        <v/>
      </c>
      <c r="GH19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7" s="42">
        <f>IF(Tasks[[#This Row],[Task Name]]="","",LEFT(Tasks[[#This Row],[WBS]],FIND(".",Tasks[[#This Row],[WBS]]&amp;".")-1))</f>
        <v/>
      </c>
      <c r="GJ197" s="42">
        <f>IF(AND(Tasks[[#This Row],[Task Name]]&lt;&gt;"",Tasks[[#This Row],[_Level]]=1),Tasks[[#This Row],[_Row]],"")</f>
        <v/>
      </c>
      <c r="GK197" s="42">
        <f>IF(AND(Tasks[[#This Row],[_IsLeaf]]=1,N(Tasks[[#This Row],[_Days]])=0),Tasks[[#This Row],[Planned Finish]]+Tasks[[#This Row],[_Row]]/100000,"")</f>
        <v/>
      </c>
      <c r="GL197" s="42">
        <f>IF(AND(Tasks[[#This Row],[_IsLeaf]]=1,Tasks[[#This Row],[_LeafProgress]]&lt;1,OR(N(Tasks[[#This Row],[Finish Var]])&gt;0,Tasks[[#This Row],[Status]]="Late Start")),MAX(0,Tasks[[#This Row],[Finish Var]])+1-Tasks[[#This Row],[_Row]]/1000000,"")</f>
        <v/>
      </c>
      <c r="GM197" s="42">
        <f>IF(AND(Tasks[[#This Row],[_IsLeaf]]=1,N(Tasks[[#This Row],[Actual Start]])=0,Tasks[[#This Row],[_ShownFcstStart]]&gt;=StatusDate,Tasks[[#This Row],[_ShownFcstStart]]&lt;=LookaheadEnd),Tasks[[#This Row],[_ShownFcstStart]]+Tasks[[#This Row],[_Row]]/100000,"")</f>
        <v/>
      </c>
      <c r="GN197" s="42">
        <f>IF(AND(Tasks[[#This Row],[_IsLeaf]]=1,Tasks[[#This Row],[_LeafProgress]]&lt;1,Tasks[[#This Row],[_ShownFcstFinish]]&gt;=StatusDate,Tasks[[#This Row],[_ShownFcstFinish]]&lt;=LookaheadEnd),Tasks[[#This Row],[_ShownFcstFinish]]+Tasks[[#This Row],[_Row]]/100000,"")</f>
        <v/>
      </c>
      <c r="GO197" s="42">
        <f>IF(Tasks[[#This Row],[_LeafCritical]],Tasks[[#This Row],[_ShownFcstStart]]+Tasks[[#This Row],[_Row]]/100000,"")</f>
        <v/>
      </c>
      <c r="GP197" s="42">
        <f>Tasks[[#This Row],[_LeafWork]]*Tasks[[#This Row],[_LeafProgress]]</f>
        <v/>
      </c>
      <c r="GQ197" s="88">
        <f>IF(AND(Tasks[[#This Row],[_IsLeaf]]=1,Tasks[[#This Row],[_LeafProgress]]&gt;=1),IF(N(Tasks[[#This Row],[Actual Finish]])&gt;0,Tasks[[#This Row],[Actual Finish]],Tasks[[#This Row],[_ShownFcstFinish]]),"")</f>
        <v/>
      </c>
      <c r="GR197" s="42">
        <f>IF(Tasks[[#This Row],[_IsLeaf]]=1,N(Tasks[[#This Row],[Story Points]]),0)</f>
        <v/>
      </c>
      <c r="GS197" s="42">
        <f>""</f>
        <v/>
      </c>
      <c r="GT197" s="42">
        <f>IF(Tasks[[#This Row],[Task Name]]="",FALSE(),AND(Tasks[[#This Row],[_IsLeaf]]=1,N(Tasks[[#This Row],[_Days]])=0))</f>
        <v/>
      </c>
      <c r="GU197" s="88">
        <f>IF(Tasks[[#This Row],[Task Name]]="",0,IF(AND(Tasks[[#This Row],[_IsLeaf]]=1,NOT(Tasks[[#This Row],[_IsMilestone]]),N(Tasks[[#This Row],[Progress]])&gt;0),Tasks[[#This Row],[Start]],0))</f>
        <v/>
      </c>
      <c r="GV197" s="88">
        <f>IF(Tasks[[#This Row],[_DoneFrom]]=0,0,IF(Tasks[[#This Row],[Progress]]&gt;=1,Tasks[[#This Row],[Finish]],MAX(Tasks[[#This Row],[_DoneFrom]],Tasks[[#This Row],[Start]]+ROUND((Tasks[[#This Row],[Finish]]-Tasks[[#This Row],[Start]]+1)*Tasks[[#This Row],[Progress]],0)-1)))</f>
        <v/>
      </c>
      <c r="GW197" s="88">
        <f>IF(Tasks[[#This Row],[Task Name]]="",0,IF(OR(NOT(Tasks[[#This Row],[_IsLeaf]]=1),Tasks[[#This Row],[_IsMilestone]],N(Tasks[[#This Row],[Progress]])&gt;=1),0,IF(Tasks[[#This Row],[_DoneTo]]&gt;0,Tasks[[#This Row],[_DoneTo]]+1,Tasks[[#This Row],[Start]])))</f>
        <v/>
      </c>
      <c r="GX197" s="88">
        <f>IF(Tasks[[#This Row],[_RemFrom]]=0,0,Tasks[[#This Row],[Finish]])</f>
        <v/>
      </c>
      <c r="GY197" s="42">
        <f>IF(Tasks[[#This Row],[Task Name]]="",FALSE(),OR(NOT(BaselineSet),N(Tasks[[#This Row],[Baseline Start]])&gt;0))</f>
        <v/>
      </c>
      <c r="GZ197" s="42">
        <f>IF(AND(Sandbox="Yes",L_PARSE_DURATION(Tasks[[#This Row],[Sandbox Duration]])&lt;&gt;""),L_PARSE_DURATION(Tasks[[#This Row],[Sandbox Duration]]),L_PARSE_DURATION(Tasks[[#This Row],[Duration]]))</f>
        <v/>
      </c>
      <c r="HA197"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7" s="42">
        <f>IF(Tasks[[#This Row],[_IsLeaf]]=1,Tasks[[#This Row],[_Row]],"")</f>
        <v/>
      </c>
      <c r="HD197" s="42">
        <f>IFERROR(INDEX(Tasks[UID],SMALL(Tasks[_PickKey],Tasks[[#This Row],[_Row]]))&amp;" "&amp;INDEX(Tasks[Task Name],SMALL(Tasks[_PickKey],Tasks[[#This Row],[_Row]])),"")</f>
        <v/>
      </c>
      <c r="HE197" s="42">
        <f>IF(Tasks[[#This Row],[Task Name]]="","",IF(Tasks[[#This Row],[_IsSummary]],NETWORKDAYS.INTL(Tasks[[#This Row],[Start]],Tasks[[#This Row],[Finish]],WorkWeek,Holidays),N(Tasks[[#This Row],[_Days]])))</f>
        <v/>
      </c>
      <c r="HF197" s="42">
        <f>IF(Tasks[[#This Row],[Expected]]="",0,((Tasks[[#This Row],[Pessimistic]]-Tasks[[#This Row],[Optimistic]])/6)^2)</f>
        <v/>
      </c>
      <c r="HG197" s="42">
        <f>IF(Tasks[[#This Row],[Expected]]="",0,Tasks[[#This Row],[Expected]]-N(Tasks[[#This Row],[_Days]]))</f>
        <v/>
      </c>
    </row>
    <row r="198">
      <c r="A198" s="21">
        <f>IF(Tasks[[#This Row],[Task Name]]="","",COUNTA(Tasks[[#Headers],[Task Name]]:Tasks[[#This Row],[Task Name]])-1)</f>
        <v/>
      </c>
      <c r="B198" s="22" t="n">
        <v>206</v>
      </c>
      <c r="C198" s="22" t="n"/>
      <c r="D198" s="23" t="n"/>
      <c r="E198" s="22" t="n"/>
      <c r="F198" s="23" t="n"/>
      <c r="G198" s="22" t="n"/>
      <c r="H198" s="22" t="n"/>
      <c r="I198" s="23" t="n"/>
      <c r="J198" s="22" t="n"/>
      <c r="K198" s="22" t="n"/>
      <c r="L198" s="23" t="n"/>
      <c r="M198" s="22" t="n"/>
      <c r="N198" s="22" t="n"/>
      <c r="O198" s="23" t="n"/>
      <c r="P198" s="22" t="n"/>
      <c r="Q198" s="22" t="n"/>
      <c r="R198" s="23" t="n"/>
      <c r="S198" s="23" t="n"/>
      <c r="T198" s="82" t="n"/>
      <c r="U198" s="23" t="n"/>
      <c r="V198" s="82" t="n"/>
      <c r="W198" s="23" t="n"/>
      <c r="X198" s="82" t="n"/>
      <c r="Y198" s="23" t="n"/>
      <c r="Z198" s="82" t="n"/>
      <c r="AA198" s="23" t="n"/>
      <c r="AB198" s="23" t="n"/>
      <c r="AC198" s="7" t="n"/>
      <c r="AD198" s="7" t="n"/>
      <c r="AE198" s="61">
        <f>IF(Tasks[[#This Row],[Task Name]]="","",IF(Tasks[[#This Row],[_IsSummary]],MIN(INDEX(Tasks[_ShownFcstStart],Tasks[[#This Row],[_Row]]+1):INDEX(Tasks[_ShownFcstStart],Tasks[[#This Row],[_Row]]+Tasks[[#This Row],[_Descendants]])),Tasks[[#This Row],[_ShownFcstStart]]))</f>
        <v/>
      </c>
      <c r="AF198" s="61">
        <f>IF(Tasks[[#This Row],[Task Name]]="","",IF(Tasks[[#This Row],[_IsSummary]],MAX(INDEX(Tasks[_ShownFcstFinish],Tasks[[#This Row],[_Row]]+1):INDEX(Tasks[_ShownFcstFinish],Tasks[[#This Row],[_Row]]+Tasks[[#This Row],[_Descendants]])),Tasks[[#This Row],[_ShownFcstFinish]]))</f>
        <v/>
      </c>
      <c r="AG198" s="21">
        <f>""</f>
        <v/>
      </c>
      <c r="AH198" s="23" t="n"/>
      <c r="AI19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8" s="7" t="n"/>
      <c r="AK198" s="22" t="n"/>
      <c r="AL198" s="23" t="n"/>
      <c r="AM198" s="7" t="n"/>
      <c r="AN198" s="21">
        <f>IF(Tasks[[#This Row],[Task Name]]="","",IF(Tasks[[#This Row],[Finish]]&gt;=Tasks[[#This Row],[Planned Finish]],NETWORKDAYS.INTL(Tasks[[#This Row],[Planned Finish]],Tasks[[#This Row],[Finish]],WorkWeek,Holidays)-1,1-NETWORKDAYS.INTL(Tasks[[#This Row],[Finish]],Tasks[[#This Row],[Planned Finish]],WorkWeek,Holidays)))</f>
        <v/>
      </c>
      <c r="AO198" s="21">
        <f>IF(Tasks[[#This Row],[Task Name]]="","",IF(Tasks[[#This Row],[Progress]]&gt;=1,"Complete",IF(OR(N(Tasks[[#This Row],[Actual Start]])&gt;0,Tasks[[#This Row],[Progress]]&gt;0),IF(Tasks[[#This Row],[Finish Var]]&gt;0,"Behind","In Progress"),IF(Tasks[[#This Row],[Planned Start]]&lt;StatusDate,"Late Start","Not Started"))))</f>
        <v/>
      </c>
      <c r="AP198" s="21">
        <f>IF(Tasks[[#This Row],[Task Name]]="","",IF(IF(Tasks[[#This Row],[_IsSummary]],COUNTIF(INDEX(Tasks[_LeafCritical],Tasks[[#This Row],[_Row]]+1):INDEX(Tasks[_LeafCritical],Tasks[[#This Row],[_Row]]+Tasks[[#This Row],[_Descendants]]),TRUE())&gt;0,Tasks[[#This Row],[_LeafCritical]]),"Yes",""))</f>
        <v/>
      </c>
      <c r="AQ198" s="61">
        <f>IF(Tasks[[#This Row],[Task Name]]="","",IF(N(Tasks[[#This Row],[Baseline Start]])&gt;0,Tasks[[#This Row],[Baseline Start]],Tasks[[#This Row],[_CalcStart]]))</f>
        <v/>
      </c>
      <c r="AR198" s="61">
        <f>IF(Tasks[[#This Row],[Task Name]]="","",IF(N(Tasks[[#This Row],[Baseline Finish]])&gt;0,Tasks[[#This Row],[Baseline Finish]],Tasks[[#This Row],[_CalcFinish]]))</f>
        <v/>
      </c>
      <c r="AS198" s="21">
        <f>IF(Tasks[[#This Row],[Task Name]]="","",IF(Tasks[[#This Row],[Start]]&gt;=Tasks[[#This Row],[Planned Start]],NETWORKDAYS.INTL(Tasks[[#This Row],[Planned Start]],Tasks[[#This Row],[Start]],WorkWeek,Holidays)-1,1-NETWORKDAYS.INTL(Tasks[[#This Row],[Start]],Tasks[[#This Row],[Planned Start]],WorkWeek,Holidays)))</f>
        <v/>
      </c>
      <c r="AT198" s="61">
        <f>IF(Tasks[[#This Row],[Task Name]]="","",IF(Tasks[[#This Row],[_IsSummary]],MIN(INDEX(Tasks[_LeafLateStart],Tasks[[#This Row],[_Row]]+1):INDEX(Tasks[_LeafLateStart],Tasks[[#This Row],[_Row]]+Tasks[[#This Row],[_Descendants]])),Tasks[[#This Row],[_LeafLateStart]]))</f>
        <v/>
      </c>
      <c r="AU198" s="61">
        <f>IF(Tasks[[#This Row],[Task Name]]="","",IF(Tasks[[#This Row],[_IsSummary]],MAX(INDEX(Tasks[_LeafLateFinish],Tasks[[#This Row],[_Row]]+1):INDEX(Tasks[_LeafLateFinish],Tasks[[#This Row],[_Row]]+Tasks[[#This Row],[_Descendants]])),Tasks[[#This Row],[_LeafLateFinish]]))</f>
        <v/>
      </c>
      <c r="AV198" s="21">
        <f>IF(Tasks[[#This Row],[Task Name]]="","",IF(Tasks[[#This Row],[_IsSummary]],MIN(INDEX(Tasks[_LeafTotalSlack],Tasks[[#This Row],[_Row]]+1):INDEX(Tasks[_LeafTotalSlack],Tasks[[#This Row],[_Row]]+Tasks[[#This Row],[_Descendants]])),Tasks[[#This Row],[_LeafTotalSlack]]))</f>
        <v/>
      </c>
      <c r="AW19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3" t="n"/>
      <c r="BA19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f>IF(Tasks[[#This Row],[Task Name]]="","",IF(Tasks[[#This Row],[_Level]]&lt;=OutlineShowLevel,"Yes","No"))</f>
        <v/>
      </c>
      <c r="BE198" s="84">
        <f>IF(Tasks[[#This Row],[Task Name]]="","",IF(Tasks[[#This Row],[_IsSummary]],SUM(INDEX(Tasks[_LeafTotalWork],Tasks[[#This Row],[_Row]]+1):INDEX(Tasks[_LeafTotalWork],Tasks[[#This Row],[_Row]]+Tasks[[#This Row],[_Descendants]])),Tasks[[#This Row],[_LeafTotalWork]]))</f>
        <v/>
      </c>
      <c r="BF198" s="23" t="n"/>
      <c r="BG19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f>""</f>
        <v/>
      </c>
      <c r="BI198" s="85" t="n"/>
      <c r="BJ198" s="22" t="n"/>
      <c r="BK198" s="21">
        <f>IF(OR(Tasks[[#This Row],[Task Name]]="",Tasks[[#This Row],[Baseline Duration]]=""),"",Tasks[[#This Row],[_SpanDays]]-N(Tasks[[#This Row],[Baseline Duration]]))</f>
        <v/>
      </c>
      <c r="BL198" s="84">
        <f>IF(OR(Tasks[[#This Row],[Task Name]]="",Tasks[[#This Row],[Baseline Work]]=""),"",Tasks[[#This Row],[Work]]-N(Tasks[[#This Row],[Baseline Work]]))</f>
        <v/>
      </c>
      <c r="BM198" s="61">
        <f>IF(Tasks[[#This Row],[Task Name]]="","",IF(OR(TakeBaseline="Yes",N(Tasks[[#This Row],[Baseline Start]])=0),Tasks[[#This Row],[Start]],Tasks[[#This Row],[Baseline Start]]))</f>
        <v/>
      </c>
      <c r="BN198" s="61">
        <f>IF(Tasks[[#This Row],[Task Name]]="","",IF(OR(TakeBaseline="Yes",N(Tasks[[#This Row],[Baseline Finish]])=0),Tasks[[#This Row],[Finish]],Tasks[[#This Row],[Baseline Finish]]))</f>
        <v/>
      </c>
      <c r="BO198" s="21">
        <f>IF(Tasks[[#This Row],[Task Name]]="","",IF(OR(TakeBaseline="Yes",N(Tasks[[#This Row],[Baseline Duration]])=0),Tasks[[#This Row],[_SpanDays]],Tasks[[#This Row],[Baseline Duration]]))</f>
        <v/>
      </c>
      <c r="BP198" s="84">
        <f>IF(Tasks[[#This Row],[Task Name]]="","",IF(OR(TakeBaseline="Yes",N(Tasks[[#This Row],[Baseline Work]])=0),Tasks[[#This Row],[Work]],Tasks[[#This Row],[Baseline Work]]))</f>
        <v/>
      </c>
      <c r="BQ198" s="7" t="n"/>
      <c r="BR198" s="7" t="n"/>
      <c r="BS198" s="22" t="n"/>
      <c r="BT198" s="86" t="n"/>
      <c r="BU198" s="23" t="n"/>
      <c r="BV198" s="23" t="n"/>
      <c r="BW198" s="23" t="n"/>
      <c r="BX198" s="87">
        <f>IF(AND(Tasks[[#This Row],[_IsLeaf]]=1,ISNUMBER(Tasks[[#This Row],[Optimistic]]),ISNUMBER(Tasks[[#This Row],[Pessimistic]])),ROUND((Tasks[[#This Row],[Optimistic]]+4*N(Tasks[[#This Row],[_Days]])+Tasks[[#This Row],[Pessimistic]])/6,1),"")</f>
        <v/>
      </c>
      <c r="BY198" s="85" t="n"/>
      <c r="BZ198" s="85" t="n"/>
      <c r="CA198" s="22" t="n"/>
      <c r="CB198" s="42">
        <f>IF(Tasks[[#This Row],[Task Name]]="","",MAX(1,N(Tasks[[#This Row],[Level]])))</f>
        <v/>
      </c>
      <c r="CC198" s="42">
        <f>ROW()-ROW(Tasks[[#Headers],[ID]])</f>
        <v/>
      </c>
      <c r="CD198" s="42">
        <f>IF(OR(Tasks[[#This Row],[Task Name]]="",Tasks[[#This Row],[_Level]]&lt;=1),0,IFERROR(LOOKUP(2,1/(Tasks[[#Headers],[_Level]]:Tasks[[#This Row],[_Level]]=Tasks[[#This Row],[_Level]]-1),ROW(Tasks[[#Headers],[_Level]]:Tasks[[#This Row],[_Level]])),0))</f>
        <v/>
      </c>
      <c r="CE198" s="42">
        <f>IFERROR(N(INDEX(Tasks[_Level],Tasks[[#This Row],[_Row]]+1)),0)</f>
        <v/>
      </c>
      <c r="CF198" s="42">
        <f>AND(Tasks[[#This Row],[Task Name]]&lt;&gt;"",Tasks[[#This Row],[_NextLevel]]&gt;Tasks[[#This Row],[_Level]])</f>
        <v/>
      </c>
      <c r="CG198" s="42">
        <f>IF(Tasks[[#This Row],[_IsSummary]],COUNTIF(Tasks[WBS],Tasks[[#This Row],[WBS]]&amp;".*"),0)</f>
        <v/>
      </c>
      <c r="CH198" s="42">
        <f>IF(AND(Tasks[[#This Row],[Task Name]]&lt;&gt;"",NOT(Tasks[[#This Row],[_IsSummary]])),1,0)</f>
        <v/>
      </c>
      <c r="CI198" s="42">
        <f>IF(N(Tasks[[#This Row],[_Pred1UID]])=0,0,IFERROR(MATCH(Tasks[[#This Row],[_Pred1UID]],Tasks[UID],0),-1))</f>
        <v/>
      </c>
      <c r="CJ198" s="42">
        <f>IF(N(Tasks[[#This Row],[_Pred2UID]])=0,0,IFERROR(MATCH(Tasks[[#This Row],[_Pred2UID]],Tasks[UID],0),-1))</f>
        <v/>
      </c>
      <c r="CK198" s="42">
        <f>IF(N(Tasks[[#This Row],[_Pred3UID]])=0,0,IFERROR(MATCH(Tasks[[#This Row],[_Pred3UID]],Tasks[UID],0),-1))</f>
        <v/>
      </c>
      <c r="CL198" s="42">
        <f>IF(N(Tasks[[#This Row],[_Pred4UID]])=0,0,IFERROR(MATCH(Tasks[[#This Row],[_Pred4UID]],Tasks[UID],0),-1))</f>
        <v/>
      </c>
      <c r="CM19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8" s="88">
        <f>IF(N(Tasks[[#This Row],[Constraint Date]])=0,0,IF(AND(OR(Tasks[[#This Row],[_ConstraintCode]]=3,Tasks[[#This Row],[_ConstraintCode]]=6,Tasks[[#This Row],[_ConstraintCode]]=7),N(Tasks[[#This Row],[_Days]])&gt;1),WORKDAY.INTL(N(Tasks[[#This Row],[Constraint Date]]),-(N(Tasks[[#This Row],[_Days]])-1),WorkWeek,Holidays),N(Tasks[[#This Row],[Constraint Date]])))</f>
        <v/>
      </c>
      <c r="CO198" s="88">
        <f>IF(OR(Tasks[[#This Row],[_ConstraintCode]]=2,Tasks[[#This Row],[_ConstraintCode]]=3,Tasks[[#This Row],[_ConstraintCode]]=4,Tasks[[#This Row],[_ConstraintCode]]=6),Tasks[[#This Row],[_ConstraintStart]],0)</f>
        <v/>
      </c>
      <c r="CP198" s="88">
        <f>IF(OR(Tasks[[#This Row],[_ConstraintCode]]=2,Tasks[[#This Row],[_ConstraintCode]]=3,Tasks[[#This Row],[_ConstraintCode]]=5,Tasks[[#This Row],[_ConstraintCode]]=7),Tasks[[#This Row],[_ConstraintStart]],2958465)</f>
        <v/>
      </c>
      <c r="CQ19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8" s="88">
        <f>IF(NOT(Tasks[[#This Row],[_IsLeaf]]=1),"",IF(N(Tasks[[#This Row],[_Days]])&lt;=0,Tasks[[#This Row],[_LeafCalcStart]],WORKDAY.INTL(Tasks[[#This Row],[_LeafCalcStart]],Tasks[[#This Row],[_Days]]-1,WorkWeek,Holidays)))</f>
        <v/>
      </c>
      <c r="CS19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8" s="42">
        <f>IF(Tasks[[#This Row],[_Predecessors]]="","",TRIM(MID(SUBSTITUTE(SUBSTITUTE(SUBSTITUTE(UPPER(Tasks[[#This Row],[_Predecessors]]),";",",")," ",""),",",REPT(" ",99)),1,99)))</f>
        <v/>
      </c>
      <c r="CV198" s="42">
        <f>IF(Tasks[[#This Row],[_Pred1Text]]="","",IFERROR(VALUE(LEFT(Tasks[[#This Row],[_Pred1Text]],MIN(FIND("F",Tasks[[#This Row],[_Pred1Text]]&amp;"F"),FIND("S",Tasks[[#This Row],[_Pred1Text]]&amp;"S"),FIND("+",Tasks[[#This Row],[_Pred1Text]]&amp;"+"),FIND("-",Tasks[[#This Row],[_Pred1Text]]&amp;"-"))-1)),""))</f>
        <v/>
      </c>
      <c r="CW19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8" s="42">
        <f>IF(Tasks[[#This Row],[_Pred1Text]]="","",TRIM(MID(SUBSTITUTE(SUBSTITUTE(SUBSTITUTE(UPPER(Tasks[[#This Row],[_Predecessors]]),";",",")," ",""),",",REPT(" ",99)),100,99)))</f>
        <v/>
      </c>
      <c r="CZ198" s="42">
        <f>IF(Tasks[[#This Row],[_Pred2Text]]="","",IFERROR(VALUE(LEFT(Tasks[[#This Row],[_Pred2Text]],MIN(FIND("F",Tasks[[#This Row],[_Pred2Text]]&amp;"F"),FIND("S",Tasks[[#This Row],[_Pred2Text]]&amp;"S"),FIND("+",Tasks[[#This Row],[_Pred2Text]]&amp;"+"),FIND("-",Tasks[[#This Row],[_Pred2Text]]&amp;"-"))-1)),""))</f>
        <v/>
      </c>
      <c r="DA19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8" s="42">
        <f>IF(Tasks[[#This Row],[_Pred2Text]]="","",TRIM(MID(SUBSTITUTE(SUBSTITUTE(SUBSTITUTE(UPPER(Tasks[[#This Row],[_Predecessors]]),";",",")," ",""),",",REPT(" ",99)),199,99)))</f>
        <v/>
      </c>
      <c r="DD198" s="42">
        <f>IF(Tasks[[#This Row],[_Pred3Text]]="","",IFERROR(VALUE(LEFT(Tasks[[#This Row],[_Pred3Text]],MIN(FIND("F",Tasks[[#This Row],[_Pred3Text]]&amp;"F"),FIND("S",Tasks[[#This Row],[_Pred3Text]]&amp;"S"),FIND("+",Tasks[[#This Row],[_Pred3Text]]&amp;"+"),FIND("-",Tasks[[#This Row],[_Pred3Text]]&amp;"-"))-1)),""))</f>
        <v/>
      </c>
      <c r="DE19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8" s="42">
        <f>IF(Tasks[[#This Row],[_Pred3Text]]="","",TRIM(MID(SUBSTITUTE(SUBSTITUTE(SUBSTITUTE(UPPER(Tasks[[#This Row],[_Predecessors]]),";",",")," ",""),",",REPT(" ",99)),298,99)))</f>
        <v/>
      </c>
      <c r="DH198" s="42">
        <f>IF(Tasks[[#This Row],[_Pred4Text]]="","",IFERROR(VALUE(LEFT(Tasks[[#This Row],[_Pred4Text]],MIN(FIND("F",Tasks[[#This Row],[_Pred4Text]]&amp;"F"),FIND("S",Tasks[[#This Row],[_Pred4Text]]&amp;"S"),FIND("+",Tasks[[#This Row],[_Pred4Text]]&amp;"+"),FIND("-",Tasks[[#This Row],[_Pred4Text]]&amp;"-"))-1)),""))</f>
        <v/>
      </c>
      <c r="DI19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8" s="42">
        <f>IF(OR(Tasks[[#This Row],[Task Name]]="",Tasks[[#This Row],[_Resources]]=""),"",TRIM(MID(SUBSTITUTE(Tasks[[#This Row],[_Resources]],",",REPT(" ",99)),1,99)))</f>
        <v/>
      </c>
      <c r="DL198" s="42">
        <f>IF(Tasks[[#This Row],[_Res1Text]]="","",TRIM(MID(SUBSTITUTE(Tasks[[#This Row],[_Resources]],",",REPT(" ",99)),100,99)))</f>
        <v/>
      </c>
      <c r="DM198" s="42">
        <f>IF(Tasks[[#This Row],[_Res2Text]]="","",TRIM(MID(SUBSTITUTE(Tasks[[#This Row],[_Resources]],",",REPT(" ",99)),199,99)))</f>
        <v/>
      </c>
      <c r="DN198" s="42">
        <f>IF(Tasks[[#This Row],[_Res3Text]]="","",TRIM(MID(SUBSTITUTE(Tasks[[#This Row],[_Resources]],",",REPT(" ",99)),298,99)))</f>
        <v/>
      </c>
      <c r="DO198" s="42">
        <f>IF(Tasks[[#This Row],[_Res1Text]]="",0,IFERROR(MATCH(TRIM(LEFT(Tasks[[#This Row],[_Res1Text]],FIND("[",Tasks[[#This Row],[_Res1Text]]&amp;"[")-1)),res_Name,0),IFERROR(MATCH(TRIM(LEFT(Tasks[[#This Row],[_Res1Text]],FIND("[",Tasks[[#This Row],[_Res1Text]]&amp;"[")-1)),res_Initials,0),0)))</f>
        <v/>
      </c>
      <c r="DP198" s="42">
        <f>IF(Tasks[[#This Row],[_Res2Text]]="",0,IFERROR(MATCH(TRIM(LEFT(Tasks[[#This Row],[_Res2Text]],FIND("[",Tasks[[#This Row],[_Res2Text]]&amp;"[")-1)),res_Name,0),IFERROR(MATCH(TRIM(LEFT(Tasks[[#This Row],[_Res2Text]],FIND("[",Tasks[[#This Row],[_Res2Text]]&amp;"[")-1)),res_Initials,0),0)))</f>
        <v/>
      </c>
      <c r="DQ198" s="42">
        <f>IF(Tasks[[#This Row],[_Res3Text]]="",0,IFERROR(MATCH(TRIM(LEFT(Tasks[[#This Row],[_Res3Text]],FIND("[",Tasks[[#This Row],[_Res3Text]]&amp;"[")-1)),res_Name,0),IFERROR(MATCH(TRIM(LEFT(Tasks[[#This Row],[_Res3Text]],FIND("[",Tasks[[#This Row],[_Res3Text]]&amp;"[")-1)),res_Initials,0),0)))</f>
        <v/>
      </c>
      <c r="DR198" s="42">
        <f>IF(Tasks[[#This Row],[_Res4Text]]="",0,IFERROR(MATCH(TRIM(LEFT(Tasks[[#This Row],[_Res4Text]],FIND("[",Tasks[[#This Row],[_Res4Text]]&amp;"[")-1)),res_Name,0),IFERROR(MATCH(TRIM(LEFT(Tasks[[#This Row],[_Res4Text]],FIND("[",Tasks[[#This Row],[_Res4Text]]&amp;"[")-1)),res_Initials,0),0)))</f>
        <v/>
      </c>
      <c r="DS198" s="42">
        <f>IF(Tasks[[#This Row],[_Res1Text]]="","",IF(Tasks[[#This Row],[_Res1Row]]&gt;0,INDEX(res_Name,Tasks[[#This Row],[_Res1Row]]),TRIM(LEFT(Tasks[[#This Row],[_Res1Text]],FIND("[",Tasks[[#This Row],[_Res1Text]]&amp;"[")-1))))</f>
        <v/>
      </c>
      <c r="DT19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8" s="42">
        <f>IF(NOT(Tasks[[#This Row],[_IsLeaf]]=1),0,(Tasks[[#This Row],[_Resource1]]&lt;&gt;"")+(Tasks[[#This Row],[_Res2]]&lt;&gt;"")+(Tasks[[#This Row],[_Res3]]&lt;&gt;"")+(Tasks[[#This Row],[_Res4]]&lt;&gt;""))</f>
        <v/>
      </c>
      <c r="DV198" s="42">
        <f>IF(Tasks[[#This Row],[_Res2Text]]="","",IF(Tasks[[#This Row],[_Res2Row]]&gt;0,INDEX(res_Name,Tasks[[#This Row],[_Res2Row]]),TRIM(LEFT(Tasks[[#This Row],[_Res2Text]],FIND("[",Tasks[[#This Row],[_Res2Text]]&amp;"[")-1))))</f>
        <v/>
      </c>
      <c r="DW19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8" s="42">
        <f>IF(OR(NOT(Tasks[[#This Row],[_IsLeaf]]=1),Tasks[[#This Row],[_Res2Row]]=0),0,N(Tasks[[#This Row],[_Days]])*HoursPerDay*IF(Tasks[[#This Row],[_Res2Units]]="",DefaultUnits,Tasks[[#This Row],[_Res2Units]]))</f>
        <v/>
      </c>
      <c r="DY198" s="42">
        <f>IF(AND(AND(Tasks[[#This Row],[_IsLeaf]]=1,Tasks[[#This Row],[_LeafTotalWork]]&gt;0),Tasks[[#This Row],[_Res2Work]]&gt;0),Tasks[[#This Row],[_Res2Work]]/(Tasks[[#This Row],[_FinishWorkday]]-Tasks[[#This Row],[_StartWorkday]]+1),0)</f>
        <v/>
      </c>
      <c r="DZ198" s="42">
        <f>Tasks[[#This Row],[_Res2WorkPerWD]]*MAX(0,Tasks[[#This Row],[_StartWorkday]]-1)</f>
        <v/>
      </c>
      <c r="EA198" s="42">
        <f>Tasks[[#This Row],[_Res2Work]]*Tasks[[#This Row],[_LeafProgress]]</f>
        <v/>
      </c>
      <c r="EB198" s="42">
        <f>IF(Tasks[[#This Row],[_Res3Text]]="","",IF(Tasks[[#This Row],[_Res3Row]]&gt;0,INDEX(res_Name,Tasks[[#This Row],[_Res3Row]]),TRIM(LEFT(Tasks[[#This Row],[_Res3Text]],FIND("[",Tasks[[#This Row],[_Res3Text]]&amp;"[")-1))))</f>
        <v/>
      </c>
      <c r="EC19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8" s="42">
        <f>IF(OR(NOT(Tasks[[#This Row],[_IsLeaf]]=1),Tasks[[#This Row],[_Res3Row]]=0),0,N(Tasks[[#This Row],[_Days]])*HoursPerDay*IF(Tasks[[#This Row],[_Res3Units]]="",DefaultUnits,Tasks[[#This Row],[_Res3Units]]))</f>
        <v/>
      </c>
      <c r="EE198" s="42">
        <f>IF(AND(AND(Tasks[[#This Row],[_IsLeaf]]=1,Tasks[[#This Row],[_LeafTotalWork]]&gt;0),Tasks[[#This Row],[_Res3Work]]&gt;0),Tasks[[#This Row],[_Res3Work]]/(Tasks[[#This Row],[_FinishWorkday]]-Tasks[[#This Row],[_StartWorkday]]+1),0)</f>
        <v/>
      </c>
      <c r="EF198" s="42">
        <f>Tasks[[#This Row],[_Res3WorkPerWD]]*MAX(0,Tasks[[#This Row],[_StartWorkday]]-1)</f>
        <v/>
      </c>
      <c r="EG198" s="42">
        <f>Tasks[[#This Row],[_Res3Work]]*Tasks[[#This Row],[_LeafProgress]]</f>
        <v/>
      </c>
      <c r="EH198" s="42">
        <f>IF(Tasks[[#This Row],[_Res4Text]]="","",IF(Tasks[[#This Row],[_Res4Row]]&gt;0,INDEX(res_Name,Tasks[[#This Row],[_Res4Row]]),TRIM(LEFT(Tasks[[#This Row],[_Res4Text]],FIND("[",Tasks[[#This Row],[_Res4Text]]&amp;"[")-1))))</f>
        <v/>
      </c>
      <c r="EI19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8" s="42">
        <f>IF(OR(NOT(Tasks[[#This Row],[_IsLeaf]]=1),Tasks[[#This Row],[_Res4Row]]=0),0,N(Tasks[[#This Row],[_Days]])*HoursPerDay*IF(Tasks[[#This Row],[_Res4Units]]="",DefaultUnits,Tasks[[#This Row],[_Res4Units]]))</f>
        <v/>
      </c>
      <c r="EK198" s="42">
        <f>IF(AND(AND(Tasks[[#This Row],[_IsLeaf]]=1,Tasks[[#This Row],[_LeafTotalWork]]&gt;0),Tasks[[#This Row],[_Res4Work]]&gt;0),Tasks[[#This Row],[_Res4Work]]/(Tasks[[#This Row],[_FinishWorkday]]-Tasks[[#This Row],[_StartWorkday]]+1),0)</f>
        <v/>
      </c>
      <c r="EL198" s="42">
        <f>Tasks[[#This Row],[_Res4WorkPerWD]]*MAX(0,Tasks[[#This Row],[_StartWorkday]]-1)</f>
        <v/>
      </c>
      <c r="EM198" s="42">
        <f>Tasks[[#This Row],[_Res4Work]]*Tasks[[#This Row],[_LeafProgress]]</f>
        <v/>
      </c>
      <c r="EN198" s="42">
        <f>IF(ISNUMBER(Tasks[[#This Row],[% Complete]]),Tasks[[#This Row],[% Complete]],IF(Tasks[[#This Row],[Stage]]="",0,IFERROR(INDEX(stg_Pct,MATCH(Tasks[[#This Row],[Stage]],stg_Name,0)),0)))</f>
        <v/>
      </c>
      <c r="EO198" s="42">
        <f>IF(NOT(Tasks[[#This Row],[_IsLeaf]]=1),0,IF(N(Tasks[[#This Row],[Actual Finish]])&gt;0,1,MIN(1,Tasks[[#This Row],[_Pct]])))</f>
        <v/>
      </c>
      <c r="EP198" s="42">
        <f>IF(OR(NOT(Tasks[[#This Row],[_IsLeaf]]=1),Tasks[[#This Row],[_Res1Row]]=0),0,N(Tasks[[#This Row],[_Days]])*HoursPerDay*IF(Tasks[[#This Row],[_Units1]]="",DefaultUnits,Tasks[[#This Row],[_Units1]]))</f>
        <v/>
      </c>
      <c r="EQ198" s="42">
        <f>Tasks[[#This Row],[_LeafWork]]+Tasks[[#This Row],[_Res2Work]]+Tasks[[#This Row],[_Res3Work]]+Tasks[[#This Row],[_Res4Work]]</f>
        <v/>
      </c>
      <c r="ER19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8" s="42">
        <f>IF(NOT(Tasks[[#This Row],[_IsLeaf]]=1),0,MAX(_xlfn.MAXIFS(Tasks[_Row],Tasks[_Pred1UID],Tasks[[#This Row],[UID]]),_xlfn.MAXIFS(Tasks[_Row],Tasks[_Pred2UID],Tasks[[#This Row],[UID]]),_xlfn.MAXIFS(Tasks[_Row],Tasks[_Pred3UID],Tasks[[#This Row],[UID]]),_xlfn.MAXIFS(Tasks[_Row],Tasks[_Pred4UID],Tasks[[#This Row],[UID]])))</f>
        <v/>
      </c>
      <c r="FA19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8" s="88">
        <f>IF(NOT(Tasks[[#This Row],[_IsLeaf]]=1),"",IF(N(Tasks[[#This Row],[_Days]])&lt;=0,Tasks[[#This Row],[_LeafLateFinish]],WORKDAY.INTL(Tasks[[#This Row],[_LeafLateFinish]],-(Tasks[[#This Row],[_Days]]-1),WorkWeek,Holidays)))</f>
        <v/>
      </c>
      <c r="FD19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8" s="42">
        <f>AND(Tasks[[#This Row],[_IsLeaf]]=1,Tasks[[#This Row],[_LeafProgress]]&lt;1,N(Tasks[[#This Row],[_LeafTotalSlack]])&lt;=CriticalSlackDays)</f>
        <v/>
      </c>
      <c r="FF198" s="42">
        <f>IF(AND(Tasks[[#This Row],[_IsLeaf]]=1,Tasks[[#This Row],[_ConstraintCode]]=1,Tasks[[#This Row],[Mode]]&lt;&gt;"Manual",N(Tasks[[#This Row],[Actual Start]])=0),MAX(0,N(Tasks[[#This Row],[Free Slack]])),0)</f>
        <v/>
      </c>
      <c r="FG198" s="88">
        <f>IF(NOT(Tasks[[#This Row],[_IsLeaf]]=1),"",IF(Tasks[[#This Row],[_AlapShift]]=0,Tasks[[#This Row],[_LeafCalcStart]],WORKDAY.INTL(Tasks[[#This Row],[_LeafCalcStart]],Tasks[[#This Row],[_AlapShift]],WorkWeek,Holidays)))</f>
        <v/>
      </c>
      <c r="FH198" s="88">
        <f>IF(NOT(Tasks[[#This Row],[_IsLeaf]]=1),"",IF(Tasks[[#This Row],[_AlapShift]]=0,Tasks[[#This Row],[_LeafCalcFinish]],WORKDAY.INTL(Tasks[[#This Row],[_LeafCalcFinish]],Tasks[[#This Row],[_AlapShift]],WorkWeek,Holidays)))</f>
        <v/>
      </c>
      <c r="FI198" s="88">
        <f>IF(NOT(Tasks[[#This Row],[_IsLeaf]]=1),"",IF(Tasks[[#This Row],[_AlapShift]]=0,Tasks[[#This Row],[_LeafFcstStart]],WORKDAY.INTL(Tasks[[#This Row],[_LeafFcstStart]],Tasks[[#This Row],[_AlapShift]],WorkWeek,Holidays)))</f>
        <v/>
      </c>
      <c r="FJ198" s="88">
        <f>IF(NOT(Tasks[[#This Row],[_IsLeaf]]=1),"",IF(Tasks[[#This Row],[_AlapShift]]=0,Tasks[[#This Row],[_LeafFcstFinish]],WORKDAY.INTL(Tasks[[#This Row],[_LeafFcstFinish]],Tasks[[#This Row],[_AlapShift]],WorkWeek,Holidays)))</f>
        <v/>
      </c>
      <c r="FK198" s="88">
        <f>IF(Tasks[[#This Row],[Task Name]]="","",IF(Tasks[[#This Row],[_IsSummary]],MIN(INDEX(Tasks[_ShownCalcStart],Tasks[[#This Row],[_Row]]+1):INDEX(Tasks[_ShownCalcStart],Tasks[[#This Row],[_Row]]+Tasks[[#This Row],[_Descendants]])),Tasks[[#This Row],[_ShownCalcStart]]))</f>
        <v/>
      </c>
      <c r="FL198" s="88">
        <f>IF(Tasks[[#This Row],[Task Name]]="","",IF(Tasks[[#This Row],[_IsSummary]],MAX(INDEX(Tasks[_ShownCalcFinish],Tasks[[#This Row],[_Row]]+1):INDEX(Tasks[_ShownCalcFinish],Tasks[[#This Row],[_Row]]+Tasks[[#This Row],[_Descendants]])),Tasks[[#This Row],[_ShownCalcFinish]]))</f>
        <v/>
      </c>
      <c r="FM19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8" s="42">
        <f>IF(AND(Tasks[[#This Row],[_IsLeaf]]=1,Tasks[[#This Row],[_LeafTotalWork]]&gt;0),NETWORKDAYS.INTL(ProjectStart,Tasks[[#This Row],[_ShownFcstStart]],WorkWeek,Holidays),0)</f>
        <v/>
      </c>
      <c r="FZ198" s="42">
        <f>IF(AND(Tasks[[#This Row],[_IsLeaf]]=1,Tasks[[#This Row],[_LeafTotalWork]]&gt;0),MAX(Tasks[[#This Row],[_StartWorkday]],NETWORKDAYS.INTL(ProjectStart,Tasks[[#This Row],[_ShownFcstFinish]],WorkWeek,Holidays)),0)</f>
        <v/>
      </c>
      <c r="GA198" s="42">
        <f>IF(AND(Tasks[[#This Row],[_IsLeaf]]=1,Tasks[[#This Row],[_LeafTotalWork]]&gt;0),Tasks[[#This Row],[_LeafWork]]/(Tasks[[#This Row],[_FinishWorkday]]-Tasks[[#This Row],[_StartWorkday]]+1),0)</f>
        <v/>
      </c>
      <c r="GB198" s="42">
        <f>Tasks[[#This Row],[_WorkPerWorkday]]*(Tasks[[#This Row],[_StartWorkday]]-1)</f>
        <v/>
      </c>
      <c r="GC198" s="42">
        <f>IF(Tasks[[#This Row],[_IsLeaf]]=1,MAX(N(Tasks[[#This Row],[_Days]]),0.1),0)</f>
        <v/>
      </c>
      <c r="GD198" s="42">
        <f>Tasks[[#This Row],[_WeightDur]]*Tasks[[#This Row],[_LeafProgress]]</f>
        <v/>
      </c>
      <c r="GE198" s="42">
        <f>Tasks[[#This Row],[_WeightDur]]*Tasks[[#This Row],[_PlannedPct]]</f>
        <v/>
      </c>
      <c r="GF19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8" s="42">
        <f>IF(AND(Tasks[[#This Row],[_IsLeaf]]=1,N(Tasks[[#This Row],[_Days]])=0,Tasks[[#This Row],[_LeafProgress]]&lt;1),Tasks[[#This Row],[_ShownFcstFinish]]+Tasks[[#This Row],[_Row]]/100000,"")</f>
        <v/>
      </c>
      <c r="GH19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8" s="42">
        <f>IF(Tasks[[#This Row],[Task Name]]="","",LEFT(Tasks[[#This Row],[WBS]],FIND(".",Tasks[[#This Row],[WBS]]&amp;".")-1))</f>
        <v/>
      </c>
      <c r="GJ198" s="42">
        <f>IF(AND(Tasks[[#This Row],[Task Name]]&lt;&gt;"",Tasks[[#This Row],[_Level]]=1),Tasks[[#This Row],[_Row]],"")</f>
        <v/>
      </c>
      <c r="GK198" s="42">
        <f>IF(AND(Tasks[[#This Row],[_IsLeaf]]=1,N(Tasks[[#This Row],[_Days]])=0),Tasks[[#This Row],[Planned Finish]]+Tasks[[#This Row],[_Row]]/100000,"")</f>
        <v/>
      </c>
      <c r="GL198" s="42">
        <f>IF(AND(Tasks[[#This Row],[_IsLeaf]]=1,Tasks[[#This Row],[_LeafProgress]]&lt;1,OR(N(Tasks[[#This Row],[Finish Var]])&gt;0,Tasks[[#This Row],[Status]]="Late Start")),MAX(0,Tasks[[#This Row],[Finish Var]])+1-Tasks[[#This Row],[_Row]]/1000000,"")</f>
        <v/>
      </c>
      <c r="GM198" s="42">
        <f>IF(AND(Tasks[[#This Row],[_IsLeaf]]=1,N(Tasks[[#This Row],[Actual Start]])=0,Tasks[[#This Row],[_ShownFcstStart]]&gt;=StatusDate,Tasks[[#This Row],[_ShownFcstStart]]&lt;=LookaheadEnd),Tasks[[#This Row],[_ShownFcstStart]]+Tasks[[#This Row],[_Row]]/100000,"")</f>
        <v/>
      </c>
      <c r="GN198" s="42">
        <f>IF(AND(Tasks[[#This Row],[_IsLeaf]]=1,Tasks[[#This Row],[_LeafProgress]]&lt;1,Tasks[[#This Row],[_ShownFcstFinish]]&gt;=StatusDate,Tasks[[#This Row],[_ShownFcstFinish]]&lt;=LookaheadEnd),Tasks[[#This Row],[_ShownFcstFinish]]+Tasks[[#This Row],[_Row]]/100000,"")</f>
        <v/>
      </c>
      <c r="GO198" s="42">
        <f>IF(Tasks[[#This Row],[_LeafCritical]],Tasks[[#This Row],[_ShownFcstStart]]+Tasks[[#This Row],[_Row]]/100000,"")</f>
        <v/>
      </c>
      <c r="GP198" s="42">
        <f>Tasks[[#This Row],[_LeafWork]]*Tasks[[#This Row],[_LeafProgress]]</f>
        <v/>
      </c>
      <c r="GQ198" s="88">
        <f>IF(AND(Tasks[[#This Row],[_IsLeaf]]=1,Tasks[[#This Row],[_LeafProgress]]&gt;=1),IF(N(Tasks[[#This Row],[Actual Finish]])&gt;0,Tasks[[#This Row],[Actual Finish]],Tasks[[#This Row],[_ShownFcstFinish]]),"")</f>
        <v/>
      </c>
      <c r="GR198" s="42">
        <f>IF(Tasks[[#This Row],[_IsLeaf]]=1,N(Tasks[[#This Row],[Story Points]]),0)</f>
        <v/>
      </c>
      <c r="GS198" s="42">
        <f>""</f>
        <v/>
      </c>
      <c r="GT198" s="42">
        <f>IF(Tasks[[#This Row],[Task Name]]="",FALSE(),AND(Tasks[[#This Row],[_IsLeaf]]=1,N(Tasks[[#This Row],[_Days]])=0))</f>
        <v/>
      </c>
      <c r="GU198" s="88">
        <f>IF(Tasks[[#This Row],[Task Name]]="",0,IF(AND(Tasks[[#This Row],[_IsLeaf]]=1,NOT(Tasks[[#This Row],[_IsMilestone]]),N(Tasks[[#This Row],[Progress]])&gt;0),Tasks[[#This Row],[Start]],0))</f>
        <v/>
      </c>
      <c r="GV198" s="88">
        <f>IF(Tasks[[#This Row],[_DoneFrom]]=0,0,IF(Tasks[[#This Row],[Progress]]&gt;=1,Tasks[[#This Row],[Finish]],MAX(Tasks[[#This Row],[_DoneFrom]],Tasks[[#This Row],[Start]]+ROUND((Tasks[[#This Row],[Finish]]-Tasks[[#This Row],[Start]]+1)*Tasks[[#This Row],[Progress]],0)-1)))</f>
        <v/>
      </c>
      <c r="GW198" s="88">
        <f>IF(Tasks[[#This Row],[Task Name]]="",0,IF(OR(NOT(Tasks[[#This Row],[_IsLeaf]]=1),Tasks[[#This Row],[_IsMilestone]],N(Tasks[[#This Row],[Progress]])&gt;=1),0,IF(Tasks[[#This Row],[_DoneTo]]&gt;0,Tasks[[#This Row],[_DoneTo]]+1,Tasks[[#This Row],[Start]])))</f>
        <v/>
      </c>
      <c r="GX198" s="88">
        <f>IF(Tasks[[#This Row],[_RemFrom]]=0,0,Tasks[[#This Row],[Finish]])</f>
        <v/>
      </c>
      <c r="GY198" s="42">
        <f>IF(Tasks[[#This Row],[Task Name]]="",FALSE(),OR(NOT(BaselineSet),N(Tasks[[#This Row],[Baseline Start]])&gt;0))</f>
        <v/>
      </c>
      <c r="GZ198" s="42">
        <f>IF(AND(Sandbox="Yes",L_PARSE_DURATION(Tasks[[#This Row],[Sandbox Duration]])&lt;&gt;""),L_PARSE_DURATION(Tasks[[#This Row],[Sandbox Duration]]),L_PARSE_DURATION(Tasks[[#This Row],[Duration]]))</f>
        <v/>
      </c>
      <c r="HA198"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8" s="42">
        <f>IF(Tasks[[#This Row],[_IsLeaf]]=1,Tasks[[#This Row],[_Row]],"")</f>
        <v/>
      </c>
      <c r="HD198" s="42">
        <f>IFERROR(INDEX(Tasks[UID],SMALL(Tasks[_PickKey],Tasks[[#This Row],[_Row]]))&amp;" "&amp;INDEX(Tasks[Task Name],SMALL(Tasks[_PickKey],Tasks[[#This Row],[_Row]])),"")</f>
        <v/>
      </c>
      <c r="HE198" s="42">
        <f>IF(Tasks[[#This Row],[Task Name]]="","",IF(Tasks[[#This Row],[_IsSummary]],NETWORKDAYS.INTL(Tasks[[#This Row],[Start]],Tasks[[#This Row],[Finish]],WorkWeek,Holidays),N(Tasks[[#This Row],[_Days]])))</f>
        <v/>
      </c>
      <c r="HF198" s="42">
        <f>IF(Tasks[[#This Row],[Expected]]="",0,((Tasks[[#This Row],[Pessimistic]]-Tasks[[#This Row],[Optimistic]])/6)^2)</f>
        <v/>
      </c>
      <c r="HG198" s="42">
        <f>IF(Tasks[[#This Row],[Expected]]="",0,Tasks[[#This Row],[Expected]]-N(Tasks[[#This Row],[_Days]]))</f>
        <v/>
      </c>
    </row>
    <row r="199">
      <c r="A199" s="21">
        <f>IF(Tasks[[#This Row],[Task Name]]="","",COUNTA(Tasks[[#Headers],[Task Name]]:Tasks[[#This Row],[Task Name]])-1)</f>
        <v/>
      </c>
      <c r="B199" s="22" t="n">
        <v>207</v>
      </c>
      <c r="C199" s="22" t="n"/>
      <c r="D199" s="23" t="n"/>
      <c r="E199" s="22" t="n"/>
      <c r="F199" s="23" t="n"/>
      <c r="G199" s="22" t="n"/>
      <c r="H199" s="22" t="n"/>
      <c r="I199" s="23" t="n"/>
      <c r="J199" s="22" t="n"/>
      <c r="K199" s="22" t="n"/>
      <c r="L199" s="23" t="n"/>
      <c r="M199" s="22" t="n"/>
      <c r="N199" s="22" t="n"/>
      <c r="O199" s="23" t="n"/>
      <c r="P199" s="22" t="n"/>
      <c r="Q199" s="22" t="n"/>
      <c r="R199" s="23" t="n"/>
      <c r="S199" s="23" t="n"/>
      <c r="T199" s="82" t="n"/>
      <c r="U199" s="23" t="n"/>
      <c r="V199" s="82" t="n"/>
      <c r="W199" s="23" t="n"/>
      <c r="X199" s="82" t="n"/>
      <c r="Y199" s="23" t="n"/>
      <c r="Z199" s="82" t="n"/>
      <c r="AA199" s="23" t="n"/>
      <c r="AB199" s="23" t="n"/>
      <c r="AC199" s="7" t="n"/>
      <c r="AD199" s="7" t="n"/>
      <c r="AE199" s="61">
        <f>IF(Tasks[[#This Row],[Task Name]]="","",IF(Tasks[[#This Row],[_IsSummary]],MIN(INDEX(Tasks[_ShownFcstStart],Tasks[[#This Row],[_Row]]+1):INDEX(Tasks[_ShownFcstStart],Tasks[[#This Row],[_Row]]+Tasks[[#This Row],[_Descendants]])),Tasks[[#This Row],[_ShownFcstStart]]))</f>
        <v/>
      </c>
      <c r="AF199" s="61">
        <f>IF(Tasks[[#This Row],[Task Name]]="","",IF(Tasks[[#This Row],[_IsSummary]],MAX(INDEX(Tasks[_ShownFcstFinish],Tasks[[#This Row],[_Row]]+1):INDEX(Tasks[_ShownFcstFinish],Tasks[[#This Row],[_Row]]+Tasks[[#This Row],[_Descendants]])),Tasks[[#This Row],[_ShownFcstFinish]]))</f>
        <v/>
      </c>
      <c r="AG199" s="21">
        <f>""</f>
        <v/>
      </c>
      <c r="AH199" s="23" t="n"/>
      <c r="AI19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199" s="7" t="n"/>
      <c r="AK199" s="22" t="n"/>
      <c r="AL199" s="23" t="n"/>
      <c r="AM199" s="7" t="n"/>
      <c r="AN199" s="21">
        <f>IF(Tasks[[#This Row],[Task Name]]="","",IF(Tasks[[#This Row],[Finish]]&gt;=Tasks[[#This Row],[Planned Finish]],NETWORKDAYS.INTL(Tasks[[#This Row],[Planned Finish]],Tasks[[#This Row],[Finish]],WorkWeek,Holidays)-1,1-NETWORKDAYS.INTL(Tasks[[#This Row],[Finish]],Tasks[[#This Row],[Planned Finish]],WorkWeek,Holidays)))</f>
        <v/>
      </c>
      <c r="AO199" s="21">
        <f>IF(Tasks[[#This Row],[Task Name]]="","",IF(Tasks[[#This Row],[Progress]]&gt;=1,"Complete",IF(OR(N(Tasks[[#This Row],[Actual Start]])&gt;0,Tasks[[#This Row],[Progress]]&gt;0),IF(Tasks[[#This Row],[Finish Var]]&gt;0,"Behind","In Progress"),IF(Tasks[[#This Row],[Planned Start]]&lt;StatusDate,"Late Start","Not Started"))))</f>
        <v/>
      </c>
      <c r="AP199" s="21">
        <f>IF(Tasks[[#This Row],[Task Name]]="","",IF(IF(Tasks[[#This Row],[_IsSummary]],COUNTIF(INDEX(Tasks[_LeafCritical],Tasks[[#This Row],[_Row]]+1):INDEX(Tasks[_LeafCritical],Tasks[[#This Row],[_Row]]+Tasks[[#This Row],[_Descendants]]),TRUE())&gt;0,Tasks[[#This Row],[_LeafCritical]]),"Yes",""))</f>
        <v/>
      </c>
      <c r="AQ199" s="61">
        <f>IF(Tasks[[#This Row],[Task Name]]="","",IF(N(Tasks[[#This Row],[Baseline Start]])&gt;0,Tasks[[#This Row],[Baseline Start]],Tasks[[#This Row],[_CalcStart]]))</f>
        <v/>
      </c>
      <c r="AR199" s="61">
        <f>IF(Tasks[[#This Row],[Task Name]]="","",IF(N(Tasks[[#This Row],[Baseline Finish]])&gt;0,Tasks[[#This Row],[Baseline Finish]],Tasks[[#This Row],[_CalcFinish]]))</f>
        <v/>
      </c>
      <c r="AS199" s="21">
        <f>IF(Tasks[[#This Row],[Task Name]]="","",IF(Tasks[[#This Row],[Start]]&gt;=Tasks[[#This Row],[Planned Start]],NETWORKDAYS.INTL(Tasks[[#This Row],[Planned Start]],Tasks[[#This Row],[Start]],WorkWeek,Holidays)-1,1-NETWORKDAYS.INTL(Tasks[[#This Row],[Start]],Tasks[[#This Row],[Planned Start]],WorkWeek,Holidays)))</f>
        <v/>
      </c>
      <c r="AT199" s="61">
        <f>IF(Tasks[[#This Row],[Task Name]]="","",IF(Tasks[[#This Row],[_IsSummary]],MIN(INDEX(Tasks[_LeafLateStart],Tasks[[#This Row],[_Row]]+1):INDEX(Tasks[_LeafLateStart],Tasks[[#This Row],[_Row]]+Tasks[[#This Row],[_Descendants]])),Tasks[[#This Row],[_LeafLateStart]]))</f>
        <v/>
      </c>
      <c r="AU199" s="61">
        <f>IF(Tasks[[#This Row],[Task Name]]="","",IF(Tasks[[#This Row],[_IsSummary]],MAX(INDEX(Tasks[_LeafLateFinish],Tasks[[#This Row],[_Row]]+1):INDEX(Tasks[_LeafLateFinish],Tasks[[#This Row],[_Row]]+Tasks[[#This Row],[_Descendants]])),Tasks[[#This Row],[_LeafLateFinish]]))</f>
        <v/>
      </c>
      <c r="AV199" s="21">
        <f>IF(Tasks[[#This Row],[Task Name]]="","",IF(Tasks[[#This Row],[_IsSummary]],MIN(INDEX(Tasks[_LeafTotalSlack],Tasks[[#This Row],[_Row]]+1):INDEX(Tasks[_LeafTotalSlack],Tasks[[#This Row],[_Row]]+Tasks[[#This Row],[_Descendants]])),Tasks[[#This Row],[_LeafTotalSlack]]))</f>
        <v/>
      </c>
      <c r="AW19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3" t="n"/>
      <c r="BA19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f>IF(Tasks[[#This Row],[Task Name]]="","",IF(Tasks[[#This Row],[_Level]]&lt;=OutlineShowLevel,"Yes","No"))</f>
        <v/>
      </c>
      <c r="BE199" s="84">
        <f>IF(Tasks[[#This Row],[Task Name]]="","",IF(Tasks[[#This Row],[_IsSummary]],SUM(INDEX(Tasks[_LeafTotalWork],Tasks[[#This Row],[_Row]]+1):INDEX(Tasks[_LeafTotalWork],Tasks[[#This Row],[_Row]]+Tasks[[#This Row],[_Descendants]])),Tasks[[#This Row],[_LeafTotalWork]]))</f>
        <v/>
      </c>
      <c r="BF199" s="23" t="n"/>
      <c r="BG19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f>""</f>
        <v/>
      </c>
      <c r="BI199" s="85" t="n"/>
      <c r="BJ199" s="22" t="n"/>
      <c r="BK199" s="21">
        <f>IF(OR(Tasks[[#This Row],[Task Name]]="",Tasks[[#This Row],[Baseline Duration]]=""),"",Tasks[[#This Row],[_SpanDays]]-N(Tasks[[#This Row],[Baseline Duration]]))</f>
        <v/>
      </c>
      <c r="BL199" s="84">
        <f>IF(OR(Tasks[[#This Row],[Task Name]]="",Tasks[[#This Row],[Baseline Work]]=""),"",Tasks[[#This Row],[Work]]-N(Tasks[[#This Row],[Baseline Work]]))</f>
        <v/>
      </c>
      <c r="BM199" s="61">
        <f>IF(Tasks[[#This Row],[Task Name]]="","",IF(OR(TakeBaseline="Yes",N(Tasks[[#This Row],[Baseline Start]])=0),Tasks[[#This Row],[Start]],Tasks[[#This Row],[Baseline Start]]))</f>
        <v/>
      </c>
      <c r="BN199" s="61">
        <f>IF(Tasks[[#This Row],[Task Name]]="","",IF(OR(TakeBaseline="Yes",N(Tasks[[#This Row],[Baseline Finish]])=0),Tasks[[#This Row],[Finish]],Tasks[[#This Row],[Baseline Finish]]))</f>
        <v/>
      </c>
      <c r="BO199" s="21">
        <f>IF(Tasks[[#This Row],[Task Name]]="","",IF(OR(TakeBaseline="Yes",N(Tasks[[#This Row],[Baseline Duration]])=0),Tasks[[#This Row],[_SpanDays]],Tasks[[#This Row],[Baseline Duration]]))</f>
        <v/>
      </c>
      <c r="BP199" s="84">
        <f>IF(Tasks[[#This Row],[Task Name]]="","",IF(OR(TakeBaseline="Yes",N(Tasks[[#This Row],[Baseline Work]])=0),Tasks[[#This Row],[Work]],Tasks[[#This Row],[Baseline Work]]))</f>
        <v/>
      </c>
      <c r="BQ199" s="7" t="n"/>
      <c r="BR199" s="7" t="n"/>
      <c r="BS199" s="22" t="n"/>
      <c r="BT199" s="86" t="n"/>
      <c r="BU199" s="23" t="n"/>
      <c r="BV199" s="23" t="n"/>
      <c r="BW199" s="23" t="n"/>
      <c r="BX199" s="87">
        <f>IF(AND(Tasks[[#This Row],[_IsLeaf]]=1,ISNUMBER(Tasks[[#This Row],[Optimistic]]),ISNUMBER(Tasks[[#This Row],[Pessimistic]])),ROUND((Tasks[[#This Row],[Optimistic]]+4*N(Tasks[[#This Row],[_Days]])+Tasks[[#This Row],[Pessimistic]])/6,1),"")</f>
        <v/>
      </c>
      <c r="BY199" s="85" t="n"/>
      <c r="BZ199" s="85" t="n"/>
      <c r="CA199" s="22" t="n"/>
      <c r="CB199" s="42">
        <f>IF(Tasks[[#This Row],[Task Name]]="","",MAX(1,N(Tasks[[#This Row],[Level]])))</f>
        <v/>
      </c>
      <c r="CC199" s="42">
        <f>ROW()-ROW(Tasks[[#Headers],[ID]])</f>
        <v/>
      </c>
      <c r="CD199" s="42">
        <f>IF(OR(Tasks[[#This Row],[Task Name]]="",Tasks[[#This Row],[_Level]]&lt;=1),0,IFERROR(LOOKUP(2,1/(Tasks[[#Headers],[_Level]]:Tasks[[#This Row],[_Level]]=Tasks[[#This Row],[_Level]]-1),ROW(Tasks[[#Headers],[_Level]]:Tasks[[#This Row],[_Level]])),0))</f>
        <v/>
      </c>
      <c r="CE199" s="42">
        <f>IFERROR(N(INDEX(Tasks[_Level],Tasks[[#This Row],[_Row]]+1)),0)</f>
        <v/>
      </c>
      <c r="CF199" s="42">
        <f>AND(Tasks[[#This Row],[Task Name]]&lt;&gt;"",Tasks[[#This Row],[_NextLevel]]&gt;Tasks[[#This Row],[_Level]])</f>
        <v/>
      </c>
      <c r="CG199" s="42">
        <f>IF(Tasks[[#This Row],[_IsSummary]],COUNTIF(Tasks[WBS],Tasks[[#This Row],[WBS]]&amp;".*"),0)</f>
        <v/>
      </c>
      <c r="CH199" s="42">
        <f>IF(AND(Tasks[[#This Row],[Task Name]]&lt;&gt;"",NOT(Tasks[[#This Row],[_IsSummary]])),1,0)</f>
        <v/>
      </c>
      <c r="CI199" s="42">
        <f>IF(N(Tasks[[#This Row],[_Pred1UID]])=0,0,IFERROR(MATCH(Tasks[[#This Row],[_Pred1UID]],Tasks[UID],0),-1))</f>
        <v/>
      </c>
      <c r="CJ199" s="42">
        <f>IF(N(Tasks[[#This Row],[_Pred2UID]])=0,0,IFERROR(MATCH(Tasks[[#This Row],[_Pred2UID]],Tasks[UID],0),-1))</f>
        <v/>
      </c>
      <c r="CK199" s="42">
        <f>IF(N(Tasks[[#This Row],[_Pred3UID]])=0,0,IFERROR(MATCH(Tasks[[#This Row],[_Pred3UID]],Tasks[UID],0),-1))</f>
        <v/>
      </c>
      <c r="CL199" s="42">
        <f>IF(N(Tasks[[#This Row],[_Pred4UID]])=0,0,IFERROR(MATCH(Tasks[[#This Row],[_Pred4UID]],Tasks[UID],0),-1))</f>
        <v/>
      </c>
      <c r="CM19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9" s="88">
        <f>IF(N(Tasks[[#This Row],[Constraint Date]])=0,0,IF(AND(OR(Tasks[[#This Row],[_ConstraintCode]]=3,Tasks[[#This Row],[_ConstraintCode]]=6,Tasks[[#This Row],[_ConstraintCode]]=7),N(Tasks[[#This Row],[_Days]])&gt;1),WORKDAY.INTL(N(Tasks[[#This Row],[Constraint Date]]),-(N(Tasks[[#This Row],[_Days]])-1),WorkWeek,Holidays),N(Tasks[[#This Row],[Constraint Date]])))</f>
        <v/>
      </c>
      <c r="CO199" s="88">
        <f>IF(OR(Tasks[[#This Row],[_ConstraintCode]]=2,Tasks[[#This Row],[_ConstraintCode]]=3,Tasks[[#This Row],[_ConstraintCode]]=4,Tasks[[#This Row],[_ConstraintCode]]=6),Tasks[[#This Row],[_ConstraintStart]],0)</f>
        <v/>
      </c>
      <c r="CP199" s="88">
        <f>IF(OR(Tasks[[#This Row],[_ConstraintCode]]=2,Tasks[[#This Row],[_ConstraintCode]]=3,Tasks[[#This Row],[_ConstraintCode]]=5,Tasks[[#This Row],[_ConstraintCode]]=7),Tasks[[#This Row],[_ConstraintStart]],2958465)</f>
        <v/>
      </c>
      <c r="CQ19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9" s="88">
        <f>IF(NOT(Tasks[[#This Row],[_IsLeaf]]=1),"",IF(N(Tasks[[#This Row],[_Days]])&lt;=0,Tasks[[#This Row],[_LeafCalcStart]],WORKDAY.INTL(Tasks[[#This Row],[_LeafCalcStart]],Tasks[[#This Row],[_Days]]-1,WorkWeek,Holidays)))</f>
        <v/>
      </c>
      <c r="CS19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9" s="42">
        <f>IF(Tasks[[#This Row],[_Predecessors]]="","",TRIM(MID(SUBSTITUTE(SUBSTITUTE(SUBSTITUTE(UPPER(Tasks[[#This Row],[_Predecessors]]),";",",")," ",""),",",REPT(" ",99)),1,99)))</f>
        <v/>
      </c>
      <c r="CV199" s="42">
        <f>IF(Tasks[[#This Row],[_Pred1Text]]="","",IFERROR(VALUE(LEFT(Tasks[[#This Row],[_Pred1Text]],MIN(FIND("F",Tasks[[#This Row],[_Pred1Text]]&amp;"F"),FIND("S",Tasks[[#This Row],[_Pred1Text]]&amp;"S"),FIND("+",Tasks[[#This Row],[_Pred1Text]]&amp;"+"),FIND("-",Tasks[[#This Row],[_Pred1Text]]&amp;"-"))-1)),""))</f>
        <v/>
      </c>
      <c r="CW19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9" s="42">
        <f>IF(Tasks[[#This Row],[_Pred1Text]]="","",TRIM(MID(SUBSTITUTE(SUBSTITUTE(SUBSTITUTE(UPPER(Tasks[[#This Row],[_Predecessors]]),";",",")," ",""),",",REPT(" ",99)),100,99)))</f>
        <v/>
      </c>
      <c r="CZ199" s="42">
        <f>IF(Tasks[[#This Row],[_Pred2Text]]="","",IFERROR(VALUE(LEFT(Tasks[[#This Row],[_Pred2Text]],MIN(FIND("F",Tasks[[#This Row],[_Pred2Text]]&amp;"F"),FIND("S",Tasks[[#This Row],[_Pred2Text]]&amp;"S"),FIND("+",Tasks[[#This Row],[_Pred2Text]]&amp;"+"),FIND("-",Tasks[[#This Row],[_Pred2Text]]&amp;"-"))-1)),""))</f>
        <v/>
      </c>
      <c r="DA19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9" s="42">
        <f>IF(Tasks[[#This Row],[_Pred2Text]]="","",TRIM(MID(SUBSTITUTE(SUBSTITUTE(SUBSTITUTE(UPPER(Tasks[[#This Row],[_Predecessors]]),";",",")," ",""),",",REPT(" ",99)),199,99)))</f>
        <v/>
      </c>
      <c r="DD199" s="42">
        <f>IF(Tasks[[#This Row],[_Pred3Text]]="","",IFERROR(VALUE(LEFT(Tasks[[#This Row],[_Pred3Text]],MIN(FIND("F",Tasks[[#This Row],[_Pred3Text]]&amp;"F"),FIND("S",Tasks[[#This Row],[_Pred3Text]]&amp;"S"),FIND("+",Tasks[[#This Row],[_Pred3Text]]&amp;"+"),FIND("-",Tasks[[#This Row],[_Pred3Text]]&amp;"-"))-1)),""))</f>
        <v/>
      </c>
      <c r="DE19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9" s="42">
        <f>IF(Tasks[[#This Row],[_Pred3Text]]="","",TRIM(MID(SUBSTITUTE(SUBSTITUTE(SUBSTITUTE(UPPER(Tasks[[#This Row],[_Predecessors]]),";",",")," ",""),",",REPT(" ",99)),298,99)))</f>
        <v/>
      </c>
      <c r="DH199" s="42">
        <f>IF(Tasks[[#This Row],[_Pred4Text]]="","",IFERROR(VALUE(LEFT(Tasks[[#This Row],[_Pred4Text]],MIN(FIND("F",Tasks[[#This Row],[_Pred4Text]]&amp;"F"),FIND("S",Tasks[[#This Row],[_Pred4Text]]&amp;"S"),FIND("+",Tasks[[#This Row],[_Pred4Text]]&amp;"+"),FIND("-",Tasks[[#This Row],[_Pred4Text]]&amp;"-"))-1)),""))</f>
        <v/>
      </c>
      <c r="DI19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9" s="42">
        <f>IF(OR(Tasks[[#This Row],[Task Name]]="",Tasks[[#This Row],[_Resources]]=""),"",TRIM(MID(SUBSTITUTE(Tasks[[#This Row],[_Resources]],",",REPT(" ",99)),1,99)))</f>
        <v/>
      </c>
      <c r="DL199" s="42">
        <f>IF(Tasks[[#This Row],[_Res1Text]]="","",TRIM(MID(SUBSTITUTE(Tasks[[#This Row],[_Resources]],",",REPT(" ",99)),100,99)))</f>
        <v/>
      </c>
      <c r="DM199" s="42">
        <f>IF(Tasks[[#This Row],[_Res2Text]]="","",TRIM(MID(SUBSTITUTE(Tasks[[#This Row],[_Resources]],",",REPT(" ",99)),199,99)))</f>
        <v/>
      </c>
      <c r="DN199" s="42">
        <f>IF(Tasks[[#This Row],[_Res3Text]]="","",TRIM(MID(SUBSTITUTE(Tasks[[#This Row],[_Resources]],",",REPT(" ",99)),298,99)))</f>
        <v/>
      </c>
      <c r="DO199" s="42">
        <f>IF(Tasks[[#This Row],[_Res1Text]]="",0,IFERROR(MATCH(TRIM(LEFT(Tasks[[#This Row],[_Res1Text]],FIND("[",Tasks[[#This Row],[_Res1Text]]&amp;"[")-1)),res_Name,0),IFERROR(MATCH(TRIM(LEFT(Tasks[[#This Row],[_Res1Text]],FIND("[",Tasks[[#This Row],[_Res1Text]]&amp;"[")-1)),res_Initials,0),0)))</f>
        <v/>
      </c>
      <c r="DP199" s="42">
        <f>IF(Tasks[[#This Row],[_Res2Text]]="",0,IFERROR(MATCH(TRIM(LEFT(Tasks[[#This Row],[_Res2Text]],FIND("[",Tasks[[#This Row],[_Res2Text]]&amp;"[")-1)),res_Name,0),IFERROR(MATCH(TRIM(LEFT(Tasks[[#This Row],[_Res2Text]],FIND("[",Tasks[[#This Row],[_Res2Text]]&amp;"[")-1)),res_Initials,0),0)))</f>
        <v/>
      </c>
      <c r="DQ199" s="42">
        <f>IF(Tasks[[#This Row],[_Res3Text]]="",0,IFERROR(MATCH(TRIM(LEFT(Tasks[[#This Row],[_Res3Text]],FIND("[",Tasks[[#This Row],[_Res3Text]]&amp;"[")-1)),res_Name,0),IFERROR(MATCH(TRIM(LEFT(Tasks[[#This Row],[_Res3Text]],FIND("[",Tasks[[#This Row],[_Res3Text]]&amp;"[")-1)),res_Initials,0),0)))</f>
        <v/>
      </c>
      <c r="DR199" s="42">
        <f>IF(Tasks[[#This Row],[_Res4Text]]="",0,IFERROR(MATCH(TRIM(LEFT(Tasks[[#This Row],[_Res4Text]],FIND("[",Tasks[[#This Row],[_Res4Text]]&amp;"[")-1)),res_Name,0),IFERROR(MATCH(TRIM(LEFT(Tasks[[#This Row],[_Res4Text]],FIND("[",Tasks[[#This Row],[_Res4Text]]&amp;"[")-1)),res_Initials,0),0)))</f>
        <v/>
      </c>
      <c r="DS199" s="42">
        <f>IF(Tasks[[#This Row],[_Res1Text]]="","",IF(Tasks[[#This Row],[_Res1Row]]&gt;0,INDEX(res_Name,Tasks[[#This Row],[_Res1Row]]),TRIM(LEFT(Tasks[[#This Row],[_Res1Text]],FIND("[",Tasks[[#This Row],[_Res1Text]]&amp;"[")-1))))</f>
        <v/>
      </c>
      <c r="DT19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9" s="42">
        <f>IF(NOT(Tasks[[#This Row],[_IsLeaf]]=1),0,(Tasks[[#This Row],[_Resource1]]&lt;&gt;"")+(Tasks[[#This Row],[_Res2]]&lt;&gt;"")+(Tasks[[#This Row],[_Res3]]&lt;&gt;"")+(Tasks[[#This Row],[_Res4]]&lt;&gt;""))</f>
        <v/>
      </c>
      <c r="DV199" s="42">
        <f>IF(Tasks[[#This Row],[_Res2Text]]="","",IF(Tasks[[#This Row],[_Res2Row]]&gt;0,INDEX(res_Name,Tasks[[#This Row],[_Res2Row]]),TRIM(LEFT(Tasks[[#This Row],[_Res2Text]],FIND("[",Tasks[[#This Row],[_Res2Text]]&amp;"[")-1))))</f>
        <v/>
      </c>
      <c r="DW19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9" s="42">
        <f>IF(OR(NOT(Tasks[[#This Row],[_IsLeaf]]=1),Tasks[[#This Row],[_Res2Row]]=0),0,N(Tasks[[#This Row],[_Days]])*HoursPerDay*IF(Tasks[[#This Row],[_Res2Units]]="",DefaultUnits,Tasks[[#This Row],[_Res2Units]]))</f>
        <v/>
      </c>
      <c r="DY199" s="42">
        <f>IF(AND(AND(Tasks[[#This Row],[_IsLeaf]]=1,Tasks[[#This Row],[_LeafTotalWork]]&gt;0),Tasks[[#This Row],[_Res2Work]]&gt;0),Tasks[[#This Row],[_Res2Work]]/(Tasks[[#This Row],[_FinishWorkday]]-Tasks[[#This Row],[_StartWorkday]]+1),0)</f>
        <v/>
      </c>
      <c r="DZ199" s="42">
        <f>Tasks[[#This Row],[_Res2WorkPerWD]]*MAX(0,Tasks[[#This Row],[_StartWorkday]]-1)</f>
        <v/>
      </c>
      <c r="EA199" s="42">
        <f>Tasks[[#This Row],[_Res2Work]]*Tasks[[#This Row],[_LeafProgress]]</f>
        <v/>
      </c>
      <c r="EB199" s="42">
        <f>IF(Tasks[[#This Row],[_Res3Text]]="","",IF(Tasks[[#This Row],[_Res3Row]]&gt;0,INDEX(res_Name,Tasks[[#This Row],[_Res3Row]]),TRIM(LEFT(Tasks[[#This Row],[_Res3Text]],FIND("[",Tasks[[#This Row],[_Res3Text]]&amp;"[")-1))))</f>
        <v/>
      </c>
      <c r="EC19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9" s="42">
        <f>IF(OR(NOT(Tasks[[#This Row],[_IsLeaf]]=1),Tasks[[#This Row],[_Res3Row]]=0),0,N(Tasks[[#This Row],[_Days]])*HoursPerDay*IF(Tasks[[#This Row],[_Res3Units]]="",DefaultUnits,Tasks[[#This Row],[_Res3Units]]))</f>
        <v/>
      </c>
      <c r="EE199" s="42">
        <f>IF(AND(AND(Tasks[[#This Row],[_IsLeaf]]=1,Tasks[[#This Row],[_LeafTotalWork]]&gt;0),Tasks[[#This Row],[_Res3Work]]&gt;0),Tasks[[#This Row],[_Res3Work]]/(Tasks[[#This Row],[_FinishWorkday]]-Tasks[[#This Row],[_StartWorkday]]+1),0)</f>
        <v/>
      </c>
      <c r="EF199" s="42">
        <f>Tasks[[#This Row],[_Res3WorkPerWD]]*MAX(0,Tasks[[#This Row],[_StartWorkday]]-1)</f>
        <v/>
      </c>
      <c r="EG199" s="42">
        <f>Tasks[[#This Row],[_Res3Work]]*Tasks[[#This Row],[_LeafProgress]]</f>
        <v/>
      </c>
      <c r="EH199" s="42">
        <f>IF(Tasks[[#This Row],[_Res4Text]]="","",IF(Tasks[[#This Row],[_Res4Row]]&gt;0,INDEX(res_Name,Tasks[[#This Row],[_Res4Row]]),TRIM(LEFT(Tasks[[#This Row],[_Res4Text]],FIND("[",Tasks[[#This Row],[_Res4Text]]&amp;"[")-1))))</f>
        <v/>
      </c>
      <c r="EI19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9" s="42">
        <f>IF(OR(NOT(Tasks[[#This Row],[_IsLeaf]]=1),Tasks[[#This Row],[_Res4Row]]=0),0,N(Tasks[[#This Row],[_Days]])*HoursPerDay*IF(Tasks[[#This Row],[_Res4Units]]="",DefaultUnits,Tasks[[#This Row],[_Res4Units]]))</f>
        <v/>
      </c>
      <c r="EK199" s="42">
        <f>IF(AND(AND(Tasks[[#This Row],[_IsLeaf]]=1,Tasks[[#This Row],[_LeafTotalWork]]&gt;0),Tasks[[#This Row],[_Res4Work]]&gt;0),Tasks[[#This Row],[_Res4Work]]/(Tasks[[#This Row],[_FinishWorkday]]-Tasks[[#This Row],[_StartWorkday]]+1),0)</f>
        <v/>
      </c>
      <c r="EL199" s="42">
        <f>Tasks[[#This Row],[_Res4WorkPerWD]]*MAX(0,Tasks[[#This Row],[_StartWorkday]]-1)</f>
        <v/>
      </c>
      <c r="EM199" s="42">
        <f>Tasks[[#This Row],[_Res4Work]]*Tasks[[#This Row],[_LeafProgress]]</f>
        <v/>
      </c>
      <c r="EN199" s="42">
        <f>IF(ISNUMBER(Tasks[[#This Row],[% Complete]]),Tasks[[#This Row],[% Complete]],IF(Tasks[[#This Row],[Stage]]="",0,IFERROR(INDEX(stg_Pct,MATCH(Tasks[[#This Row],[Stage]],stg_Name,0)),0)))</f>
        <v/>
      </c>
      <c r="EO199" s="42">
        <f>IF(NOT(Tasks[[#This Row],[_IsLeaf]]=1),0,IF(N(Tasks[[#This Row],[Actual Finish]])&gt;0,1,MIN(1,Tasks[[#This Row],[_Pct]])))</f>
        <v/>
      </c>
      <c r="EP199" s="42">
        <f>IF(OR(NOT(Tasks[[#This Row],[_IsLeaf]]=1),Tasks[[#This Row],[_Res1Row]]=0),0,N(Tasks[[#This Row],[_Days]])*HoursPerDay*IF(Tasks[[#This Row],[_Units1]]="",DefaultUnits,Tasks[[#This Row],[_Units1]]))</f>
        <v/>
      </c>
      <c r="EQ199" s="42">
        <f>Tasks[[#This Row],[_LeafWork]]+Tasks[[#This Row],[_Res2Work]]+Tasks[[#This Row],[_Res3Work]]+Tasks[[#This Row],[_Res4Work]]</f>
        <v/>
      </c>
      <c r="ER19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9" s="42">
        <f>IF(NOT(Tasks[[#This Row],[_IsLeaf]]=1),0,MAX(_xlfn.MAXIFS(Tasks[_Row],Tasks[_Pred1UID],Tasks[[#This Row],[UID]]),_xlfn.MAXIFS(Tasks[_Row],Tasks[_Pred2UID],Tasks[[#This Row],[UID]]),_xlfn.MAXIFS(Tasks[_Row],Tasks[_Pred3UID],Tasks[[#This Row],[UID]]),_xlfn.MAXIFS(Tasks[_Row],Tasks[_Pred4UID],Tasks[[#This Row],[UID]])))</f>
        <v/>
      </c>
      <c r="FA19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9" s="88">
        <f>IF(NOT(Tasks[[#This Row],[_IsLeaf]]=1),"",IF(N(Tasks[[#This Row],[_Days]])&lt;=0,Tasks[[#This Row],[_LeafLateFinish]],WORKDAY.INTL(Tasks[[#This Row],[_LeafLateFinish]],-(Tasks[[#This Row],[_Days]]-1),WorkWeek,Holidays)))</f>
        <v/>
      </c>
      <c r="FD19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9" s="42">
        <f>AND(Tasks[[#This Row],[_IsLeaf]]=1,Tasks[[#This Row],[_LeafProgress]]&lt;1,N(Tasks[[#This Row],[_LeafTotalSlack]])&lt;=CriticalSlackDays)</f>
        <v/>
      </c>
      <c r="FF199" s="42">
        <f>IF(AND(Tasks[[#This Row],[_IsLeaf]]=1,Tasks[[#This Row],[_ConstraintCode]]=1,Tasks[[#This Row],[Mode]]&lt;&gt;"Manual",N(Tasks[[#This Row],[Actual Start]])=0),MAX(0,N(Tasks[[#This Row],[Free Slack]])),0)</f>
        <v/>
      </c>
      <c r="FG199" s="88">
        <f>IF(NOT(Tasks[[#This Row],[_IsLeaf]]=1),"",IF(Tasks[[#This Row],[_AlapShift]]=0,Tasks[[#This Row],[_LeafCalcStart]],WORKDAY.INTL(Tasks[[#This Row],[_LeafCalcStart]],Tasks[[#This Row],[_AlapShift]],WorkWeek,Holidays)))</f>
        <v/>
      </c>
      <c r="FH199" s="88">
        <f>IF(NOT(Tasks[[#This Row],[_IsLeaf]]=1),"",IF(Tasks[[#This Row],[_AlapShift]]=0,Tasks[[#This Row],[_LeafCalcFinish]],WORKDAY.INTL(Tasks[[#This Row],[_LeafCalcFinish]],Tasks[[#This Row],[_AlapShift]],WorkWeek,Holidays)))</f>
        <v/>
      </c>
      <c r="FI199" s="88">
        <f>IF(NOT(Tasks[[#This Row],[_IsLeaf]]=1),"",IF(Tasks[[#This Row],[_AlapShift]]=0,Tasks[[#This Row],[_LeafFcstStart]],WORKDAY.INTL(Tasks[[#This Row],[_LeafFcstStart]],Tasks[[#This Row],[_AlapShift]],WorkWeek,Holidays)))</f>
        <v/>
      </c>
      <c r="FJ199" s="88">
        <f>IF(NOT(Tasks[[#This Row],[_IsLeaf]]=1),"",IF(Tasks[[#This Row],[_AlapShift]]=0,Tasks[[#This Row],[_LeafFcstFinish]],WORKDAY.INTL(Tasks[[#This Row],[_LeafFcstFinish]],Tasks[[#This Row],[_AlapShift]],WorkWeek,Holidays)))</f>
        <v/>
      </c>
      <c r="FK199" s="88">
        <f>IF(Tasks[[#This Row],[Task Name]]="","",IF(Tasks[[#This Row],[_IsSummary]],MIN(INDEX(Tasks[_ShownCalcStart],Tasks[[#This Row],[_Row]]+1):INDEX(Tasks[_ShownCalcStart],Tasks[[#This Row],[_Row]]+Tasks[[#This Row],[_Descendants]])),Tasks[[#This Row],[_ShownCalcStart]]))</f>
        <v/>
      </c>
      <c r="FL199" s="88">
        <f>IF(Tasks[[#This Row],[Task Name]]="","",IF(Tasks[[#This Row],[_IsSummary]],MAX(INDEX(Tasks[_ShownCalcFinish],Tasks[[#This Row],[_Row]]+1):INDEX(Tasks[_ShownCalcFinish],Tasks[[#This Row],[_Row]]+Tasks[[#This Row],[_Descendants]])),Tasks[[#This Row],[_ShownCalcFinish]]))</f>
        <v/>
      </c>
      <c r="FM19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9" s="42">
        <f>IF(AND(Tasks[[#This Row],[_IsLeaf]]=1,Tasks[[#This Row],[_LeafTotalWork]]&gt;0),NETWORKDAYS.INTL(ProjectStart,Tasks[[#This Row],[_ShownFcstStart]],WorkWeek,Holidays),0)</f>
        <v/>
      </c>
      <c r="FZ199" s="42">
        <f>IF(AND(Tasks[[#This Row],[_IsLeaf]]=1,Tasks[[#This Row],[_LeafTotalWork]]&gt;0),MAX(Tasks[[#This Row],[_StartWorkday]],NETWORKDAYS.INTL(ProjectStart,Tasks[[#This Row],[_ShownFcstFinish]],WorkWeek,Holidays)),0)</f>
        <v/>
      </c>
      <c r="GA199" s="42">
        <f>IF(AND(Tasks[[#This Row],[_IsLeaf]]=1,Tasks[[#This Row],[_LeafTotalWork]]&gt;0),Tasks[[#This Row],[_LeafWork]]/(Tasks[[#This Row],[_FinishWorkday]]-Tasks[[#This Row],[_StartWorkday]]+1),0)</f>
        <v/>
      </c>
      <c r="GB199" s="42">
        <f>Tasks[[#This Row],[_WorkPerWorkday]]*(Tasks[[#This Row],[_StartWorkday]]-1)</f>
        <v/>
      </c>
      <c r="GC199" s="42">
        <f>IF(Tasks[[#This Row],[_IsLeaf]]=1,MAX(N(Tasks[[#This Row],[_Days]]),0.1),0)</f>
        <v/>
      </c>
      <c r="GD199" s="42">
        <f>Tasks[[#This Row],[_WeightDur]]*Tasks[[#This Row],[_LeafProgress]]</f>
        <v/>
      </c>
      <c r="GE199" s="42">
        <f>Tasks[[#This Row],[_WeightDur]]*Tasks[[#This Row],[_PlannedPct]]</f>
        <v/>
      </c>
      <c r="GF19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9" s="42">
        <f>IF(AND(Tasks[[#This Row],[_IsLeaf]]=1,N(Tasks[[#This Row],[_Days]])=0,Tasks[[#This Row],[_LeafProgress]]&lt;1),Tasks[[#This Row],[_ShownFcstFinish]]+Tasks[[#This Row],[_Row]]/100000,"")</f>
        <v/>
      </c>
      <c r="GH19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9" s="42">
        <f>IF(Tasks[[#This Row],[Task Name]]="","",LEFT(Tasks[[#This Row],[WBS]],FIND(".",Tasks[[#This Row],[WBS]]&amp;".")-1))</f>
        <v/>
      </c>
      <c r="GJ199" s="42">
        <f>IF(AND(Tasks[[#This Row],[Task Name]]&lt;&gt;"",Tasks[[#This Row],[_Level]]=1),Tasks[[#This Row],[_Row]],"")</f>
        <v/>
      </c>
      <c r="GK199" s="42">
        <f>IF(AND(Tasks[[#This Row],[_IsLeaf]]=1,N(Tasks[[#This Row],[_Days]])=0),Tasks[[#This Row],[Planned Finish]]+Tasks[[#This Row],[_Row]]/100000,"")</f>
        <v/>
      </c>
      <c r="GL199" s="42">
        <f>IF(AND(Tasks[[#This Row],[_IsLeaf]]=1,Tasks[[#This Row],[_LeafProgress]]&lt;1,OR(N(Tasks[[#This Row],[Finish Var]])&gt;0,Tasks[[#This Row],[Status]]="Late Start")),MAX(0,Tasks[[#This Row],[Finish Var]])+1-Tasks[[#This Row],[_Row]]/1000000,"")</f>
        <v/>
      </c>
      <c r="GM199" s="42">
        <f>IF(AND(Tasks[[#This Row],[_IsLeaf]]=1,N(Tasks[[#This Row],[Actual Start]])=0,Tasks[[#This Row],[_ShownFcstStart]]&gt;=StatusDate,Tasks[[#This Row],[_ShownFcstStart]]&lt;=LookaheadEnd),Tasks[[#This Row],[_ShownFcstStart]]+Tasks[[#This Row],[_Row]]/100000,"")</f>
        <v/>
      </c>
      <c r="GN199" s="42">
        <f>IF(AND(Tasks[[#This Row],[_IsLeaf]]=1,Tasks[[#This Row],[_LeafProgress]]&lt;1,Tasks[[#This Row],[_ShownFcstFinish]]&gt;=StatusDate,Tasks[[#This Row],[_ShownFcstFinish]]&lt;=LookaheadEnd),Tasks[[#This Row],[_ShownFcstFinish]]+Tasks[[#This Row],[_Row]]/100000,"")</f>
        <v/>
      </c>
      <c r="GO199" s="42">
        <f>IF(Tasks[[#This Row],[_LeafCritical]],Tasks[[#This Row],[_ShownFcstStart]]+Tasks[[#This Row],[_Row]]/100000,"")</f>
        <v/>
      </c>
      <c r="GP199" s="42">
        <f>Tasks[[#This Row],[_LeafWork]]*Tasks[[#This Row],[_LeafProgress]]</f>
        <v/>
      </c>
      <c r="GQ199" s="88">
        <f>IF(AND(Tasks[[#This Row],[_IsLeaf]]=1,Tasks[[#This Row],[_LeafProgress]]&gt;=1),IF(N(Tasks[[#This Row],[Actual Finish]])&gt;0,Tasks[[#This Row],[Actual Finish]],Tasks[[#This Row],[_ShownFcstFinish]]),"")</f>
        <v/>
      </c>
      <c r="GR199" s="42">
        <f>IF(Tasks[[#This Row],[_IsLeaf]]=1,N(Tasks[[#This Row],[Story Points]]),0)</f>
        <v/>
      </c>
      <c r="GS199" s="42">
        <f>""</f>
        <v/>
      </c>
      <c r="GT199" s="42">
        <f>IF(Tasks[[#This Row],[Task Name]]="",FALSE(),AND(Tasks[[#This Row],[_IsLeaf]]=1,N(Tasks[[#This Row],[_Days]])=0))</f>
        <v/>
      </c>
      <c r="GU199" s="88">
        <f>IF(Tasks[[#This Row],[Task Name]]="",0,IF(AND(Tasks[[#This Row],[_IsLeaf]]=1,NOT(Tasks[[#This Row],[_IsMilestone]]),N(Tasks[[#This Row],[Progress]])&gt;0),Tasks[[#This Row],[Start]],0))</f>
        <v/>
      </c>
      <c r="GV199" s="88">
        <f>IF(Tasks[[#This Row],[_DoneFrom]]=0,0,IF(Tasks[[#This Row],[Progress]]&gt;=1,Tasks[[#This Row],[Finish]],MAX(Tasks[[#This Row],[_DoneFrom]],Tasks[[#This Row],[Start]]+ROUND((Tasks[[#This Row],[Finish]]-Tasks[[#This Row],[Start]]+1)*Tasks[[#This Row],[Progress]],0)-1)))</f>
        <v/>
      </c>
      <c r="GW199" s="88">
        <f>IF(Tasks[[#This Row],[Task Name]]="",0,IF(OR(NOT(Tasks[[#This Row],[_IsLeaf]]=1),Tasks[[#This Row],[_IsMilestone]],N(Tasks[[#This Row],[Progress]])&gt;=1),0,IF(Tasks[[#This Row],[_DoneTo]]&gt;0,Tasks[[#This Row],[_DoneTo]]+1,Tasks[[#This Row],[Start]])))</f>
        <v/>
      </c>
      <c r="GX199" s="88">
        <f>IF(Tasks[[#This Row],[_RemFrom]]=0,0,Tasks[[#This Row],[Finish]])</f>
        <v/>
      </c>
      <c r="GY199" s="42">
        <f>IF(Tasks[[#This Row],[Task Name]]="",FALSE(),OR(NOT(BaselineSet),N(Tasks[[#This Row],[Baseline Start]])&gt;0))</f>
        <v/>
      </c>
      <c r="GZ199" s="42">
        <f>IF(AND(Sandbox="Yes",L_PARSE_DURATION(Tasks[[#This Row],[Sandbox Duration]])&lt;&gt;""),L_PARSE_DURATION(Tasks[[#This Row],[Sandbox Duration]]),L_PARSE_DURATION(Tasks[[#This Row],[Duration]]))</f>
        <v/>
      </c>
      <c r="HA199"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19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9" s="42">
        <f>IF(Tasks[[#This Row],[_IsLeaf]]=1,Tasks[[#This Row],[_Row]],"")</f>
        <v/>
      </c>
      <c r="HD199" s="42">
        <f>IFERROR(INDEX(Tasks[UID],SMALL(Tasks[_PickKey],Tasks[[#This Row],[_Row]]))&amp;" "&amp;INDEX(Tasks[Task Name],SMALL(Tasks[_PickKey],Tasks[[#This Row],[_Row]])),"")</f>
        <v/>
      </c>
      <c r="HE199" s="42">
        <f>IF(Tasks[[#This Row],[Task Name]]="","",IF(Tasks[[#This Row],[_IsSummary]],NETWORKDAYS.INTL(Tasks[[#This Row],[Start]],Tasks[[#This Row],[Finish]],WorkWeek,Holidays),N(Tasks[[#This Row],[_Days]])))</f>
        <v/>
      </c>
      <c r="HF199" s="42">
        <f>IF(Tasks[[#This Row],[Expected]]="",0,((Tasks[[#This Row],[Pessimistic]]-Tasks[[#This Row],[Optimistic]])/6)^2)</f>
        <v/>
      </c>
      <c r="HG199" s="42">
        <f>IF(Tasks[[#This Row],[Expected]]="",0,Tasks[[#This Row],[Expected]]-N(Tasks[[#This Row],[_Days]]))</f>
        <v/>
      </c>
    </row>
    <row r="200">
      <c r="A200" s="21">
        <f>IF(Tasks[[#This Row],[Task Name]]="","",COUNTA(Tasks[[#Headers],[Task Name]]:Tasks[[#This Row],[Task Name]])-1)</f>
        <v/>
      </c>
      <c r="B200" s="22" t="n">
        <v>208</v>
      </c>
      <c r="C200" s="22" t="n"/>
      <c r="D200" s="23" t="n"/>
      <c r="E200" s="22" t="n"/>
      <c r="F200" s="23" t="n"/>
      <c r="G200" s="22" t="n"/>
      <c r="H200" s="22" t="n"/>
      <c r="I200" s="23" t="n"/>
      <c r="J200" s="22" t="n"/>
      <c r="K200" s="22" t="n"/>
      <c r="L200" s="23" t="n"/>
      <c r="M200" s="22" t="n"/>
      <c r="N200" s="22" t="n"/>
      <c r="O200" s="23" t="n"/>
      <c r="P200" s="22" t="n"/>
      <c r="Q200" s="22" t="n"/>
      <c r="R200" s="23" t="n"/>
      <c r="S200" s="23" t="n"/>
      <c r="T200" s="82" t="n"/>
      <c r="U200" s="23" t="n"/>
      <c r="V200" s="82" t="n"/>
      <c r="W200" s="23" t="n"/>
      <c r="X200" s="82" t="n"/>
      <c r="Y200" s="23" t="n"/>
      <c r="Z200" s="82" t="n"/>
      <c r="AA200" s="23" t="n"/>
      <c r="AB200" s="23" t="n"/>
      <c r="AC200" s="7" t="n"/>
      <c r="AD200" s="7" t="n"/>
      <c r="AE200" s="61">
        <f>IF(Tasks[[#This Row],[Task Name]]="","",IF(Tasks[[#This Row],[_IsSummary]],MIN(INDEX(Tasks[_ShownFcstStart],Tasks[[#This Row],[_Row]]+1):INDEX(Tasks[_ShownFcstStart],Tasks[[#This Row],[_Row]]+Tasks[[#This Row],[_Descendants]])),Tasks[[#This Row],[_ShownFcstStart]]))</f>
        <v/>
      </c>
      <c r="AF200" s="61">
        <f>IF(Tasks[[#This Row],[Task Name]]="","",IF(Tasks[[#This Row],[_IsSummary]],MAX(INDEX(Tasks[_ShownFcstFinish],Tasks[[#This Row],[_Row]]+1):INDEX(Tasks[_ShownFcstFinish],Tasks[[#This Row],[_Row]]+Tasks[[#This Row],[_Descendants]])),Tasks[[#This Row],[_ShownFcstFinish]]))</f>
        <v/>
      </c>
      <c r="AG200" s="21">
        <f>""</f>
        <v/>
      </c>
      <c r="AH200" s="23" t="n"/>
      <c r="AI20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00" s="7" t="n"/>
      <c r="AK200" s="22" t="n"/>
      <c r="AL200" s="23" t="n"/>
      <c r="AM200" s="7" t="n"/>
      <c r="AN200" s="21">
        <f>IF(Tasks[[#This Row],[Task Name]]="","",IF(Tasks[[#This Row],[Finish]]&gt;=Tasks[[#This Row],[Planned Finish]],NETWORKDAYS.INTL(Tasks[[#This Row],[Planned Finish]],Tasks[[#This Row],[Finish]],WorkWeek,Holidays)-1,1-NETWORKDAYS.INTL(Tasks[[#This Row],[Finish]],Tasks[[#This Row],[Planned Finish]],WorkWeek,Holidays)))</f>
        <v/>
      </c>
      <c r="AO200" s="21">
        <f>IF(Tasks[[#This Row],[Task Name]]="","",IF(Tasks[[#This Row],[Progress]]&gt;=1,"Complete",IF(OR(N(Tasks[[#This Row],[Actual Start]])&gt;0,Tasks[[#This Row],[Progress]]&gt;0),IF(Tasks[[#This Row],[Finish Var]]&gt;0,"Behind","In Progress"),IF(Tasks[[#This Row],[Planned Start]]&lt;StatusDate,"Late Start","Not Started"))))</f>
        <v/>
      </c>
      <c r="AP200" s="21">
        <f>IF(Tasks[[#This Row],[Task Name]]="","",IF(IF(Tasks[[#This Row],[_IsSummary]],COUNTIF(INDEX(Tasks[_LeafCritical],Tasks[[#This Row],[_Row]]+1):INDEX(Tasks[_LeafCritical],Tasks[[#This Row],[_Row]]+Tasks[[#This Row],[_Descendants]]),TRUE())&gt;0,Tasks[[#This Row],[_LeafCritical]]),"Yes",""))</f>
        <v/>
      </c>
      <c r="AQ200" s="61">
        <f>IF(Tasks[[#This Row],[Task Name]]="","",IF(N(Tasks[[#This Row],[Baseline Start]])&gt;0,Tasks[[#This Row],[Baseline Start]],Tasks[[#This Row],[_CalcStart]]))</f>
        <v/>
      </c>
      <c r="AR200" s="61">
        <f>IF(Tasks[[#This Row],[Task Name]]="","",IF(N(Tasks[[#This Row],[Baseline Finish]])&gt;0,Tasks[[#This Row],[Baseline Finish]],Tasks[[#This Row],[_CalcFinish]]))</f>
        <v/>
      </c>
      <c r="AS200" s="21">
        <f>IF(Tasks[[#This Row],[Task Name]]="","",IF(Tasks[[#This Row],[Start]]&gt;=Tasks[[#This Row],[Planned Start]],NETWORKDAYS.INTL(Tasks[[#This Row],[Planned Start]],Tasks[[#This Row],[Start]],WorkWeek,Holidays)-1,1-NETWORKDAYS.INTL(Tasks[[#This Row],[Start]],Tasks[[#This Row],[Planned Start]],WorkWeek,Holidays)))</f>
        <v/>
      </c>
      <c r="AT200" s="61">
        <f>IF(Tasks[[#This Row],[Task Name]]="","",IF(Tasks[[#This Row],[_IsSummary]],MIN(INDEX(Tasks[_LeafLateStart],Tasks[[#This Row],[_Row]]+1):INDEX(Tasks[_LeafLateStart],Tasks[[#This Row],[_Row]]+Tasks[[#This Row],[_Descendants]])),Tasks[[#This Row],[_LeafLateStart]]))</f>
        <v/>
      </c>
      <c r="AU200" s="61">
        <f>IF(Tasks[[#This Row],[Task Name]]="","",IF(Tasks[[#This Row],[_IsSummary]],MAX(INDEX(Tasks[_LeafLateFinish],Tasks[[#This Row],[_Row]]+1):INDEX(Tasks[_LeafLateFinish],Tasks[[#This Row],[_Row]]+Tasks[[#This Row],[_Descendants]])),Tasks[[#This Row],[_LeafLateFinish]]))</f>
        <v/>
      </c>
      <c r="AV200" s="21">
        <f>IF(Tasks[[#This Row],[Task Name]]="","",IF(Tasks[[#This Row],[_IsSummary]],MIN(INDEX(Tasks[_LeafTotalSlack],Tasks[[#This Row],[_Row]]+1):INDEX(Tasks[_LeafTotalSlack],Tasks[[#This Row],[_Row]]+Tasks[[#This Row],[_Descendants]])),Tasks[[#This Row],[_LeafTotalSlack]]))</f>
        <v/>
      </c>
      <c r="AW20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3" t="n"/>
      <c r="BA20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f>IF(Tasks[[#This Row],[Task Name]]="","",IF(Tasks[[#This Row],[_Level]]&lt;=OutlineShowLevel,"Yes","No"))</f>
        <v/>
      </c>
      <c r="BE200" s="84">
        <f>IF(Tasks[[#This Row],[Task Name]]="","",IF(Tasks[[#This Row],[_IsSummary]],SUM(INDEX(Tasks[_LeafTotalWork],Tasks[[#This Row],[_Row]]+1):INDEX(Tasks[_LeafTotalWork],Tasks[[#This Row],[_Row]]+Tasks[[#This Row],[_Descendants]])),Tasks[[#This Row],[_LeafTotalWork]]))</f>
        <v/>
      </c>
      <c r="BF200" s="23" t="n"/>
      <c r="BG20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f>""</f>
        <v/>
      </c>
      <c r="BI200" s="85" t="n"/>
      <c r="BJ200" s="22" t="n"/>
      <c r="BK200" s="21">
        <f>IF(OR(Tasks[[#This Row],[Task Name]]="",Tasks[[#This Row],[Baseline Duration]]=""),"",Tasks[[#This Row],[_SpanDays]]-N(Tasks[[#This Row],[Baseline Duration]]))</f>
        <v/>
      </c>
      <c r="BL200" s="84">
        <f>IF(OR(Tasks[[#This Row],[Task Name]]="",Tasks[[#This Row],[Baseline Work]]=""),"",Tasks[[#This Row],[Work]]-N(Tasks[[#This Row],[Baseline Work]]))</f>
        <v/>
      </c>
      <c r="BM200" s="61">
        <f>IF(Tasks[[#This Row],[Task Name]]="","",IF(OR(TakeBaseline="Yes",N(Tasks[[#This Row],[Baseline Start]])=0),Tasks[[#This Row],[Start]],Tasks[[#This Row],[Baseline Start]]))</f>
        <v/>
      </c>
      <c r="BN200" s="61">
        <f>IF(Tasks[[#This Row],[Task Name]]="","",IF(OR(TakeBaseline="Yes",N(Tasks[[#This Row],[Baseline Finish]])=0),Tasks[[#This Row],[Finish]],Tasks[[#This Row],[Baseline Finish]]))</f>
        <v/>
      </c>
      <c r="BO200" s="21">
        <f>IF(Tasks[[#This Row],[Task Name]]="","",IF(OR(TakeBaseline="Yes",N(Tasks[[#This Row],[Baseline Duration]])=0),Tasks[[#This Row],[_SpanDays]],Tasks[[#This Row],[Baseline Duration]]))</f>
        <v/>
      </c>
      <c r="BP200" s="84">
        <f>IF(Tasks[[#This Row],[Task Name]]="","",IF(OR(TakeBaseline="Yes",N(Tasks[[#This Row],[Baseline Work]])=0),Tasks[[#This Row],[Work]],Tasks[[#This Row],[Baseline Work]]))</f>
        <v/>
      </c>
      <c r="BQ200" s="7" t="n"/>
      <c r="BR200" s="7" t="n"/>
      <c r="BS200" s="22" t="n"/>
      <c r="BT200" s="86" t="n"/>
      <c r="BU200" s="23" t="n"/>
      <c r="BV200" s="23" t="n"/>
      <c r="BW200" s="23" t="n"/>
      <c r="BX200" s="87">
        <f>IF(AND(Tasks[[#This Row],[_IsLeaf]]=1,ISNUMBER(Tasks[[#This Row],[Optimistic]]),ISNUMBER(Tasks[[#This Row],[Pessimistic]])),ROUND((Tasks[[#This Row],[Optimistic]]+4*N(Tasks[[#This Row],[_Days]])+Tasks[[#This Row],[Pessimistic]])/6,1),"")</f>
        <v/>
      </c>
      <c r="BY200" s="85" t="n"/>
      <c r="BZ200" s="85" t="n"/>
      <c r="CA200" s="22" t="n"/>
      <c r="CB200" s="42">
        <f>IF(Tasks[[#This Row],[Task Name]]="","",MAX(1,N(Tasks[[#This Row],[Level]])))</f>
        <v/>
      </c>
      <c r="CC200" s="42">
        <f>ROW()-ROW(Tasks[[#Headers],[ID]])</f>
        <v/>
      </c>
      <c r="CD200" s="42">
        <f>IF(OR(Tasks[[#This Row],[Task Name]]="",Tasks[[#This Row],[_Level]]&lt;=1),0,IFERROR(LOOKUP(2,1/(Tasks[[#Headers],[_Level]]:Tasks[[#This Row],[_Level]]=Tasks[[#This Row],[_Level]]-1),ROW(Tasks[[#Headers],[_Level]]:Tasks[[#This Row],[_Level]])),0))</f>
        <v/>
      </c>
      <c r="CE200" s="42">
        <f>IFERROR(N(INDEX(Tasks[_Level],Tasks[[#This Row],[_Row]]+1)),0)</f>
        <v/>
      </c>
      <c r="CF200" s="42">
        <f>AND(Tasks[[#This Row],[Task Name]]&lt;&gt;"",Tasks[[#This Row],[_NextLevel]]&gt;Tasks[[#This Row],[_Level]])</f>
        <v/>
      </c>
      <c r="CG200" s="42">
        <f>IF(Tasks[[#This Row],[_IsSummary]],COUNTIF(Tasks[WBS],Tasks[[#This Row],[WBS]]&amp;".*"),0)</f>
        <v/>
      </c>
      <c r="CH200" s="42">
        <f>IF(AND(Tasks[[#This Row],[Task Name]]&lt;&gt;"",NOT(Tasks[[#This Row],[_IsSummary]])),1,0)</f>
        <v/>
      </c>
      <c r="CI200" s="42">
        <f>IF(N(Tasks[[#This Row],[_Pred1UID]])=0,0,IFERROR(MATCH(Tasks[[#This Row],[_Pred1UID]],Tasks[UID],0),-1))</f>
        <v/>
      </c>
      <c r="CJ200" s="42">
        <f>IF(N(Tasks[[#This Row],[_Pred2UID]])=0,0,IFERROR(MATCH(Tasks[[#This Row],[_Pred2UID]],Tasks[UID],0),-1))</f>
        <v/>
      </c>
      <c r="CK200" s="42">
        <f>IF(N(Tasks[[#This Row],[_Pred3UID]])=0,0,IFERROR(MATCH(Tasks[[#This Row],[_Pred3UID]],Tasks[UID],0),-1))</f>
        <v/>
      </c>
      <c r="CL200" s="42">
        <f>IF(N(Tasks[[#This Row],[_Pred4UID]])=0,0,IFERROR(MATCH(Tasks[[#This Row],[_Pred4UID]],Tasks[UID],0),-1))</f>
        <v/>
      </c>
      <c r="CM20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0" s="88">
        <f>IF(N(Tasks[[#This Row],[Constraint Date]])=0,0,IF(AND(OR(Tasks[[#This Row],[_ConstraintCode]]=3,Tasks[[#This Row],[_ConstraintCode]]=6,Tasks[[#This Row],[_ConstraintCode]]=7),N(Tasks[[#This Row],[_Days]])&gt;1),WORKDAY.INTL(N(Tasks[[#This Row],[Constraint Date]]),-(N(Tasks[[#This Row],[_Days]])-1),WorkWeek,Holidays),N(Tasks[[#This Row],[Constraint Date]])))</f>
        <v/>
      </c>
      <c r="CO200" s="88">
        <f>IF(OR(Tasks[[#This Row],[_ConstraintCode]]=2,Tasks[[#This Row],[_ConstraintCode]]=3,Tasks[[#This Row],[_ConstraintCode]]=4,Tasks[[#This Row],[_ConstraintCode]]=6),Tasks[[#This Row],[_ConstraintStart]],0)</f>
        <v/>
      </c>
      <c r="CP200" s="88">
        <f>IF(OR(Tasks[[#This Row],[_ConstraintCode]]=2,Tasks[[#This Row],[_ConstraintCode]]=3,Tasks[[#This Row],[_ConstraintCode]]=5,Tasks[[#This Row],[_ConstraintCode]]=7),Tasks[[#This Row],[_ConstraintStart]],2958465)</f>
        <v/>
      </c>
      <c r="CQ20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0" s="88">
        <f>IF(NOT(Tasks[[#This Row],[_IsLeaf]]=1),"",IF(N(Tasks[[#This Row],[_Days]])&lt;=0,Tasks[[#This Row],[_LeafCalcStart]],WORKDAY.INTL(Tasks[[#This Row],[_LeafCalcStart]],Tasks[[#This Row],[_Days]]-1,WorkWeek,Holidays)))</f>
        <v/>
      </c>
      <c r="CS20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0" s="42">
        <f>IF(Tasks[[#This Row],[_Predecessors]]="","",TRIM(MID(SUBSTITUTE(SUBSTITUTE(SUBSTITUTE(UPPER(Tasks[[#This Row],[_Predecessors]]),";",",")," ",""),",",REPT(" ",99)),1,99)))</f>
        <v/>
      </c>
      <c r="CV200" s="42">
        <f>IF(Tasks[[#This Row],[_Pred1Text]]="","",IFERROR(VALUE(LEFT(Tasks[[#This Row],[_Pred1Text]],MIN(FIND("F",Tasks[[#This Row],[_Pred1Text]]&amp;"F"),FIND("S",Tasks[[#This Row],[_Pred1Text]]&amp;"S"),FIND("+",Tasks[[#This Row],[_Pred1Text]]&amp;"+"),FIND("-",Tasks[[#This Row],[_Pred1Text]]&amp;"-"))-1)),""))</f>
        <v/>
      </c>
      <c r="CW20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0" s="42">
        <f>IF(Tasks[[#This Row],[_Pred1Text]]="","",TRIM(MID(SUBSTITUTE(SUBSTITUTE(SUBSTITUTE(UPPER(Tasks[[#This Row],[_Predecessors]]),";",",")," ",""),",",REPT(" ",99)),100,99)))</f>
        <v/>
      </c>
      <c r="CZ200" s="42">
        <f>IF(Tasks[[#This Row],[_Pred2Text]]="","",IFERROR(VALUE(LEFT(Tasks[[#This Row],[_Pred2Text]],MIN(FIND("F",Tasks[[#This Row],[_Pred2Text]]&amp;"F"),FIND("S",Tasks[[#This Row],[_Pred2Text]]&amp;"S"),FIND("+",Tasks[[#This Row],[_Pred2Text]]&amp;"+"),FIND("-",Tasks[[#This Row],[_Pred2Text]]&amp;"-"))-1)),""))</f>
        <v/>
      </c>
      <c r="DA20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0" s="42">
        <f>IF(Tasks[[#This Row],[_Pred2Text]]="","",TRIM(MID(SUBSTITUTE(SUBSTITUTE(SUBSTITUTE(UPPER(Tasks[[#This Row],[_Predecessors]]),";",",")," ",""),",",REPT(" ",99)),199,99)))</f>
        <v/>
      </c>
      <c r="DD200" s="42">
        <f>IF(Tasks[[#This Row],[_Pred3Text]]="","",IFERROR(VALUE(LEFT(Tasks[[#This Row],[_Pred3Text]],MIN(FIND("F",Tasks[[#This Row],[_Pred3Text]]&amp;"F"),FIND("S",Tasks[[#This Row],[_Pred3Text]]&amp;"S"),FIND("+",Tasks[[#This Row],[_Pred3Text]]&amp;"+"),FIND("-",Tasks[[#This Row],[_Pred3Text]]&amp;"-"))-1)),""))</f>
        <v/>
      </c>
      <c r="DE20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0" s="42">
        <f>IF(Tasks[[#This Row],[_Pred3Text]]="","",TRIM(MID(SUBSTITUTE(SUBSTITUTE(SUBSTITUTE(UPPER(Tasks[[#This Row],[_Predecessors]]),";",",")," ",""),",",REPT(" ",99)),298,99)))</f>
        <v/>
      </c>
      <c r="DH200" s="42">
        <f>IF(Tasks[[#This Row],[_Pred4Text]]="","",IFERROR(VALUE(LEFT(Tasks[[#This Row],[_Pred4Text]],MIN(FIND("F",Tasks[[#This Row],[_Pred4Text]]&amp;"F"),FIND("S",Tasks[[#This Row],[_Pred4Text]]&amp;"S"),FIND("+",Tasks[[#This Row],[_Pred4Text]]&amp;"+"),FIND("-",Tasks[[#This Row],[_Pred4Text]]&amp;"-"))-1)),""))</f>
        <v/>
      </c>
      <c r="DI20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0" s="42">
        <f>IF(OR(Tasks[[#This Row],[Task Name]]="",Tasks[[#This Row],[_Resources]]=""),"",TRIM(MID(SUBSTITUTE(Tasks[[#This Row],[_Resources]],",",REPT(" ",99)),1,99)))</f>
        <v/>
      </c>
      <c r="DL200" s="42">
        <f>IF(Tasks[[#This Row],[_Res1Text]]="","",TRIM(MID(SUBSTITUTE(Tasks[[#This Row],[_Resources]],",",REPT(" ",99)),100,99)))</f>
        <v/>
      </c>
      <c r="DM200" s="42">
        <f>IF(Tasks[[#This Row],[_Res2Text]]="","",TRIM(MID(SUBSTITUTE(Tasks[[#This Row],[_Resources]],",",REPT(" ",99)),199,99)))</f>
        <v/>
      </c>
      <c r="DN200" s="42">
        <f>IF(Tasks[[#This Row],[_Res3Text]]="","",TRIM(MID(SUBSTITUTE(Tasks[[#This Row],[_Resources]],",",REPT(" ",99)),298,99)))</f>
        <v/>
      </c>
      <c r="DO200" s="42">
        <f>IF(Tasks[[#This Row],[_Res1Text]]="",0,IFERROR(MATCH(TRIM(LEFT(Tasks[[#This Row],[_Res1Text]],FIND("[",Tasks[[#This Row],[_Res1Text]]&amp;"[")-1)),res_Name,0),IFERROR(MATCH(TRIM(LEFT(Tasks[[#This Row],[_Res1Text]],FIND("[",Tasks[[#This Row],[_Res1Text]]&amp;"[")-1)),res_Initials,0),0)))</f>
        <v/>
      </c>
      <c r="DP200" s="42">
        <f>IF(Tasks[[#This Row],[_Res2Text]]="",0,IFERROR(MATCH(TRIM(LEFT(Tasks[[#This Row],[_Res2Text]],FIND("[",Tasks[[#This Row],[_Res2Text]]&amp;"[")-1)),res_Name,0),IFERROR(MATCH(TRIM(LEFT(Tasks[[#This Row],[_Res2Text]],FIND("[",Tasks[[#This Row],[_Res2Text]]&amp;"[")-1)),res_Initials,0),0)))</f>
        <v/>
      </c>
      <c r="DQ200" s="42">
        <f>IF(Tasks[[#This Row],[_Res3Text]]="",0,IFERROR(MATCH(TRIM(LEFT(Tasks[[#This Row],[_Res3Text]],FIND("[",Tasks[[#This Row],[_Res3Text]]&amp;"[")-1)),res_Name,0),IFERROR(MATCH(TRIM(LEFT(Tasks[[#This Row],[_Res3Text]],FIND("[",Tasks[[#This Row],[_Res3Text]]&amp;"[")-1)),res_Initials,0),0)))</f>
        <v/>
      </c>
      <c r="DR200" s="42">
        <f>IF(Tasks[[#This Row],[_Res4Text]]="",0,IFERROR(MATCH(TRIM(LEFT(Tasks[[#This Row],[_Res4Text]],FIND("[",Tasks[[#This Row],[_Res4Text]]&amp;"[")-1)),res_Name,0),IFERROR(MATCH(TRIM(LEFT(Tasks[[#This Row],[_Res4Text]],FIND("[",Tasks[[#This Row],[_Res4Text]]&amp;"[")-1)),res_Initials,0),0)))</f>
        <v/>
      </c>
      <c r="DS200" s="42">
        <f>IF(Tasks[[#This Row],[_Res1Text]]="","",IF(Tasks[[#This Row],[_Res1Row]]&gt;0,INDEX(res_Name,Tasks[[#This Row],[_Res1Row]]),TRIM(LEFT(Tasks[[#This Row],[_Res1Text]],FIND("[",Tasks[[#This Row],[_Res1Text]]&amp;"[")-1))))</f>
        <v/>
      </c>
      <c r="DT20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0" s="42">
        <f>IF(NOT(Tasks[[#This Row],[_IsLeaf]]=1),0,(Tasks[[#This Row],[_Resource1]]&lt;&gt;"")+(Tasks[[#This Row],[_Res2]]&lt;&gt;"")+(Tasks[[#This Row],[_Res3]]&lt;&gt;"")+(Tasks[[#This Row],[_Res4]]&lt;&gt;""))</f>
        <v/>
      </c>
      <c r="DV200" s="42">
        <f>IF(Tasks[[#This Row],[_Res2Text]]="","",IF(Tasks[[#This Row],[_Res2Row]]&gt;0,INDEX(res_Name,Tasks[[#This Row],[_Res2Row]]),TRIM(LEFT(Tasks[[#This Row],[_Res2Text]],FIND("[",Tasks[[#This Row],[_Res2Text]]&amp;"[")-1))))</f>
        <v/>
      </c>
      <c r="DW20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0" s="42">
        <f>IF(OR(NOT(Tasks[[#This Row],[_IsLeaf]]=1),Tasks[[#This Row],[_Res2Row]]=0),0,N(Tasks[[#This Row],[_Days]])*HoursPerDay*IF(Tasks[[#This Row],[_Res2Units]]="",DefaultUnits,Tasks[[#This Row],[_Res2Units]]))</f>
        <v/>
      </c>
      <c r="DY200" s="42">
        <f>IF(AND(AND(Tasks[[#This Row],[_IsLeaf]]=1,Tasks[[#This Row],[_LeafTotalWork]]&gt;0),Tasks[[#This Row],[_Res2Work]]&gt;0),Tasks[[#This Row],[_Res2Work]]/(Tasks[[#This Row],[_FinishWorkday]]-Tasks[[#This Row],[_StartWorkday]]+1),0)</f>
        <v/>
      </c>
      <c r="DZ200" s="42">
        <f>Tasks[[#This Row],[_Res2WorkPerWD]]*MAX(0,Tasks[[#This Row],[_StartWorkday]]-1)</f>
        <v/>
      </c>
      <c r="EA200" s="42">
        <f>Tasks[[#This Row],[_Res2Work]]*Tasks[[#This Row],[_LeafProgress]]</f>
        <v/>
      </c>
      <c r="EB200" s="42">
        <f>IF(Tasks[[#This Row],[_Res3Text]]="","",IF(Tasks[[#This Row],[_Res3Row]]&gt;0,INDEX(res_Name,Tasks[[#This Row],[_Res3Row]]),TRIM(LEFT(Tasks[[#This Row],[_Res3Text]],FIND("[",Tasks[[#This Row],[_Res3Text]]&amp;"[")-1))))</f>
        <v/>
      </c>
      <c r="EC20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0" s="42">
        <f>IF(OR(NOT(Tasks[[#This Row],[_IsLeaf]]=1),Tasks[[#This Row],[_Res3Row]]=0),0,N(Tasks[[#This Row],[_Days]])*HoursPerDay*IF(Tasks[[#This Row],[_Res3Units]]="",DefaultUnits,Tasks[[#This Row],[_Res3Units]]))</f>
        <v/>
      </c>
      <c r="EE200" s="42">
        <f>IF(AND(AND(Tasks[[#This Row],[_IsLeaf]]=1,Tasks[[#This Row],[_LeafTotalWork]]&gt;0),Tasks[[#This Row],[_Res3Work]]&gt;0),Tasks[[#This Row],[_Res3Work]]/(Tasks[[#This Row],[_FinishWorkday]]-Tasks[[#This Row],[_StartWorkday]]+1),0)</f>
        <v/>
      </c>
      <c r="EF200" s="42">
        <f>Tasks[[#This Row],[_Res3WorkPerWD]]*MAX(0,Tasks[[#This Row],[_StartWorkday]]-1)</f>
        <v/>
      </c>
      <c r="EG200" s="42">
        <f>Tasks[[#This Row],[_Res3Work]]*Tasks[[#This Row],[_LeafProgress]]</f>
        <v/>
      </c>
      <c r="EH200" s="42">
        <f>IF(Tasks[[#This Row],[_Res4Text]]="","",IF(Tasks[[#This Row],[_Res4Row]]&gt;0,INDEX(res_Name,Tasks[[#This Row],[_Res4Row]]),TRIM(LEFT(Tasks[[#This Row],[_Res4Text]],FIND("[",Tasks[[#This Row],[_Res4Text]]&amp;"[")-1))))</f>
        <v/>
      </c>
      <c r="EI20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0" s="42">
        <f>IF(OR(NOT(Tasks[[#This Row],[_IsLeaf]]=1),Tasks[[#This Row],[_Res4Row]]=0),0,N(Tasks[[#This Row],[_Days]])*HoursPerDay*IF(Tasks[[#This Row],[_Res4Units]]="",DefaultUnits,Tasks[[#This Row],[_Res4Units]]))</f>
        <v/>
      </c>
      <c r="EK200" s="42">
        <f>IF(AND(AND(Tasks[[#This Row],[_IsLeaf]]=1,Tasks[[#This Row],[_LeafTotalWork]]&gt;0),Tasks[[#This Row],[_Res4Work]]&gt;0),Tasks[[#This Row],[_Res4Work]]/(Tasks[[#This Row],[_FinishWorkday]]-Tasks[[#This Row],[_StartWorkday]]+1),0)</f>
        <v/>
      </c>
      <c r="EL200" s="42">
        <f>Tasks[[#This Row],[_Res4WorkPerWD]]*MAX(0,Tasks[[#This Row],[_StartWorkday]]-1)</f>
        <v/>
      </c>
      <c r="EM200" s="42">
        <f>Tasks[[#This Row],[_Res4Work]]*Tasks[[#This Row],[_LeafProgress]]</f>
        <v/>
      </c>
      <c r="EN200" s="42">
        <f>IF(ISNUMBER(Tasks[[#This Row],[% Complete]]),Tasks[[#This Row],[% Complete]],IF(Tasks[[#This Row],[Stage]]="",0,IFERROR(INDEX(stg_Pct,MATCH(Tasks[[#This Row],[Stage]],stg_Name,0)),0)))</f>
        <v/>
      </c>
      <c r="EO200" s="42">
        <f>IF(NOT(Tasks[[#This Row],[_IsLeaf]]=1),0,IF(N(Tasks[[#This Row],[Actual Finish]])&gt;0,1,MIN(1,Tasks[[#This Row],[_Pct]])))</f>
        <v/>
      </c>
      <c r="EP200" s="42">
        <f>IF(OR(NOT(Tasks[[#This Row],[_IsLeaf]]=1),Tasks[[#This Row],[_Res1Row]]=0),0,N(Tasks[[#This Row],[_Days]])*HoursPerDay*IF(Tasks[[#This Row],[_Units1]]="",DefaultUnits,Tasks[[#This Row],[_Units1]]))</f>
        <v/>
      </c>
      <c r="EQ200" s="42">
        <f>Tasks[[#This Row],[_LeafWork]]+Tasks[[#This Row],[_Res2Work]]+Tasks[[#This Row],[_Res3Work]]+Tasks[[#This Row],[_Res4Work]]</f>
        <v/>
      </c>
      <c r="ER20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0" s="42">
        <f>IF(NOT(Tasks[[#This Row],[_IsLeaf]]=1),0,MAX(_xlfn.MAXIFS(Tasks[_Row],Tasks[_Pred1UID],Tasks[[#This Row],[UID]]),_xlfn.MAXIFS(Tasks[_Row],Tasks[_Pred2UID],Tasks[[#This Row],[UID]]),_xlfn.MAXIFS(Tasks[_Row],Tasks[_Pred3UID],Tasks[[#This Row],[UID]]),_xlfn.MAXIFS(Tasks[_Row],Tasks[_Pred4UID],Tasks[[#This Row],[UID]])))</f>
        <v/>
      </c>
      <c r="FA20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0" s="88">
        <f>IF(NOT(Tasks[[#This Row],[_IsLeaf]]=1),"",IF(N(Tasks[[#This Row],[_Days]])&lt;=0,Tasks[[#This Row],[_LeafLateFinish]],WORKDAY.INTL(Tasks[[#This Row],[_LeafLateFinish]],-(Tasks[[#This Row],[_Days]]-1),WorkWeek,Holidays)))</f>
        <v/>
      </c>
      <c r="FD20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0" s="42">
        <f>AND(Tasks[[#This Row],[_IsLeaf]]=1,Tasks[[#This Row],[_LeafProgress]]&lt;1,N(Tasks[[#This Row],[_LeafTotalSlack]])&lt;=CriticalSlackDays)</f>
        <v/>
      </c>
      <c r="FF200" s="42">
        <f>IF(AND(Tasks[[#This Row],[_IsLeaf]]=1,Tasks[[#This Row],[_ConstraintCode]]=1,Tasks[[#This Row],[Mode]]&lt;&gt;"Manual",N(Tasks[[#This Row],[Actual Start]])=0),MAX(0,N(Tasks[[#This Row],[Free Slack]])),0)</f>
        <v/>
      </c>
      <c r="FG200" s="88">
        <f>IF(NOT(Tasks[[#This Row],[_IsLeaf]]=1),"",IF(Tasks[[#This Row],[_AlapShift]]=0,Tasks[[#This Row],[_LeafCalcStart]],WORKDAY.INTL(Tasks[[#This Row],[_LeafCalcStart]],Tasks[[#This Row],[_AlapShift]],WorkWeek,Holidays)))</f>
        <v/>
      </c>
      <c r="FH200" s="88">
        <f>IF(NOT(Tasks[[#This Row],[_IsLeaf]]=1),"",IF(Tasks[[#This Row],[_AlapShift]]=0,Tasks[[#This Row],[_LeafCalcFinish]],WORKDAY.INTL(Tasks[[#This Row],[_LeafCalcFinish]],Tasks[[#This Row],[_AlapShift]],WorkWeek,Holidays)))</f>
        <v/>
      </c>
      <c r="FI200" s="88">
        <f>IF(NOT(Tasks[[#This Row],[_IsLeaf]]=1),"",IF(Tasks[[#This Row],[_AlapShift]]=0,Tasks[[#This Row],[_LeafFcstStart]],WORKDAY.INTL(Tasks[[#This Row],[_LeafFcstStart]],Tasks[[#This Row],[_AlapShift]],WorkWeek,Holidays)))</f>
        <v/>
      </c>
      <c r="FJ200" s="88">
        <f>IF(NOT(Tasks[[#This Row],[_IsLeaf]]=1),"",IF(Tasks[[#This Row],[_AlapShift]]=0,Tasks[[#This Row],[_LeafFcstFinish]],WORKDAY.INTL(Tasks[[#This Row],[_LeafFcstFinish]],Tasks[[#This Row],[_AlapShift]],WorkWeek,Holidays)))</f>
        <v/>
      </c>
      <c r="FK200" s="88">
        <f>IF(Tasks[[#This Row],[Task Name]]="","",IF(Tasks[[#This Row],[_IsSummary]],MIN(INDEX(Tasks[_ShownCalcStart],Tasks[[#This Row],[_Row]]+1):INDEX(Tasks[_ShownCalcStart],Tasks[[#This Row],[_Row]]+Tasks[[#This Row],[_Descendants]])),Tasks[[#This Row],[_ShownCalcStart]]))</f>
        <v/>
      </c>
      <c r="FL200" s="88">
        <f>IF(Tasks[[#This Row],[Task Name]]="","",IF(Tasks[[#This Row],[_IsSummary]],MAX(INDEX(Tasks[_ShownCalcFinish],Tasks[[#This Row],[_Row]]+1):INDEX(Tasks[_ShownCalcFinish],Tasks[[#This Row],[_Row]]+Tasks[[#This Row],[_Descendants]])),Tasks[[#This Row],[_ShownCalcFinish]]))</f>
        <v/>
      </c>
      <c r="FM20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0" s="42">
        <f>IF(AND(Tasks[[#This Row],[_IsLeaf]]=1,Tasks[[#This Row],[_LeafTotalWork]]&gt;0),NETWORKDAYS.INTL(ProjectStart,Tasks[[#This Row],[_ShownFcstStart]],WorkWeek,Holidays),0)</f>
        <v/>
      </c>
      <c r="FZ200" s="42">
        <f>IF(AND(Tasks[[#This Row],[_IsLeaf]]=1,Tasks[[#This Row],[_LeafTotalWork]]&gt;0),MAX(Tasks[[#This Row],[_StartWorkday]],NETWORKDAYS.INTL(ProjectStart,Tasks[[#This Row],[_ShownFcstFinish]],WorkWeek,Holidays)),0)</f>
        <v/>
      </c>
      <c r="GA200" s="42">
        <f>IF(AND(Tasks[[#This Row],[_IsLeaf]]=1,Tasks[[#This Row],[_LeafTotalWork]]&gt;0),Tasks[[#This Row],[_LeafWork]]/(Tasks[[#This Row],[_FinishWorkday]]-Tasks[[#This Row],[_StartWorkday]]+1),0)</f>
        <v/>
      </c>
      <c r="GB200" s="42">
        <f>Tasks[[#This Row],[_WorkPerWorkday]]*(Tasks[[#This Row],[_StartWorkday]]-1)</f>
        <v/>
      </c>
      <c r="GC200" s="42">
        <f>IF(Tasks[[#This Row],[_IsLeaf]]=1,MAX(N(Tasks[[#This Row],[_Days]]),0.1),0)</f>
        <v/>
      </c>
      <c r="GD200" s="42">
        <f>Tasks[[#This Row],[_WeightDur]]*Tasks[[#This Row],[_LeafProgress]]</f>
        <v/>
      </c>
      <c r="GE200" s="42">
        <f>Tasks[[#This Row],[_WeightDur]]*Tasks[[#This Row],[_PlannedPct]]</f>
        <v/>
      </c>
      <c r="GF20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0" s="42">
        <f>IF(AND(Tasks[[#This Row],[_IsLeaf]]=1,N(Tasks[[#This Row],[_Days]])=0,Tasks[[#This Row],[_LeafProgress]]&lt;1),Tasks[[#This Row],[_ShownFcstFinish]]+Tasks[[#This Row],[_Row]]/100000,"")</f>
        <v/>
      </c>
      <c r="GH20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0" s="42">
        <f>IF(Tasks[[#This Row],[Task Name]]="","",LEFT(Tasks[[#This Row],[WBS]],FIND(".",Tasks[[#This Row],[WBS]]&amp;".")-1))</f>
        <v/>
      </c>
      <c r="GJ200" s="42">
        <f>IF(AND(Tasks[[#This Row],[Task Name]]&lt;&gt;"",Tasks[[#This Row],[_Level]]=1),Tasks[[#This Row],[_Row]],"")</f>
        <v/>
      </c>
      <c r="GK200" s="42">
        <f>IF(AND(Tasks[[#This Row],[_IsLeaf]]=1,N(Tasks[[#This Row],[_Days]])=0),Tasks[[#This Row],[Planned Finish]]+Tasks[[#This Row],[_Row]]/100000,"")</f>
        <v/>
      </c>
      <c r="GL200" s="42">
        <f>IF(AND(Tasks[[#This Row],[_IsLeaf]]=1,Tasks[[#This Row],[_LeafProgress]]&lt;1,OR(N(Tasks[[#This Row],[Finish Var]])&gt;0,Tasks[[#This Row],[Status]]="Late Start")),MAX(0,Tasks[[#This Row],[Finish Var]])+1-Tasks[[#This Row],[_Row]]/1000000,"")</f>
        <v/>
      </c>
      <c r="GM200" s="42">
        <f>IF(AND(Tasks[[#This Row],[_IsLeaf]]=1,N(Tasks[[#This Row],[Actual Start]])=0,Tasks[[#This Row],[_ShownFcstStart]]&gt;=StatusDate,Tasks[[#This Row],[_ShownFcstStart]]&lt;=LookaheadEnd),Tasks[[#This Row],[_ShownFcstStart]]+Tasks[[#This Row],[_Row]]/100000,"")</f>
        <v/>
      </c>
      <c r="GN200" s="42">
        <f>IF(AND(Tasks[[#This Row],[_IsLeaf]]=1,Tasks[[#This Row],[_LeafProgress]]&lt;1,Tasks[[#This Row],[_ShownFcstFinish]]&gt;=StatusDate,Tasks[[#This Row],[_ShownFcstFinish]]&lt;=LookaheadEnd),Tasks[[#This Row],[_ShownFcstFinish]]+Tasks[[#This Row],[_Row]]/100000,"")</f>
        <v/>
      </c>
      <c r="GO200" s="42">
        <f>IF(Tasks[[#This Row],[_LeafCritical]],Tasks[[#This Row],[_ShownFcstStart]]+Tasks[[#This Row],[_Row]]/100000,"")</f>
        <v/>
      </c>
      <c r="GP200" s="42">
        <f>Tasks[[#This Row],[_LeafWork]]*Tasks[[#This Row],[_LeafProgress]]</f>
        <v/>
      </c>
      <c r="GQ200" s="88">
        <f>IF(AND(Tasks[[#This Row],[_IsLeaf]]=1,Tasks[[#This Row],[_LeafProgress]]&gt;=1),IF(N(Tasks[[#This Row],[Actual Finish]])&gt;0,Tasks[[#This Row],[Actual Finish]],Tasks[[#This Row],[_ShownFcstFinish]]),"")</f>
        <v/>
      </c>
      <c r="GR200" s="42">
        <f>IF(Tasks[[#This Row],[_IsLeaf]]=1,N(Tasks[[#This Row],[Story Points]]),0)</f>
        <v/>
      </c>
      <c r="GS200" s="42">
        <f>""</f>
        <v/>
      </c>
      <c r="GT200" s="42">
        <f>IF(Tasks[[#This Row],[Task Name]]="",FALSE(),AND(Tasks[[#This Row],[_IsLeaf]]=1,N(Tasks[[#This Row],[_Days]])=0))</f>
        <v/>
      </c>
      <c r="GU200" s="88">
        <f>IF(Tasks[[#This Row],[Task Name]]="",0,IF(AND(Tasks[[#This Row],[_IsLeaf]]=1,NOT(Tasks[[#This Row],[_IsMilestone]]),N(Tasks[[#This Row],[Progress]])&gt;0),Tasks[[#This Row],[Start]],0))</f>
        <v/>
      </c>
      <c r="GV200" s="88">
        <f>IF(Tasks[[#This Row],[_DoneFrom]]=0,0,IF(Tasks[[#This Row],[Progress]]&gt;=1,Tasks[[#This Row],[Finish]],MAX(Tasks[[#This Row],[_DoneFrom]],Tasks[[#This Row],[Start]]+ROUND((Tasks[[#This Row],[Finish]]-Tasks[[#This Row],[Start]]+1)*Tasks[[#This Row],[Progress]],0)-1)))</f>
        <v/>
      </c>
      <c r="GW200" s="88">
        <f>IF(Tasks[[#This Row],[Task Name]]="",0,IF(OR(NOT(Tasks[[#This Row],[_IsLeaf]]=1),Tasks[[#This Row],[_IsMilestone]],N(Tasks[[#This Row],[Progress]])&gt;=1),0,IF(Tasks[[#This Row],[_DoneTo]]&gt;0,Tasks[[#This Row],[_DoneTo]]+1,Tasks[[#This Row],[Start]])))</f>
        <v/>
      </c>
      <c r="GX200" s="88">
        <f>IF(Tasks[[#This Row],[_RemFrom]]=0,0,Tasks[[#This Row],[Finish]])</f>
        <v/>
      </c>
      <c r="GY200" s="42">
        <f>IF(Tasks[[#This Row],[Task Name]]="",FALSE(),OR(NOT(BaselineSet),N(Tasks[[#This Row],[Baseline Start]])&gt;0))</f>
        <v/>
      </c>
      <c r="GZ200" s="42">
        <f>IF(AND(Sandbox="Yes",L_PARSE_DURATION(Tasks[[#This Row],[Sandbox Duration]])&lt;&gt;""),L_PARSE_DURATION(Tasks[[#This Row],[Sandbox Duration]]),L_PARSE_DURATION(Tasks[[#This Row],[Duration]]))</f>
        <v/>
      </c>
      <c r="HA200"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0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0" s="42">
        <f>IF(Tasks[[#This Row],[_IsLeaf]]=1,Tasks[[#This Row],[_Row]],"")</f>
        <v/>
      </c>
      <c r="HD200" s="42">
        <f>IFERROR(INDEX(Tasks[UID],SMALL(Tasks[_PickKey],Tasks[[#This Row],[_Row]]))&amp;" "&amp;INDEX(Tasks[Task Name],SMALL(Tasks[_PickKey],Tasks[[#This Row],[_Row]])),"")</f>
        <v/>
      </c>
      <c r="HE200" s="42">
        <f>IF(Tasks[[#This Row],[Task Name]]="","",IF(Tasks[[#This Row],[_IsSummary]],NETWORKDAYS.INTL(Tasks[[#This Row],[Start]],Tasks[[#This Row],[Finish]],WorkWeek,Holidays),N(Tasks[[#This Row],[_Days]])))</f>
        <v/>
      </c>
      <c r="HF200" s="42">
        <f>IF(Tasks[[#This Row],[Expected]]="",0,((Tasks[[#This Row],[Pessimistic]]-Tasks[[#This Row],[Optimistic]])/6)^2)</f>
        <v/>
      </c>
      <c r="HG200" s="42">
        <f>IF(Tasks[[#This Row],[Expected]]="",0,Tasks[[#This Row],[Expected]]-N(Tasks[[#This Row],[_Days]]))</f>
        <v/>
      </c>
    </row>
    <row r="201">
      <c r="A201" s="21">
        <f>IF(Tasks[[#This Row],[Task Name]]="","",COUNTA(Tasks[[#Headers],[Task Name]]:Tasks[[#This Row],[Task Name]])-1)</f>
        <v/>
      </c>
      <c r="B201" s="22" t="n">
        <v>209</v>
      </c>
      <c r="C201" s="22" t="n"/>
      <c r="D201" s="23" t="n"/>
      <c r="E201" s="22" t="n"/>
      <c r="F201" s="23" t="n"/>
      <c r="G201" s="22" t="n"/>
      <c r="H201" s="22" t="n"/>
      <c r="I201" s="23" t="n"/>
      <c r="J201" s="22" t="n"/>
      <c r="K201" s="22" t="n"/>
      <c r="L201" s="23" t="n"/>
      <c r="M201" s="22" t="n"/>
      <c r="N201" s="22" t="n"/>
      <c r="O201" s="23" t="n"/>
      <c r="P201" s="22" t="n"/>
      <c r="Q201" s="22" t="n"/>
      <c r="R201" s="23" t="n"/>
      <c r="S201" s="23" t="n"/>
      <c r="T201" s="82" t="n"/>
      <c r="U201" s="23" t="n"/>
      <c r="V201" s="82" t="n"/>
      <c r="W201" s="23" t="n"/>
      <c r="X201" s="82" t="n"/>
      <c r="Y201" s="23" t="n"/>
      <c r="Z201" s="82" t="n"/>
      <c r="AA201" s="23" t="n"/>
      <c r="AB201" s="23" t="n"/>
      <c r="AC201" s="7" t="n"/>
      <c r="AD201" s="7" t="n"/>
      <c r="AE201" s="61">
        <f>IF(Tasks[[#This Row],[Task Name]]="","",IF(Tasks[[#This Row],[_IsSummary]],MIN(INDEX(Tasks[_ShownFcstStart],Tasks[[#This Row],[_Row]]+1):INDEX(Tasks[_ShownFcstStart],Tasks[[#This Row],[_Row]]+Tasks[[#This Row],[_Descendants]])),Tasks[[#This Row],[_ShownFcstStart]]))</f>
        <v/>
      </c>
      <c r="AF201" s="61">
        <f>IF(Tasks[[#This Row],[Task Name]]="","",IF(Tasks[[#This Row],[_IsSummary]],MAX(INDEX(Tasks[_ShownFcstFinish],Tasks[[#This Row],[_Row]]+1):INDEX(Tasks[_ShownFcstFinish],Tasks[[#This Row],[_Row]]+Tasks[[#This Row],[_Descendants]])),Tasks[[#This Row],[_ShownFcstFinish]]))</f>
        <v/>
      </c>
      <c r="AG201" s="21">
        <f>""</f>
        <v/>
      </c>
      <c r="AH201" s="23" t="n"/>
      <c r="AI20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01" s="7" t="n"/>
      <c r="AK201" s="22" t="n"/>
      <c r="AL201" s="23" t="n"/>
      <c r="AM201" s="7" t="n"/>
      <c r="AN201" s="21">
        <f>IF(Tasks[[#This Row],[Task Name]]="","",IF(Tasks[[#This Row],[Finish]]&gt;=Tasks[[#This Row],[Planned Finish]],NETWORKDAYS.INTL(Tasks[[#This Row],[Planned Finish]],Tasks[[#This Row],[Finish]],WorkWeek,Holidays)-1,1-NETWORKDAYS.INTL(Tasks[[#This Row],[Finish]],Tasks[[#This Row],[Planned Finish]],WorkWeek,Holidays)))</f>
        <v/>
      </c>
      <c r="AO201" s="21">
        <f>IF(Tasks[[#This Row],[Task Name]]="","",IF(Tasks[[#This Row],[Progress]]&gt;=1,"Complete",IF(OR(N(Tasks[[#This Row],[Actual Start]])&gt;0,Tasks[[#This Row],[Progress]]&gt;0),IF(Tasks[[#This Row],[Finish Var]]&gt;0,"Behind","In Progress"),IF(Tasks[[#This Row],[Planned Start]]&lt;StatusDate,"Late Start","Not Started"))))</f>
        <v/>
      </c>
      <c r="AP201" s="21">
        <f>IF(Tasks[[#This Row],[Task Name]]="","",IF(IF(Tasks[[#This Row],[_IsSummary]],COUNTIF(INDEX(Tasks[_LeafCritical],Tasks[[#This Row],[_Row]]+1):INDEX(Tasks[_LeafCritical],Tasks[[#This Row],[_Row]]+Tasks[[#This Row],[_Descendants]]),TRUE())&gt;0,Tasks[[#This Row],[_LeafCritical]]),"Yes",""))</f>
        <v/>
      </c>
      <c r="AQ201" s="61">
        <f>IF(Tasks[[#This Row],[Task Name]]="","",IF(N(Tasks[[#This Row],[Baseline Start]])&gt;0,Tasks[[#This Row],[Baseline Start]],Tasks[[#This Row],[_CalcStart]]))</f>
        <v/>
      </c>
      <c r="AR201" s="61">
        <f>IF(Tasks[[#This Row],[Task Name]]="","",IF(N(Tasks[[#This Row],[Baseline Finish]])&gt;0,Tasks[[#This Row],[Baseline Finish]],Tasks[[#This Row],[_CalcFinish]]))</f>
        <v/>
      </c>
      <c r="AS201" s="21">
        <f>IF(Tasks[[#This Row],[Task Name]]="","",IF(Tasks[[#This Row],[Start]]&gt;=Tasks[[#This Row],[Planned Start]],NETWORKDAYS.INTL(Tasks[[#This Row],[Planned Start]],Tasks[[#This Row],[Start]],WorkWeek,Holidays)-1,1-NETWORKDAYS.INTL(Tasks[[#This Row],[Start]],Tasks[[#This Row],[Planned Start]],WorkWeek,Holidays)))</f>
        <v/>
      </c>
      <c r="AT201" s="61">
        <f>IF(Tasks[[#This Row],[Task Name]]="","",IF(Tasks[[#This Row],[_IsSummary]],MIN(INDEX(Tasks[_LeafLateStart],Tasks[[#This Row],[_Row]]+1):INDEX(Tasks[_LeafLateStart],Tasks[[#This Row],[_Row]]+Tasks[[#This Row],[_Descendants]])),Tasks[[#This Row],[_LeafLateStart]]))</f>
        <v/>
      </c>
      <c r="AU201" s="61">
        <f>IF(Tasks[[#This Row],[Task Name]]="","",IF(Tasks[[#This Row],[_IsSummary]],MAX(INDEX(Tasks[_LeafLateFinish],Tasks[[#This Row],[_Row]]+1):INDEX(Tasks[_LeafLateFinish],Tasks[[#This Row],[_Row]]+Tasks[[#This Row],[_Descendants]])),Tasks[[#This Row],[_LeafLateFinish]]))</f>
        <v/>
      </c>
      <c r="AV201" s="21">
        <f>IF(Tasks[[#This Row],[Task Name]]="","",IF(Tasks[[#This Row],[_IsSummary]],MIN(INDEX(Tasks[_LeafTotalSlack],Tasks[[#This Row],[_Row]]+1):INDEX(Tasks[_LeafTotalSlack],Tasks[[#This Row],[_Row]]+Tasks[[#This Row],[_Descendants]])),Tasks[[#This Row],[_LeafTotalSlack]]))</f>
        <v/>
      </c>
      <c r="AW20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3" t="n"/>
      <c r="BA20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f>IF(Tasks[[#This Row],[Task Name]]="","",IF(Tasks[[#This Row],[_Level]]&lt;=OutlineShowLevel,"Yes","No"))</f>
        <v/>
      </c>
      <c r="BE201" s="84">
        <f>IF(Tasks[[#This Row],[Task Name]]="","",IF(Tasks[[#This Row],[_IsSummary]],SUM(INDEX(Tasks[_LeafTotalWork],Tasks[[#This Row],[_Row]]+1):INDEX(Tasks[_LeafTotalWork],Tasks[[#This Row],[_Row]]+Tasks[[#This Row],[_Descendants]])),Tasks[[#This Row],[_LeafTotalWork]]))</f>
        <v/>
      </c>
      <c r="BF201" s="23" t="n"/>
      <c r="BG20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f>""</f>
        <v/>
      </c>
      <c r="BI201" s="85" t="n"/>
      <c r="BJ201" s="22" t="n"/>
      <c r="BK201" s="21">
        <f>IF(OR(Tasks[[#This Row],[Task Name]]="",Tasks[[#This Row],[Baseline Duration]]=""),"",Tasks[[#This Row],[_SpanDays]]-N(Tasks[[#This Row],[Baseline Duration]]))</f>
        <v/>
      </c>
      <c r="BL201" s="84">
        <f>IF(OR(Tasks[[#This Row],[Task Name]]="",Tasks[[#This Row],[Baseline Work]]=""),"",Tasks[[#This Row],[Work]]-N(Tasks[[#This Row],[Baseline Work]]))</f>
        <v/>
      </c>
      <c r="BM201" s="61">
        <f>IF(Tasks[[#This Row],[Task Name]]="","",IF(OR(TakeBaseline="Yes",N(Tasks[[#This Row],[Baseline Start]])=0),Tasks[[#This Row],[Start]],Tasks[[#This Row],[Baseline Start]]))</f>
        <v/>
      </c>
      <c r="BN201" s="61">
        <f>IF(Tasks[[#This Row],[Task Name]]="","",IF(OR(TakeBaseline="Yes",N(Tasks[[#This Row],[Baseline Finish]])=0),Tasks[[#This Row],[Finish]],Tasks[[#This Row],[Baseline Finish]]))</f>
        <v/>
      </c>
      <c r="BO201" s="21">
        <f>IF(Tasks[[#This Row],[Task Name]]="","",IF(OR(TakeBaseline="Yes",N(Tasks[[#This Row],[Baseline Duration]])=0),Tasks[[#This Row],[_SpanDays]],Tasks[[#This Row],[Baseline Duration]]))</f>
        <v/>
      </c>
      <c r="BP201" s="84">
        <f>IF(Tasks[[#This Row],[Task Name]]="","",IF(OR(TakeBaseline="Yes",N(Tasks[[#This Row],[Baseline Work]])=0),Tasks[[#This Row],[Work]],Tasks[[#This Row],[Baseline Work]]))</f>
        <v/>
      </c>
      <c r="BQ201" s="7" t="n"/>
      <c r="BR201" s="7" t="n"/>
      <c r="BS201" s="22" t="n"/>
      <c r="BT201" s="86" t="n"/>
      <c r="BU201" s="23" t="n"/>
      <c r="BV201" s="23" t="n"/>
      <c r="BW201" s="23" t="n"/>
      <c r="BX201" s="87">
        <f>IF(AND(Tasks[[#This Row],[_IsLeaf]]=1,ISNUMBER(Tasks[[#This Row],[Optimistic]]),ISNUMBER(Tasks[[#This Row],[Pessimistic]])),ROUND((Tasks[[#This Row],[Optimistic]]+4*N(Tasks[[#This Row],[_Days]])+Tasks[[#This Row],[Pessimistic]])/6,1),"")</f>
        <v/>
      </c>
      <c r="BY201" s="85" t="n"/>
      <c r="BZ201" s="85" t="n"/>
      <c r="CA201" s="22" t="n"/>
      <c r="CB201" s="42">
        <f>IF(Tasks[[#This Row],[Task Name]]="","",MAX(1,N(Tasks[[#This Row],[Level]])))</f>
        <v/>
      </c>
      <c r="CC201" s="42">
        <f>ROW()-ROW(Tasks[[#Headers],[ID]])</f>
        <v/>
      </c>
      <c r="CD201" s="42">
        <f>IF(OR(Tasks[[#This Row],[Task Name]]="",Tasks[[#This Row],[_Level]]&lt;=1),0,IFERROR(LOOKUP(2,1/(Tasks[[#Headers],[_Level]]:Tasks[[#This Row],[_Level]]=Tasks[[#This Row],[_Level]]-1),ROW(Tasks[[#Headers],[_Level]]:Tasks[[#This Row],[_Level]])),0))</f>
        <v/>
      </c>
      <c r="CE201" s="42">
        <f>IFERROR(N(INDEX(Tasks[_Level],Tasks[[#This Row],[_Row]]+1)),0)</f>
        <v/>
      </c>
      <c r="CF201" s="42">
        <f>AND(Tasks[[#This Row],[Task Name]]&lt;&gt;"",Tasks[[#This Row],[_NextLevel]]&gt;Tasks[[#This Row],[_Level]])</f>
        <v/>
      </c>
      <c r="CG201" s="42">
        <f>IF(Tasks[[#This Row],[_IsSummary]],COUNTIF(Tasks[WBS],Tasks[[#This Row],[WBS]]&amp;".*"),0)</f>
        <v/>
      </c>
      <c r="CH201" s="42">
        <f>IF(AND(Tasks[[#This Row],[Task Name]]&lt;&gt;"",NOT(Tasks[[#This Row],[_IsSummary]])),1,0)</f>
        <v/>
      </c>
      <c r="CI201" s="42">
        <f>IF(N(Tasks[[#This Row],[_Pred1UID]])=0,0,IFERROR(MATCH(Tasks[[#This Row],[_Pred1UID]],Tasks[UID],0),-1))</f>
        <v/>
      </c>
      <c r="CJ201" s="42">
        <f>IF(N(Tasks[[#This Row],[_Pred2UID]])=0,0,IFERROR(MATCH(Tasks[[#This Row],[_Pred2UID]],Tasks[UID],0),-1))</f>
        <v/>
      </c>
      <c r="CK201" s="42">
        <f>IF(N(Tasks[[#This Row],[_Pred3UID]])=0,0,IFERROR(MATCH(Tasks[[#This Row],[_Pred3UID]],Tasks[UID],0),-1))</f>
        <v/>
      </c>
      <c r="CL201" s="42">
        <f>IF(N(Tasks[[#This Row],[_Pred4UID]])=0,0,IFERROR(MATCH(Tasks[[#This Row],[_Pred4UID]],Tasks[UID],0),-1))</f>
        <v/>
      </c>
      <c r="CM20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1" s="88">
        <f>IF(N(Tasks[[#This Row],[Constraint Date]])=0,0,IF(AND(OR(Tasks[[#This Row],[_ConstraintCode]]=3,Tasks[[#This Row],[_ConstraintCode]]=6,Tasks[[#This Row],[_ConstraintCode]]=7),N(Tasks[[#This Row],[_Days]])&gt;1),WORKDAY.INTL(N(Tasks[[#This Row],[Constraint Date]]),-(N(Tasks[[#This Row],[_Days]])-1),WorkWeek,Holidays),N(Tasks[[#This Row],[Constraint Date]])))</f>
        <v/>
      </c>
      <c r="CO201" s="88">
        <f>IF(OR(Tasks[[#This Row],[_ConstraintCode]]=2,Tasks[[#This Row],[_ConstraintCode]]=3,Tasks[[#This Row],[_ConstraintCode]]=4,Tasks[[#This Row],[_ConstraintCode]]=6),Tasks[[#This Row],[_ConstraintStart]],0)</f>
        <v/>
      </c>
      <c r="CP201" s="88">
        <f>IF(OR(Tasks[[#This Row],[_ConstraintCode]]=2,Tasks[[#This Row],[_ConstraintCode]]=3,Tasks[[#This Row],[_ConstraintCode]]=5,Tasks[[#This Row],[_ConstraintCode]]=7),Tasks[[#This Row],[_ConstraintStart]],2958465)</f>
        <v/>
      </c>
      <c r="CQ20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1" s="88">
        <f>IF(NOT(Tasks[[#This Row],[_IsLeaf]]=1),"",IF(N(Tasks[[#This Row],[_Days]])&lt;=0,Tasks[[#This Row],[_LeafCalcStart]],WORKDAY.INTL(Tasks[[#This Row],[_LeafCalcStart]],Tasks[[#This Row],[_Days]]-1,WorkWeek,Holidays)))</f>
        <v/>
      </c>
      <c r="CS20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1" s="42">
        <f>IF(Tasks[[#This Row],[_Predecessors]]="","",TRIM(MID(SUBSTITUTE(SUBSTITUTE(SUBSTITUTE(UPPER(Tasks[[#This Row],[_Predecessors]]),";",",")," ",""),",",REPT(" ",99)),1,99)))</f>
        <v/>
      </c>
      <c r="CV201" s="42">
        <f>IF(Tasks[[#This Row],[_Pred1Text]]="","",IFERROR(VALUE(LEFT(Tasks[[#This Row],[_Pred1Text]],MIN(FIND("F",Tasks[[#This Row],[_Pred1Text]]&amp;"F"),FIND("S",Tasks[[#This Row],[_Pred1Text]]&amp;"S"),FIND("+",Tasks[[#This Row],[_Pred1Text]]&amp;"+"),FIND("-",Tasks[[#This Row],[_Pred1Text]]&amp;"-"))-1)),""))</f>
        <v/>
      </c>
      <c r="CW20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1" s="42">
        <f>IF(Tasks[[#This Row],[_Pred1Text]]="","",TRIM(MID(SUBSTITUTE(SUBSTITUTE(SUBSTITUTE(UPPER(Tasks[[#This Row],[_Predecessors]]),";",",")," ",""),",",REPT(" ",99)),100,99)))</f>
        <v/>
      </c>
      <c r="CZ201" s="42">
        <f>IF(Tasks[[#This Row],[_Pred2Text]]="","",IFERROR(VALUE(LEFT(Tasks[[#This Row],[_Pred2Text]],MIN(FIND("F",Tasks[[#This Row],[_Pred2Text]]&amp;"F"),FIND("S",Tasks[[#This Row],[_Pred2Text]]&amp;"S"),FIND("+",Tasks[[#This Row],[_Pred2Text]]&amp;"+"),FIND("-",Tasks[[#This Row],[_Pred2Text]]&amp;"-"))-1)),""))</f>
        <v/>
      </c>
      <c r="DA20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1" s="42">
        <f>IF(Tasks[[#This Row],[_Pred2Text]]="","",TRIM(MID(SUBSTITUTE(SUBSTITUTE(SUBSTITUTE(UPPER(Tasks[[#This Row],[_Predecessors]]),";",",")," ",""),",",REPT(" ",99)),199,99)))</f>
        <v/>
      </c>
      <c r="DD201" s="42">
        <f>IF(Tasks[[#This Row],[_Pred3Text]]="","",IFERROR(VALUE(LEFT(Tasks[[#This Row],[_Pred3Text]],MIN(FIND("F",Tasks[[#This Row],[_Pred3Text]]&amp;"F"),FIND("S",Tasks[[#This Row],[_Pred3Text]]&amp;"S"),FIND("+",Tasks[[#This Row],[_Pred3Text]]&amp;"+"),FIND("-",Tasks[[#This Row],[_Pred3Text]]&amp;"-"))-1)),""))</f>
        <v/>
      </c>
      <c r="DE20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1" s="42">
        <f>IF(Tasks[[#This Row],[_Pred3Text]]="","",TRIM(MID(SUBSTITUTE(SUBSTITUTE(SUBSTITUTE(UPPER(Tasks[[#This Row],[_Predecessors]]),";",",")," ",""),",",REPT(" ",99)),298,99)))</f>
        <v/>
      </c>
      <c r="DH201" s="42">
        <f>IF(Tasks[[#This Row],[_Pred4Text]]="","",IFERROR(VALUE(LEFT(Tasks[[#This Row],[_Pred4Text]],MIN(FIND("F",Tasks[[#This Row],[_Pred4Text]]&amp;"F"),FIND("S",Tasks[[#This Row],[_Pred4Text]]&amp;"S"),FIND("+",Tasks[[#This Row],[_Pred4Text]]&amp;"+"),FIND("-",Tasks[[#This Row],[_Pred4Text]]&amp;"-"))-1)),""))</f>
        <v/>
      </c>
      <c r="DI20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1" s="42">
        <f>IF(OR(Tasks[[#This Row],[Task Name]]="",Tasks[[#This Row],[_Resources]]=""),"",TRIM(MID(SUBSTITUTE(Tasks[[#This Row],[_Resources]],",",REPT(" ",99)),1,99)))</f>
        <v/>
      </c>
      <c r="DL201" s="42">
        <f>IF(Tasks[[#This Row],[_Res1Text]]="","",TRIM(MID(SUBSTITUTE(Tasks[[#This Row],[_Resources]],",",REPT(" ",99)),100,99)))</f>
        <v/>
      </c>
      <c r="DM201" s="42">
        <f>IF(Tasks[[#This Row],[_Res2Text]]="","",TRIM(MID(SUBSTITUTE(Tasks[[#This Row],[_Resources]],",",REPT(" ",99)),199,99)))</f>
        <v/>
      </c>
      <c r="DN201" s="42">
        <f>IF(Tasks[[#This Row],[_Res3Text]]="","",TRIM(MID(SUBSTITUTE(Tasks[[#This Row],[_Resources]],",",REPT(" ",99)),298,99)))</f>
        <v/>
      </c>
      <c r="DO201" s="42">
        <f>IF(Tasks[[#This Row],[_Res1Text]]="",0,IFERROR(MATCH(TRIM(LEFT(Tasks[[#This Row],[_Res1Text]],FIND("[",Tasks[[#This Row],[_Res1Text]]&amp;"[")-1)),res_Name,0),IFERROR(MATCH(TRIM(LEFT(Tasks[[#This Row],[_Res1Text]],FIND("[",Tasks[[#This Row],[_Res1Text]]&amp;"[")-1)),res_Initials,0),0)))</f>
        <v/>
      </c>
      <c r="DP201" s="42">
        <f>IF(Tasks[[#This Row],[_Res2Text]]="",0,IFERROR(MATCH(TRIM(LEFT(Tasks[[#This Row],[_Res2Text]],FIND("[",Tasks[[#This Row],[_Res2Text]]&amp;"[")-1)),res_Name,0),IFERROR(MATCH(TRIM(LEFT(Tasks[[#This Row],[_Res2Text]],FIND("[",Tasks[[#This Row],[_Res2Text]]&amp;"[")-1)),res_Initials,0),0)))</f>
        <v/>
      </c>
      <c r="DQ201" s="42">
        <f>IF(Tasks[[#This Row],[_Res3Text]]="",0,IFERROR(MATCH(TRIM(LEFT(Tasks[[#This Row],[_Res3Text]],FIND("[",Tasks[[#This Row],[_Res3Text]]&amp;"[")-1)),res_Name,0),IFERROR(MATCH(TRIM(LEFT(Tasks[[#This Row],[_Res3Text]],FIND("[",Tasks[[#This Row],[_Res3Text]]&amp;"[")-1)),res_Initials,0),0)))</f>
        <v/>
      </c>
      <c r="DR201" s="42">
        <f>IF(Tasks[[#This Row],[_Res4Text]]="",0,IFERROR(MATCH(TRIM(LEFT(Tasks[[#This Row],[_Res4Text]],FIND("[",Tasks[[#This Row],[_Res4Text]]&amp;"[")-1)),res_Name,0),IFERROR(MATCH(TRIM(LEFT(Tasks[[#This Row],[_Res4Text]],FIND("[",Tasks[[#This Row],[_Res4Text]]&amp;"[")-1)),res_Initials,0),0)))</f>
        <v/>
      </c>
      <c r="DS201" s="42">
        <f>IF(Tasks[[#This Row],[_Res1Text]]="","",IF(Tasks[[#This Row],[_Res1Row]]&gt;0,INDEX(res_Name,Tasks[[#This Row],[_Res1Row]]),TRIM(LEFT(Tasks[[#This Row],[_Res1Text]],FIND("[",Tasks[[#This Row],[_Res1Text]]&amp;"[")-1))))</f>
        <v/>
      </c>
      <c r="DT20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1" s="42">
        <f>IF(NOT(Tasks[[#This Row],[_IsLeaf]]=1),0,(Tasks[[#This Row],[_Resource1]]&lt;&gt;"")+(Tasks[[#This Row],[_Res2]]&lt;&gt;"")+(Tasks[[#This Row],[_Res3]]&lt;&gt;"")+(Tasks[[#This Row],[_Res4]]&lt;&gt;""))</f>
        <v/>
      </c>
      <c r="DV201" s="42">
        <f>IF(Tasks[[#This Row],[_Res2Text]]="","",IF(Tasks[[#This Row],[_Res2Row]]&gt;0,INDEX(res_Name,Tasks[[#This Row],[_Res2Row]]),TRIM(LEFT(Tasks[[#This Row],[_Res2Text]],FIND("[",Tasks[[#This Row],[_Res2Text]]&amp;"[")-1))))</f>
        <v/>
      </c>
      <c r="DW20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1" s="42">
        <f>IF(OR(NOT(Tasks[[#This Row],[_IsLeaf]]=1),Tasks[[#This Row],[_Res2Row]]=0),0,N(Tasks[[#This Row],[_Days]])*HoursPerDay*IF(Tasks[[#This Row],[_Res2Units]]="",DefaultUnits,Tasks[[#This Row],[_Res2Units]]))</f>
        <v/>
      </c>
      <c r="DY201" s="42">
        <f>IF(AND(AND(Tasks[[#This Row],[_IsLeaf]]=1,Tasks[[#This Row],[_LeafTotalWork]]&gt;0),Tasks[[#This Row],[_Res2Work]]&gt;0),Tasks[[#This Row],[_Res2Work]]/(Tasks[[#This Row],[_FinishWorkday]]-Tasks[[#This Row],[_StartWorkday]]+1),0)</f>
        <v/>
      </c>
      <c r="DZ201" s="42">
        <f>Tasks[[#This Row],[_Res2WorkPerWD]]*MAX(0,Tasks[[#This Row],[_StartWorkday]]-1)</f>
        <v/>
      </c>
      <c r="EA201" s="42">
        <f>Tasks[[#This Row],[_Res2Work]]*Tasks[[#This Row],[_LeafProgress]]</f>
        <v/>
      </c>
      <c r="EB201" s="42">
        <f>IF(Tasks[[#This Row],[_Res3Text]]="","",IF(Tasks[[#This Row],[_Res3Row]]&gt;0,INDEX(res_Name,Tasks[[#This Row],[_Res3Row]]),TRIM(LEFT(Tasks[[#This Row],[_Res3Text]],FIND("[",Tasks[[#This Row],[_Res3Text]]&amp;"[")-1))))</f>
        <v/>
      </c>
      <c r="EC20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1" s="42">
        <f>IF(OR(NOT(Tasks[[#This Row],[_IsLeaf]]=1),Tasks[[#This Row],[_Res3Row]]=0),0,N(Tasks[[#This Row],[_Days]])*HoursPerDay*IF(Tasks[[#This Row],[_Res3Units]]="",DefaultUnits,Tasks[[#This Row],[_Res3Units]]))</f>
        <v/>
      </c>
      <c r="EE201" s="42">
        <f>IF(AND(AND(Tasks[[#This Row],[_IsLeaf]]=1,Tasks[[#This Row],[_LeafTotalWork]]&gt;0),Tasks[[#This Row],[_Res3Work]]&gt;0),Tasks[[#This Row],[_Res3Work]]/(Tasks[[#This Row],[_FinishWorkday]]-Tasks[[#This Row],[_StartWorkday]]+1),0)</f>
        <v/>
      </c>
      <c r="EF201" s="42">
        <f>Tasks[[#This Row],[_Res3WorkPerWD]]*MAX(0,Tasks[[#This Row],[_StartWorkday]]-1)</f>
        <v/>
      </c>
      <c r="EG201" s="42">
        <f>Tasks[[#This Row],[_Res3Work]]*Tasks[[#This Row],[_LeafProgress]]</f>
        <v/>
      </c>
      <c r="EH201" s="42">
        <f>IF(Tasks[[#This Row],[_Res4Text]]="","",IF(Tasks[[#This Row],[_Res4Row]]&gt;0,INDEX(res_Name,Tasks[[#This Row],[_Res4Row]]),TRIM(LEFT(Tasks[[#This Row],[_Res4Text]],FIND("[",Tasks[[#This Row],[_Res4Text]]&amp;"[")-1))))</f>
        <v/>
      </c>
      <c r="EI20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1" s="42">
        <f>IF(OR(NOT(Tasks[[#This Row],[_IsLeaf]]=1),Tasks[[#This Row],[_Res4Row]]=0),0,N(Tasks[[#This Row],[_Days]])*HoursPerDay*IF(Tasks[[#This Row],[_Res4Units]]="",DefaultUnits,Tasks[[#This Row],[_Res4Units]]))</f>
        <v/>
      </c>
      <c r="EK201" s="42">
        <f>IF(AND(AND(Tasks[[#This Row],[_IsLeaf]]=1,Tasks[[#This Row],[_LeafTotalWork]]&gt;0),Tasks[[#This Row],[_Res4Work]]&gt;0),Tasks[[#This Row],[_Res4Work]]/(Tasks[[#This Row],[_FinishWorkday]]-Tasks[[#This Row],[_StartWorkday]]+1),0)</f>
        <v/>
      </c>
      <c r="EL201" s="42">
        <f>Tasks[[#This Row],[_Res4WorkPerWD]]*MAX(0,Tasks[[#This Row],[_StartWorkday]]-1)</f>
        <v/>
      </c>
      <c r="EM201" s="42">
        <f>Tasks[[#This Row],[_Res4Work]]*Tasks[[#This Row],[_LeafProgress]]</f>
        <v/>
      </c>
      <c r="EN201" s="42">
        <f>IF(ISNUMBER(Tasks[[#This Row],[% Complete]]),Tasks[[#This Row],[% Complete]],IF(Tasks[[#This Row],[Stage]]="",0,IFERROR(INDEX(stg_Pct,MATCH(Tasks[[#This Row],[Stage]],stg_Name,0)),0)))</f>
        <v/>
      </c>
      <c r="EO201" s="42">
        <f>IF(NOT(Tasks[[#This Row],[_IsLeaf]]=1),0,IF(N(Tasks[[#This Row],[Actual Finish]])&gt;0,1,MIN(1,Tasks[[#This Row],[_Pct]])))</f>
        <v/>
      </c>
      <c r="EP201" s="42">
        <f>IF(OR(NOT(Tasks[[#This Row],[_IsLeaf]]=1),Tasks[[#This Row],[_Res1Row]]=0),0,N(Tasks[[#This Row],[_Days]])*HoursPerDay*IF(Tasks[[#This Row],[_Units1]]="",DefaultUnits,Tasks[[#This Row],[_Units1]]))</f>
        <v/>
      </c>
      <c r="EQ201" s="42">
        <f>Tasks[[#This Row],[_LeafWork]]+Tasks[[#This Row],[_Res2Work]]+Tasks[[#This Row],[_Res3Work]]+Tasks[[#This Row],[_Res4Work]]</f>
        <v/>
      </c>
      <c r="ER20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1" s="42">
        <f>IF(NOT(Tasks[[#This Row],[_IsLeaf]]=1),0,MAX(_xlfn.MAXIFS(Tasks[_Row],Tasks[_Pred1UID],Tasks[[#This Row],[UID]]),_xlfn.MAXIFS(Tasks[_Row],Tasks[_Pred2UID],Tasks[[#This Row],[UID]]),_xlfn.MAXIFS(Tasks[_Row],Tasks[_Pred3UID],Tasks[[#This Row],[UID]]),_xlfn.MAXIFS(Tasks[_Row],Tasks[_Pred4UID],Tasks[[#This Row],[UID]])))</f>
        <v/>
      </c>
      <c r="FA20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1" s="88">
        <f>IF(NOT(Tasks[[#This Row],[_IsLeaf]]=1),"",IF(N(Tasks[[#This Row],[_Days]])&lt;=0,Tasks[[#This Row],[_LeafLateFinish]],WORKDAY.INTL(Tasks[[#This Row],[_LeafLateFinish]],-(Tasks[[#This Row],[_Days]]-1),WorkWeek,Holidays)))</f>
        <v/>
      </c>
      <c r="FD20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1" s="42">
        <f>AND(Tasks[[#This Row],[_IsLeaf]]=1,Tasks[[#This Row],[_LeafProgress]]&lt;1,N(Tasks[[#This Row],[_LeafTotalSlack]])&lt;=CriticalSlackDays)</f>
        <v/>
      </c>
      <c r="FF201" s="42">
        <f>IF(AND(Tasks[[#This Row],[_IsLeaf]]=1,Tasks[[#This Row],[_ConstraintCode]]=1,Tasks[[#This Row],[Mode]]&lt;&gt;"Manual",N(Tasks[[#This Row],[Actual Start]])=0),MAX(0,N(Tasks[[#This Row],[Free Slack]])),0)</f>
        <v/>
      </c>
      <c r="FG201" s="88">
        <f>IF(NOT(Tasks[[#This Row],[_IsLeaf]]=1),"",IF(Tasks[[#This Row],[_AlapShift]]=0,Tasks[[#This Row],[_LeafCalcStart]],WORKDAY.INTL(Tasks[[#This Row],[_LeafCalcStart]],Tasks[[#This Row],[_AlapShift]],WorkWeek,Holidays)))</f>
        <v/>
      </c>
      <c r="FH201" s="88">
        <f>IF(NOT(Tasks[[#This Row],[_IsLeaf]]=1),"",IF(Tasks[[#This Row],[_AlapShift]]=0,Tasks[[#This Row],[_LeafCalcFinish]],WORKDAY.INTL(Tasks[[#This Row],[_LeafCalcFinish]],Tasks[[#This Row],[_AlapShift]],WorkWeek,Holidays)))</f>
        <v/>
      </c>
      <c r="FI201" s="88">
        <f>IF(NOT(Tasks[[#This Row],[_IsLeaf]]=1),"",IF(Tasks[[#This Row],[_AlapShift]]=0,Tasks[[#This Row],[_LeafFcstStart]],WORKDAY.INTL(Tasks[[#This Row],[_LeafFcstStart]],Tasks[[#This Row],[_AlapShift]],WorkWeek,Holidays)))</f>
        <v/>
      </c>
      <c r="FJ201" s="88">
        <f>IF(NOT(Tasks[[#This Row],[_IsLeaf]]=1),"",IF(Tasks[[#This Row],[_AlapShift]]=0,Tasks[[#This Row],[_LeafFcstFinish]],WORKDAY.INTL(Tasks[[#This Row],[_LeafFcstFinish]],Tasks[[#This Row],[_AlapShift]],WorkWeek,Holidays)))</f>
        <v/>
      </c>
      <c r="FK201" s="88">
        <f>IF(Tasks[[#This Row],[Task Name]]="","",IF(Tasks[[#This Row],[_IsSummary]],MIN(INDEX(Tasks[_ShownCalcStart],Tasks[[#This Row],[_Row]]+1):INDEX(Tasks[_ShownCalcStart],Tasks[[#This Row],[_Row]]+Tasks[[#This Row],[_Descendants]])),Tasks[[#This Row],[_ShownCalcStart]]))</f>
        <v/>
      </c>
      <c r="FL201" s="88">
        <f>IF(Tasks[[#This Row],[Task Name]]="","",IF(Tasks[[#This Row],[_IsSummary]],MAX(INDEX(Tasks[_ShownCalcFinish],Tasks[[#This Row],[_Row]]+1):INDEX(Tasks[_ShownCalcFinish],Tasks[[#This Row],[_Row]]+Tasks[[#This Row],[_Descendants]])),Tasks[[#This Row],[_ShownCalcFinish]]))</f>
        <v/>
      </c>
      <c r="FM20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1" s="42">
        <f>IF(AND(Tasks[[#This Row],[_IsLeaf]]=1,Tasks[[#This Row],[_LeafTotalWork]]&gt;0),NETWORKDAYS.INTL(ProjectStart,Tasks[[#This Row],[_ShownFcstStart]],WorkWeek,Holidays),0)</f>
        <v/>
      </c>
      <c r="FZ201" s="42">
        <f>IF(AND(Tasks[[#This Row],[_IsLeaf]]=1,Tasks[[#This Row],[_LeafTotalWork]]&gt;0),MAX(Tasks[[#This Row],[_StartWorkday]],NETWORKDAYS.INTL(ProjectStart,Tasks[[#This Row],[_ShownFcstFinish]],WorkWeek,Holidays)),0)</f>
        <v/>
      </c>
      <c r="GA201" s="42">
        <f>IF(AND(Tasks[[#This Row],[_IsLeaf]]=1,Tasks[[#This Row],[_LeafTotalWork]]&gt;0),Tasks[[#This Row],[_LeafWork]]/(Tasks[[#This Row],[_FinishWorkday]]-Tasks[[#This Row],[_StartWorkday]]+1),0)</f>
        <v/>
      </c>
      <c r="GB201" s="42">
        <f>Tasks[[#This Row],[_WorkPerWorkday]]*(Tasks[[#This Row],[_StartWorkday]]-1)</f>
        <v/>
      </c>
      <c r="GC201" s="42">
        <f>IF(Tasks[[#This Row],[_IsLeaf]]=1,MAX(N(Tasks[[#This Row],[_Days]]),0.1),0)</f>
        <v/>
      </c>
      <c r="GD201" s="42">
        <f>Tasks[[#This Row],[_WeightDur]]*Tasks[[#This Row],[_LeafProgress]]</f>
        <v/>
      </c>
      <c r="GE201" s="42">
        <f>Tasks[[#This Row],[_WeightDur]]*Tasks[[#This Row],[_PlannedPct]]</f>
        <v/>
      </c>
      <c r="GF20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1" s="42">
        <f>IF(AND(Tasks[[#This Row],[_IsLeaf]]=1,N(Tasks[[#This Row],[_Days]])=0,Tasks[[#This Row],[_LeafProgress]]&lt;1),Tasks[[#This Row],[_ShownFcstFinish]]+Tasks[[#This Row],[_Row]]/100000,"")</f>
        <v/>
      </c>
      <c r="GH20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1" s="42">
        <f>IF(Tasks[[#This Row],[Task Name]]="","",LEFT(Tasks[[#This Row],[WBS]],FIND(".",Tasks[[#This Row],[WBS]]&amp;".")-1))</f>
        <v/>
      </c>
      <c r="GJ201" s="42">
        <f>IF(AND(Tasks[[#This Row],[Task Name]]&lt;&gt;"",Tasks[[#This Row],[_Level]]=1),Tasks[[#This Row],[_Row]],"")</f>
        <v/>
      </c>
      <c r="GK201" s="42">
        <f>IF(AND(Tasks[[#This Row],[_IsLeaf]]=1,N(Tasks[[#This Row],[_Days]])=0),Tasks[[#This Row],[Planned Finish]]+Tasks[[#This Row],[_Row]]/100000,"")</f>
        <v/>
      </c>
      <c r="GL201" s="42">
        <f>IF(AND(Tasks[[#This Row],[_IsLeaf]]=1,Tasks[[#This Row],[_LeafProgress]]&lt;1,OR(N(Tasks[[#This Row],[Finish Var]])&gt;0,Tasks[[#This Row],[Status]]="Late Start")),MAX(0,Tasks[[#This Row],[Finish Var]])+1-Tasks[[#This Row],[_Row]]/1000000,"")</f>
        <v/>
      </c>
      <c r="GM201" s="42">
        <f>IF(AND(Tasks[[#This Row],[_IsLeaf]]=1,N(Tasks[[#This Row],[Actual Start]])=0,Tasks[[#This Row],[_ShownFcstStart]]&gt;=StatusDate,Tasks[[#This Row],[_ShownFcstStart]]&lt;=LookaheadEnd),Tasks[[#This Row],[_ShownFcstStart]]+Tasks[[#This Row],[_Row]]/100000,"")</f>
        <v/>
      </c>
      <c r="GN201" s="42">
        <f>IF(AND(Tasks[[#This Row],[_IsLeaf]]=1,Tasks[[#This Row],[_LeafProgress]]&lt;1,Tasks[[#This Row],[_ShownFcstFinish]]&gt;=StatusDate,Tasks[[#This Row],[_ShownFcstFinish]]&lt;=LookaheadEnd),Tasks[[#This Row],[_ShownFcstFinish]]+Tasks[[#This Row],[_Row]]/100000,"")</f>
        <v/>
      </c>
      <c r="GO201" s="42">
        <f>IF(Tasks[[#This Row],[_LeafCritical]],Tasks[[#This Row],[_ShownFcstStart]]+Tasks[[#This Row],[_Row]]/100000,"")</f>
        <v/>
      </c>
      <c r="GP201" s="42">
        <f>Tasks[[#This Row],[_LeafWork]]*Tasks[[#This Row],[_LeafProgress]]</f>
        <v/>
      </c>
      <c r="GQ201" s="88">
        <f>IF(AND(Tasks[[#This Row],[_IsLeaf]]=1,Tasks[[#This Row],[_LeafProgress]]&gt;=1),IF(N(Tasks[[#This Row],[Actual Finish]])&gt;0,Tasks[[#This Row],[Actual Finish]],Tasks[[#This Row],[_ShownFcstFinish]]),"")</f>
        <v/>
      </c>
      <c r="GR201" s="42">
        <f>IF(Tasks[[#This Row],[_IsLeaf]]=1,N(Tasks[[#This Row],[Story Points]]),0)</f>
        <v/>
      </c>
      <c r="GS201" s="42">
        <f>""</f>
        <v/>
      </c>
      <c r="GT201" s="42">
        <f>IF(Tasks[[#This Row],[Task Name]]="",FALSE(),AND(Tasks[[#This Row],[_IsLeaf]]=1,N(Tasks[[#This Row],[_Days]])=0))</f>
        <v/>
      </c>
      <c r="GU201" s="88">
        <f>IF(Tasks[[#This Row],[Task Name]]="",0,IF(AND(Tasks[[#This Row],[_IsLeaf]]=1,NOT(Tasks[[#This Row],[_IsMilestone]]),N(Tasks[[#This Row],[Progress]])&gt;0),Tasks[[#This Row],[Start]],0))</f>
        <v/>
      </c>
      <c r="GV201" s="88">
        <f>IF(Tasks[[#This Row],[_DoneFrom]]=0,0,IF(Tasks[[#This Row],[Progress]]&gt;=1,Tasks[[#This Row],[Finish]],MAX(Tasks[[#This Row],[_DoneFrom]],Tasks[[#This Row],[Start]]+ROUND((Tasks[[#This Row],[Finish]]-Tasks[[#This Row],[Start]]+1)*Tasks[[#This Row],[Progress]],0)-1)))</f>
        <v/>
      </c>
      <c r="GW201" s="88">
        <f>IF(Tasks[[#This Row],[Task Name]]="",0,IF(OR(NOT(Tasks[[#This Row],[_IsLeaf]]=1),Tasks[[#This Row],[_IsMilestone]],N(Tasks[[#This Row],[Progress]])&gt;=1),0,IF(Tasks[[#This Row],[_DoneTo]]&gt;0,Tasks[[#This Row],[_DoneTo]]+1,Tasks[[#This Row],[Start]])))</f>
        <v/>
      </c>
      <c r="GX201" s="88">
        <f>IF(Tasks[[#This Row],[_RemFrom]]=0,0,Tasks[[#This Row],[Finish]])</f>
        <v/>
      </c>
      <c r="GY201" s="42">
        <f>IF(Tasks[[#This Row],[Task Name]]="",FALSE(),OR(NOT(BaselineSet),N(Tasks[[#This Row],[Baseline Start]])&gt;0))</f>
        <v/>
      </c>
      <c r="GZ201" s="42">
        <f>IF(AND(Sandbox="Yes",L_PARSE_DURATION(Tasks[[#This Row],[Sandbox Duration]])&lt;&gt;""),L_PARSE_DURATION(Tasks[[#This Row],[Sandbox Duration]]),L_PARSE_DURATION(Tasks[[#This Row],[Duration]]))</f>
        <v/>
      </c>
      <c r="HA201"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0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1" s="42">
        <f>IF(Tasks[[#This Row],[_IsLeaf]]=1,Tasks[[#This Row],[_Row]],"")</f>
        <v/>
      </c>
      <c r="HD201" s="42">
        <f>IFERROR(INDEX(Tasks[UID],SMALL(Tasks[_PickKey],Tasks[[#This Row],[_Row]]))&amp;" "&amp;INDEX(Tasks[Task Name],SMALL(Tasks[_PickKey],Tasks[[#This Row],[_Row]])),"")</f>
        <v/>
      </c>
      <c r="HE201" s="42">
        <f>IF(Tasks[[#This Row],[Task Name]]="","",IF(Tasks[[#This Row],[_IsSummary]],NETWORKDAYS.INTL(Tasks[[#This Row],[Start]],Tasks[[#This Row],[Finish]],WorkWeek,Holidays),N(Tasks[[#This Row],[_Days]])))</f>
        <v/>
      </c>
      <c r="HF201" s="42">
        <f>IF(Tasks[[#This Row],[Expected]]="",0,((Tasks[[#This Row],[Pessimistic]]-Tasks[[#This Row],[Optimistic]])/6)^2)</f>
        <v/>
      </c>
      <c r="HG201" s="42">
        <f>IF(Tasks[[#This Row],[Expected]]="",0,Tasks[[#This Row],[Expected]]-N(Tasks[[#This Row],[_Days]]))</f>
        <v/>
      </c>
    </row>
    <row r="202">
      <c r="A202" s="21">
        <f>IF(Tasks[[#This Row],[Task Name]]="","",COUNTA(Tasks[[#Headers],[Task Name]]:Tasks[[#This Row],[Task Name]])-1)</f>
        <v/>
      </c>
      <c r="B202" s="22" t="n">
        <v>210</v>
      </c>
      <c r="C202" s="22" t="n"/>
      <c r="D202" s="23" t="n"/>
      <c r="E202" s="22" t="n"/>
      <c r="F202" s="23" t="n"/>
      <c r="G202" s="22" t="n"/>
      <c r="H202" s="22" t="n"/>
      <c r="I202" s="23" t="n"/>
      <c r="J202" s="22" t="n"/>
      <c r="K202" s="22" t="n"/>
      <c r="L202" s="23" t="n"/>
      <c r="M202" s="22" t="n"/>
      <c r="N202" s="22" t="n"/>
      <c r="O202" s="23" t="n"/>
      <c r="P202" s="22" t="n"/>
      <c r="Q202" s="22" t="n"/>
      <c r="R202" s="23" t="n"/>
      <c r="S202" s="23" t="n"/>
      <c r="T202" s="82" t="n"/>
      <c r="U202" s="23" t="n"/>
      <c r="V202" s="82" t="n"/>
      <c r="W202" s="23" t="n"/>
      <c r="X202" s="82" t="n"/>
      <c r="Y202" s="23" t="n"/>
      <c r="Z202" s="82" t="n"/>
      <c r="AA202" s="23" t="n"/>
      <c r="AB202" s="23" t="n"/>
      <c r="AC202" s="7" t="n"/>
      <c r="AD202" s="7" t="n"/>
      <c r="AE202" s="61">
        <f>IF(Tasks[[#This Row],[Task Name]]="","",IF(Tasks[[#This Row],[_IsSummary]],MIN(INDEX(Tasks[_ShownFcstStart],Tasks[[#This Row],[_Row]]+1):INDEX(Tasks[_ShownFcstStart],Tasks[[#This Row],[_Row]]+Tasks[[#This Row],[_Descendants]])),Tasks[[#This Row],[_ShownFcstStart]]))</f>
        <v/>
      </c>
      <c r="AF202" s="61">
        <f>IF(Tasks[[#This Row],[Task Name]]="","",IF(Tasks[[#This Row],[_IsSummary]],MAX(INDEX(Tasks[_ShownFcstFinish],Tasks[[#This Row],[_Row]]+1):INDEX(Tasks[_ShownFcstFinish],Tasks[[#This Row],[_Row]]+Tasks[[#This Row],[_Descendants]])),Tasks[[#This Row],[_ShownFcstFinish]]))</f>
        <v/>
      </c>
      <c r="AG202" s="21">
        <f>""</f>
        <v/>
      </c>
      <c r="AH202" s="23" t="n"/>
      <c r="AI20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02" s="7" t="n"/>
      <c r="AK202" s="22" t="n"/>
      <c r="AL202" s="23" t="n"/>
      <c r="AM202" s="7" t="n"/>
      <c r="AN202" s="21">
        <f>IF(Tasks[[#This Row],[Task Name]]="","",IF(Tasks[[#This Row],[Finish]]&gt;=Tasks[[#This Row],[Planned Finish]],NETWORKDAYS.INTL(Tasks[[#This Row],[Planned Finish]],Tasks[[#This Row],[Finish]],WorkWeek,Holidays)-1,1-NETWORKDAYS.INTL(Tasks[[#This Row],[Finish]],Tasks[[#This Row],[Planned Finish]],WorkWeek,Holidays)))</f>
        <v/>
      </c>
      <c r="AO202" s="21">
        <f>IF(Tasks[[#This Row],[Task Name]]="","",IF(Tasks[[#This Row],[Progress]]&gt;=1,"Complete",IF(OR(N(Tasks[[#This Row],[Actual Start]])&gt;0,Tasks[[#This Row],[Progress]]&gt;0),IF(Tasks[[#This Row],[Finish Var]]&gt;0,"Behind","In Progress"),IF(Tasks[[#This Row],[Planned Start]]&lt;StatusDate,"Late Start","Not Started"))))</f>
        <v/>
      </c>
      <c r="AP202" s="21">
        <f>IF(Tasks[[#This Row],[Task Name]]="","",IF(IF(Tasks[[#This Row],[_IsSummary]],COUNTIF(INDEX(Tasks[_LeafCritical],Tasks[[#This Row],[_Row]]+1):INDEX(Tasks[_LeafCritical],Tasks[[#This Row],[_Row]]+Tasks[[#This Row],[_Descendants]]),TRUE())&gt;0,Tasks[[#This Row],[_LeafCritical]]),"Yes",""))</f>
        <v/>
      </c>
      <c r="AQ202" s="61">
        <f>IF(Tasks[[#This Row],[Task Name]]="","",IF(N(Tasks[[#This Row],[Baseline Start]])&gt;0,Tasks[[#This Row],[Baseline Start]],Tasks[[#This Row],[_CalcStart]]))</f>
        <v/>
      </c>
      <c r="AR202" s="61">
        <f>IF(Tasks[[#This Row],[Task Name]]="","",IF(N(Tasks[[#This Row],[Baseline Finish]])&gt;0,Tasks[[#This Row],[Baseline Finish]],Tasks[[#This Row],[_CalcFinish]]))</f>
        <v/>
      </c>
      <c r="AS202" s="21">
        <f>IF(Tasks[[#This Row],[Task Name]]="","",IF(Tasks[[#This Row],[Start]]&gt;=Tasks[[#This Row],[Planned Start]],NETWORKDAYS.INTL(Tasks[[#This Row],[Planned Start]],Tasks[[#This Row],[Start]],WorkWeek,Holidays)-1,1-NETWORKDAYS.INTL(Tasks[[#This Row],[Start]],Tasks[[#This Row],[Planned Start]],WorkWeek,Holidays)))</f>
        <v/>
      </c>
      <c r="AT202" s="61">
        <f>IF(Tasks[[#This Row],[Task Name]]="","",IF(Tasks[[#This Row],[_IsSummary]],MIN(INDEX(Tasks[_LeafLateStart],Tasks[[#This Row],[_Row]]+1):INDEX(Tasks[_LeafLateStart],Tasks[[#This Row],[_Row]]+Tasks[[#This Row],[_Descendants]])),Tasks[[#This Row],[_LeafLateStart]]))</f>
        <v/>
      </c>
      <c r="AU202" s="61">
        <f>IF(Tasks[[#This Row],[Task Name]]="","",IF(Tasks[[#This Row],[_IsSummary]],MAX(INDEX(Tasks[_LeafLateFinish],Tasks[[#This Row],[_Row]]+1):INDEX(Tasks[_LeafLateFinish],Tasks[[#This Row],[_Row]]+Tasks[[#This Row],[_Descendants]])),Tasks[[#This Row],[_LeafLateFinish]]))</f>
        <v/>
      </c>
      <c r="AV202" s="21">
        <f>IF(Tasks[[#This Row],[Task Name]]="","",IF(Tasks[[#This Row],[_IsSummary]],MIN(INDEX(Tasks[_LeafTotalSlack],Tasks[[#This Row],[_Row]]+1):INDEX(Tasks[_LeafTotalSlack],Tasks[[#This Row],[_Row]]+Tasks[[#This Row],[_Descendants]])),Tasks[[#This Row],[_LeafTotalSlack]]))</f>
        <v/>
      </c>
      <c r="AW20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3" t="n"/>
      <c r="BA20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f>IF(Tasks[[#This Row],[Task Name]]="","",IF(Tasks[[#This Row],[_Level]]&lt;=OutlineShowLevel,"Yes","No"))</f>
        <v/>
      </c>
      <c r="BE202" s="84">
        <f>IF(Tasks[[#This Row],[Task Name]]="","",IF(Tasks[[#This Row],[_IsSummary]],SUM(INDEX(Tasks[_LeafTotalWork],Tasks[[#This Row],[_Row]]+1):INDEX(Tasks[_LeafTotalWork],Tasks[[#This Row],[_Row]]+Tasks[[#This Row],[_Descendants]])),Tasks[[#This Row],[_LeafTotalWork]]))</f>
        <v/>
      </c>
      <c r="BF202" s="23" t="n"/>
      <c r="BG20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f>""</f>
        <v/>
      </c>
      <c r="BI202" s="85" t="n"/>
      <c r="BJ202" s="22" t="n"/>
      <c r="BK202" s="21">
        <f>IF(OR(Tasks[[#This Row],[Task Name]]="",Tasks[[#This Row],[Baseline Duration]]=""),"",Tasks[[#This Row],[_SpanDays]]-N(Tasks[[#This Row],[Baseline Duration]]))</f>
        <v/>
      </c>
      <c r="BL202" s="84">
        <f>IF(OR(Tasks[[#This Row],[Task Name]]="",Tasks[[#This Row],[Baseline Work]]=""),"",Tasks[[#This Row],[Work]]-N(Tasks[[#This Row],[Baseline Work]]))</f>
        <v/>
      </c>
      <c r="BM202" s="61">
        <f>IF(Tasks[[#This Row],[Task Name]]="","",IF(OR(TakeBaseline="Yes",N(Tasks[[#This Row],[Baseline Start]])=0),Tasks[[#This Row],[Start]],Tasks[[#This Row],[Baseline Start]]))</f>
        <v/>
      </c>
      <c r="BN202" s="61">
        <f>IF(Tasks[[#This Row],[Task Name]]="","",IF(OR(TakeBaseline="Yes",N(Tasks[[#This Row],[Baseline Finish]])=0),Tasks[[#This Row],[Finish]],Tasks[[#This Row],[Baseline Finish]]))</f>
        <v/>
      </c>
      <c r="BO202" s="21">
        <f>IF(Tasks[[#This Row],[Task Name]]="","",IF(OR(TakeBaseline="Yes",N(Tasks[[#This Row],[Baseline Duration]])=0),Tasks[[#This Row],[_SpanDays]],Tasks[[#This Row],[Baseline Duration]]))</f>
        <v/>
      </c>
      <c r="BP202" s="84">
        <f>IF(Tasks[[#This Row],[Task Name]]="","",IF(OR(TakeBaseline="Yes",N(Tasks[[#This Row],[Baseline Work]])=0),Tasks[[#This Row],[Work]],Tasks[[#This Row],[Baseline Work]]))</f>
        <v/>
      </c>
      <c r="BQ202" s="7" t="n"/>
      <c r="BR202" s="7" t="n"/>
      <c r="BS202" s="22" t="n"/>
      <c r="BT202" s="86" t="n"/>
      <c r="BU202" s="23" t="n"/>
      <c r="BV202" s="23" t="n"/>
      <c r="BW202" s="23" t="n"/>
      <c r="BX202" s="87">
        <f>IF(AND(Tasks[[#This Row],[_IsLeaf]]=1,ISNUMBER(Tasks[[#This Row],[Optimistic]]),ISNUMBER(Tasks[[#This Row],[Pessimistic]])),ROUND((Tasks[[#This Row],[Optimistic]]+4*N(Tasks[[#This Row],[_Days]])+Tasks[[#This Row],[Pessimistic]])/6,1),"")</f>
        <v/>
      </c>
      <c r="BY202" s="85" t="n"/>
      <c r="BZ202" s="85" t="n"/>
      <c r="CA202" s="22" t="n"/>
      <c r="CB202" s="42">
        <f>IF(Tasks[[#This Row],[Task Name]]="","",MAX(1,N(Tasks[[#This Row],[Level]])))</f>
        <v/>
      </c>
      <c r="CC202" s="42">
        <f>ROW()-ROW(Tasks[[#Headers],[ID]])</f>
        <v/>
      </c>
      <c r="CD202" s="42">
        <f>IF(OR(Tasks[[#This Row],[Task Name]]="",Tasks[[#This Row],[_Level]]&lt;=1),0,IFERROR(LOOKUP(2,1/(Tasks[[#Headers],[_Level]]:Tasks[[#This Row],[_Level]]=Tasks[[#This Row],[_Level]]-1),ROW(Tasks[[#Headers],[_Level]]:Tasks[[#This Row],[_Level]])),0))</f>
        <v/>
      </c>
      <c r="CE202" s="42">
        <f>IFERROR(N(INDEX(Tasks[_Level],Tasks[[#This Row],[_Row]]+1)),0)</f>
        <v/>
      </c>
      <c r="CF202" s="42">
        <f>AND(Tasks[[#This Row],[Task Name]]&lt;&gt;"",Tasks[[#This Row],[_NextLevel]]&gt;Tasks[[#This Row],[_Level]])</f>
        <v/>
      </c>
      <c r="CG202" s="42">
        <f>IF(Tasks[[#This Row],[_IsSummary]],COUNTIF(Tasks[WBS],Tasks[[#This Row],[WBS]]&amp;".*"),0)</f>
        <v/>
      </c>
      <c r="CH202" s="42">
        <f>IF(AND(Tasks[[#This Row],[Task Name]]&lt;&gt;"",NOT(Tasks[[#This Row],[_IsSummary]])),1,0)</f>
        <v/>
      </c>
      <c r="CI202" s="42">
        <f>IF(N(Tasks[[#This Row],[_Pred1UID]])=0,0,IFERROR(MATCH(Tasks[[#This Row],[_Pred1UID]],Tasks[UID],0),-1))</f>
        <v/>
      </c>
      <c r="CJ202" s="42">
        <f>IF(N(Tasks[[#This Row],[_Pred2UID]])=0,0,IFERROR(MATCH(Tasks[[#This Row],[_Pred2UID]],Tasks[UID],0),-1))</f>
        <v/>
      </c>
      <c r="CK202" s="42">
        <f>IF(N(Tasks[[#This Row],[_Pred3UID]])=0,0,IFERROR(MATCH(Tasks[[#This Row],[_Pred3UID]],Tasks[UID],0),-1))</f>
        <v/>
      </c>
      <c r="CL202" s="42">
        <f>IF(N(Tasks[[#This Row],[_Pred4UID]])=0,0,IFERROR(MATCH(Tasks[[#This Row],[_Pred4UID]],Tasks[UID],0),-1))</f>
        <v/>
      </c>
      <c r="CM20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2" s="88">
        <f>IF(N(Tasks[[#This Row],[Constraint Date]])=0,0,IF(AND(OR(Tasks[[#This Row],[_ConstraintCode]]=3,Tasks[[#This Row],[_ConstraintCode]]=6,Tasks[[#This Row],[_ConstraintCode]]=7),N(Tasks[[#This Row],[_Days]])&gt;1),WORKDAY.INTL(N(Tasks[[#This Row],[Constraint Date]]),-(N(Tasks[[#This Row],[_Days]])-1),WorkWeek,Holidays),N(Tasks[[#This Row],[Constraint Date]])))</f>
        <v/>
      </c>
      <c r="CO202" s="88">
        <f>IF(OR(Tasks[[#This Row],[_ConstraintCode]]=2,Tasks[[#This Row],[_ConstraintCode]]=3,Tasks[[#This Row],[_ConstraintCode]]=4,Tasks[[#This Row],[_ConstraintCode]]=6),Tasks[[#This Row],[_ConstraintStart]],0)</f>
        <v/>
      </c>
      <c r="CP202" s="88">
        <f>IF(OR(Tasks[[#This Row],[_ConstraintCode]]=2,Tasks[[#This Row],[_ConstraintCode]]=3,Tasks[[#This Row],[_ConstraintCode]]=5,Tasks[[#This Row],[_ConstraintCode]]=7),Tasks[[#This Row],[_ConstraintStart]],2958465)</f>
        <v/>
      </c>
      <c r="CQ20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2" s="88">
        <f>IF(NOT(Tasks[[#This Row],[_IsLeaf]]=1),"",IF(N(Tasks[[#This Row],[_Days]])&lt;=0,Tasks[[#This Row],[_LeafCalcStart]],WORKDAY.INTL(Tasks[[#This Row],[_LeafCalcStart]],Tasks[[#This Row],[_Days]]-1,WorkWeek,Holidays)))</f>
        <v/>
      </c>
      <c r="CS20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2" s="42">
        <f>IF(Tasks[[#This Row],[_Predecessors]]="","",TRIM(MID(SUBSTITUTE(SUBSTITUTE(SUBSTITUTE(UPPER(Tasks[[#This Row],[_Predecessors]]),";",",")," ",""),",",REPT(" ",99)),1,99)))</f>
        <v/>
      </c>
      <c r="CV202" s="42">
        <f>IF(Tasks[[#This Row],[_Pred1Text]]="","",IFERROR(VALUE(LEFT(Tasks[[#This Row],[_Pred1Text]],MIN(FIND("F",Tasks[[#This Row],[_Pred1Text]]&amp;"F"),FIND("S",Tasks[[#This Row],[_Pred1Text]]&amp;"S"),FIND("+",Tasks[[#This Row],[_Pred1Text]]&amp;"+"),FIND("-",Tasks[[#This Row],[_Pred1Text]]&amp;"-"))-1)),""))</f>
        <v/>
      </c>
      <c r="CW20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2" s="42">
        <f>IF(Tasks[[#This Row],[_Pred1Text]]="","",TRIM(MID(SUBSTITUTE(SUBSTITUTE(SUBSTITUTE(UPPER(Tasks[[#This Row],[_Predecessors]]),";",",")," ",""),",",REPT(" ",99)),100,99)))</f>
        <v/>
      </c>
      <c r="CZ202" s="42">
        <f>IF(Tasks[[#This Row],[_Pred2Text]]="","",IFERROR(VALUE(LEFT(Tasks[[#This Row],[_Pred2Text]],MIN(FIND("F",Tasks[[#This Row],[_Pred2Text]]&amp;"F"),FIND("S",Tasks[[#This Row],[_Pred2Text]]&amp;"S"),FIND("+",Tasks[[#This Row],[_Pred2Text]]&amp;"+"),FIND("-",Tasks[[#This Row],[_Pred2Text]]&amp;"-"))-1)),""))</f>
        <v/>
      </c>
      <c r="DA20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2" s="42">
        <f>IF(Tasks[[#This Row],[_Pred2Text]]="","",TRIM(MID(SUBSTITUTE(SUBSTITUTE(SUBSTITUTE(UPPER(Tasks[[#This Row],[_Predecessors]]),";",",")," ",""),",",REPT(" ",99)),199,99)))</f>
        <v/>
      </c>
      <c r="DD202" s="42">
        <f>IF(Tasks[[#This Row],[_Pred3Text]]="","",IFERROR(VALUE(LEFT(Tasks[[#This Row],[_Pred3Text]],MIN(FIND("F",Tasks[[#This Row],[_Pred3Text]]&amp;"F"),FIND("S",Tasks[[#This Row],[_Pred3Text]]&amp;"S"),FIND("+",Tasks[[#This Row],[_Pred3Text]]&amp;"+"),FIND("-",Tasks[[#This Row],[_Pred3Text]]&amp;"-"))-1)),""))</f>
        <v/>
      </c>
      <c r="DE20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2" s="42">
        <f>IF(Tasks[[#This Row],[_Pred3Text]]="","",TRIM(MID(SUBSTITUTE(SUBSTITUTE(SUBSTITUTE(UPPER(Tasks[[#This Row],[_Predecessors]]),";",",")," ",""),",",REPT(" ",99)),298,99)))</f>
        <v/>
      </c>
      <c r="DH202" s="42">
        <f>IF(Tasks[[#This Row],[_Pred4Text]]="","",IFERROR(VALUE(LEFT(Tasks[[#This Row],[_Pred4Text]],MIN(FIND("F",Tasks[[#This Row],[_Pred4Text]]&amp;"F"),FIND("S",Tasks[[#This Row],[_Pred4Text]]&amp;"S"),FIND("+",Tasks[[#This Row],[_Pred4Text]]&amp;"+"),FIND("-",Tasks[[#This Row],[_Pred4Text]]&amp;"-"))-1)),""))</f>
        <v/>
      </c>
      <c r="DI20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2" s="42">
        <f>IF(OR(Tasks[[#This Row],[Task Name]]="",Tasks[[#This Row],[_Resources]]=""),"",TRIM(MID(SUBSTITUTE(Tasks[[#This Row],[_Resources]],",",REPT(" ",99)),1,99)))</f>
        <v/>
      </c>
      <c r="DL202" s="42">
        <f>IF(Tasks[[#This Row],[_Res1Text]]="","",TRIM(MID(SUBSTITUTE(Tasks[[#This Row],[_Resources]],",",REPT(" ",99)),100,99)))</f>
        <v/>
      </c>
      <c r="DM202" s="42">
        <f>IF(Tasks[[#This Row],[_Res2Text]]="","",TRIM(MID(SUBSTITUTE(Tasks[[#This Row],[_Resources]],",",REPT(" ",99)),199,99)))</f>
        <v/>
      </c>
      <c r="DN202" s="42">
        <f>IF(Tasks[[#This Row],[_Res3Text]]="","",TRIM(MID(SUBSTITUTE(Tasks[[#This Row],[_Resources]],",",REPT(" ",99)),298,99)))</f>
        <v/>
      </c>
      <c r="DO202" s="42">
        <f>IF(Tasks[[#This Row],[_Res1Text]]="",0,IFERROR(MATCH(TRIM(LEFT(Tasks[[#This Row],[_Res1Text]],FIND("[",Tasks[[#This Row],[_Res1Text]]&amp;"[")-1)),res_Name,0),IFERROR(MATCH(TRIM(LEFT(Tasks[[#This Row],[_Res1Text]],FIND("[",Tasks[[#This Row],[_Res1Text]]&amp;"[")-1)),res_Initials,0),0)))</f>
        <v/>
      </c>
      <c r="DP202" s="42">
        <f>IF(Tasks[[#This Row],[_Res2Text]]="",0,IFERROR(MATCH(TRIM(LEFT(Tasks[[#This Row],[_Res2Text]],FIND("[",Tasks[[#This Row],[_Res2Text]]&amp;"[")-1)),res_Name,0),IFERROR(MATCH(TRIM(LEFT(Tasks[[#This Row],[_Res2Text]],FIND("[",Tasks[[#This Row],[_Res2Text]]&amp;"[")-1)),res_Initials,0),0)))</f>
        <v/>
      </c>
      <c r="DQ202" s="42">
        <f>IF(Tasks[[#This Row],[_Res3Text]]="",0,IFERROR(MATCH(TRIM(LEFT(Tasks[[#This Row],[_Res3Text]],FIND("[",Tasks[[#This Row],[_Res3Text]]&amp;"[")-1)),res_Name,0),IFERROR(MATCH(TRIM(LEFT(Tasks[[#This Row],[_Res3Text]],FIND("[",Tasks[[#This Row],[_Res3Text]]&amp;"[")-1)),res_Initials,0),0)))</f>
        <v/>
      </c>
      <c r="DR202" s="42">
        <f>IF(Tasks[[#This Row],[_Res4Text]]="",0,IFERROR(MATCH(TRIM(LEFT(Tasks[[#This Row],[_Res4Text]],FIND("[",Tasks[[#This Row],[_Res4Text]]&amp;"[")-1)),res_Name,0),IFERROR(MATCH(TRIM(LEFT(Tasks[[#This Row],[_Res4Text]],FIND("[",Tasks[[#This Row],[_Res4Text]]&amp;"[")-1)),res_Initials,0),0)))</f>
        <v/>
      </c>
      <c r="DS202" s="42">
        <f>IF(Tasks[[#This Row],[_Res1Text]]="","",IF(Tasks[[#This Row],[_Res1Row]]&gt;0,INDEX(res_Name,Tasks[[#This Row],[_Res1Row]]),TRIM(LEFT(Tasks[[#This Row],[_Res1Text]],FIND("[",Tasks[[#This Row],[_Res1Text]]&amp;"[")-1))))</f>
        <v/>
      </c>
      <c r="DT20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2" s="42">
        <f>IF(NOT(Tasks[[#This Row],[_IsLeaf]]=1),0,(Tasks[[#This Row],[_Resource1]]&lt;&gt;"")+(Tasks[[#This Row],[_Res2]]&lt;&gt;"")+(Tasks[[#This Row],[_Res3]]&lt;&gt;"")+(Tasks[[#This Row],[_Res4]]&lt;&gt;""))</f>
        <v/>
      </c>
      <c r="DV202" s="42">
        <f>IF(Tasks[[#This Row],[_Res2Text]]="","",IF(Tasks[[#This Row],[_Res2Row]]&gt;0,INDEX(res_Name,Tasks[[#This Row],[_Res2Row]]),TRIM(LEFT(Tasks[[#This Row],[_Res2Text]],FIND("[",Tasks[[#This Row],[_Res2Text]]&amp;"[")-1))))</f>
        <v/>
      </c>
      <c r="DW20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2" s="42">
        <f>IF(OR(NOT(Tasks[[#This Row],[_IsLeaf]]=1),Tasks[[#This Row],[_Res2Row]]=0),0,N(Tasks[[#This Row],[_Days]])*HoursPerDay*IF(Tasks[[#This Row],[_Res2Units]]="",DefaultUnits,Tasks[[#This Row],[_Res2Units]]))</f>
        <v/>
      </c>
      <c r="DY202" s="42">
        <f>IF(AND(AND(Tasks[[#This Row],[_IsLeaf]]=1,Tasks[[#This Row],[_LeafTotalWork]]&gt;0),Tasks[[#This Row],[_Res2Work]]&gt;0),Tasks[[#This Row],[_Res2Work]]/(Tasks[[#This Row],[_FinishWorkday]]-Tasks[[#This Row],[_StartWorkday]]+1),0)</f>
        <v/>
      </c>
      <c r="DZ202" s="42">
        <f>Tasks[[#This Row],[_Res2WorkPerWD]]*MAX(0,Tasks[[#This Row],[_StartWorkday]]-1)</f>
        <v/>
      </c>
      <c r="EA202" s="42">
        <f>Tasks[[#This Row],[_Res2Work]]*Tasks[[#This Row],[_LeafProgress]]</f>
        <v/>
      </c>
      <c r="EB202" s="42">
        <f>IF(Tasks[[#This Row],[_Res3Text]]="","",IF(Tasks[[#This Row],[_Res3Row]]&gt;0,INDEX(res_Name,Tasks[[#This Row],[_Res3Row]]),TRIM(LEFT(Tasks[[#This Row],[_Res3Text]],FIND("[",Tasks[[#This Row],[_Res3Text]]&amp;"[")-1))))</f>
        <v/>
      </c>
      <c r="EC20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2" s="42">
        <f>IF(OR(NOT(Tasks[[#This Row],[_IsLeaf]]=1),Tasks[[#This Row],[_Res3Row]]=0),0,N(Tasks[[#This Row],[_Days]])*HoursPerDay*IF(Tasks[[#This Row],[_Res3Units]]="",DefaultUnits,Tasks[[#This Row],[_Res3Units]]))</f>
        <v/>
      </c>
      <c r="EE202" s="42">
        <f>IF(AND(AND(Tasks[[#This Row],[_IsLeaf]]=1,Tasks[[#This Row],[_LeafTotalWork]]&gt;0),Tasks[[#This Row],[_Res3Work]]&gt;0),Tasks[[#This Row],[_Res3Work]]/(Tasks[[#This Row],[_FinishWorkday]]-Tasks[[#This Row],[_StartWorkday]]+1),0)</f>
        <v/>
      </c>
      <c r="EF202" s="42">
        <f>Tasks[[#This Row],[_Res3WorkPerWD]]*MAX(0,Tasks[[#This Row],[_StartWorkday]]-1)</f>
        <v/>
      </c>
      <c r="EG202" s="42">
        <f>Tasks[[#This Row],[_Res3Work]]*Tasks[[#This Row],[_LeafProgress]]</f>
        <v/>
      </c>
      <c r="EH202" s="42">
        <f>IF(Tasks[[#This Row],[_Res4Text]]="","",IF(Tasks[[#This Row],[_Res4Row]]&gt;0,INDEX(res_Name,Tasks[[#This Row],[_Res4Row]]),TRIM(LEFT(Tasks[[#This Row],[_Res4Text]],FIND("[",Tasks[[#This Row],[_Res4Text]]&amp;"[")-1))))</f>
        <v/>
      </c>
      <c r="EI20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2" s="42">
        <f>IF(OR(NOT(Tasks[[#This Row],[_IsLeaf]]=1),Tasks[[#This Row],[_Res4Row]]=0),0,N(Tasks[[#This Row],[_Days]])*HoursPerDay*IF(Tasks[[#This Row],[_Res4Units]]="",DefaultUnits,Tasks[[#This Row],[_Res4Units]]))</f>
        <v/>
      </c>
      <c r="EK202" s="42">
        <f>IF(AND(AND(Tasks[[#This Row],[_IsLeaf]]=1,Tasks[[#This Row],[_LeafTotalWork]]&gt;0),Tasks[[#This Row],[_Res4Work]]&gt;0),Tasks[[#This Row],[_Res4Work]]/(Tasks[[#This Row],[_FinishWorkday]]-Tasks[[#This Row],[_StartWorkday]]+1),0)</f>
        <v/>
      </c>
      <c r="EL202" s="42">
        <f>Tasks[[#This Row],[_Res4WorkPerWD]]*MAX(0,Tasks[[#This Row],[_StartWorkday]]-1)</f>
        <v/>
      </c>
      <c r="EM202" s="42">
        <f>Tasks[[#This Row],[_Res4Work]]*Tasks[[#This Row],[_LeafProgress]]</f>
        <v/>
      </c>
      <c r="EN202" s="42">
        <f>IF(ISNUMBER(Tasks[[#This Row],[% Complete]]),Tasks[[#This Row],[% Complete]],IF(Tasks[[#This Row],[Stage]]="",0,IFERROR(INDEX(stg_Pct,MATCH(Tasks[[#This Row],[Stage]],stg_Name,0)),0)))</f>
        <v/>
      </c>
      <c r="EO202" s="42">
        <f>IF(NOT(Tasks[[#This Row],[_IsLeaf]]=1),0,IF(N(Tasks[[#This Row],[Actual Finish]])&gt;0,1,MIN(1,Tasks[[#This Row],[_Pct]])))</f>
        <v/>
      </c>
      <c r="EP202" s="42">
        <f>IF(OR(NOT(Tasks[[#This Row],[_IsLeaf]]=1),Tasks[[#This Row],[_Res1Row]]=0),0,N(Tasks[[#This Row],[_Days]])*HoursPerDay*IF(Tasks[[#This Row],[_Units1]]="",DefaultUnits,Tasks[[#This Row],[_Units1]]))</f>
        <v/>
      </c>
      <c r="EQ202" s="42">
        <f>Tasks[[#This Row],[_LeafWork]]+Tasks[[#This Row],[_Res2Work]]+Tasks[[#This Row],[_Res3Work]]+Tasks[[#This Row],[_Res4Work]]</f>
        <v/>
      </c>
      <c r="ER20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2" s="42">
        <f>IF(NOT(Tasks[[#This Row],[_IsLeaf]]=1),0,MAX(_xlfn.MAXIFS(Tasks[_Row],Tasks[_Pred1UID],Tasks[[#This Row],[UID]]),_xlfn.MAXIFS(Tasks[_Row],Tasks[_Pred2UID],Tasks[[#This Row],[UID]]),_xlfn.MAXIFS(Tasks[_Row],Tasks[_Pred3UID],Tasks[[#This Row],[UID]]),_xlfn.MAXIFS(Tasks[_Row],Tasks[_Pred4UID],Tasks[[#This Row],[UID]])))</f>
        <v/>
      </c>
      <c r="FA20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2" s="88">
        <f>IF(NOT(Tasks[[#This Row],[_IsLeaf]]=1),"",IF(N(Tasks[[#This Row],[_Days]])&lt;=0,Tasks[[#This Row],[_LeafLateFinish]],WORKDAY.INTL(Tasks[[#This Row],[_LeafLateFinish]],-(Tasks[[#This Row],[_Days]]-1),WorkWeek,Holidays)))</f>
        <v/>
      </c>
      <c r="FD20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2" s="42">
        <f>AND(Tasks[[#This Row],[_IsLeaf]]=1,Tasks[[#This Row],[_LeafProgress]]&lt;1,N(Tasks[[#This Row],[_LeafTotalSlack]])&lt;=CriticalSlackDays)</f>
        <v/>
      </c>
      <c r="FF202" s="42">
        <f>IF(AND(Tasks[[#This Row],[_IsLeaf]]=1,Tasks[[#This Row],[_ConstraintCode]]=1,Tasks[[#This Row],[Mode]]&lt;&gt;"Manual",N(Tasks[[#This Row],[Actual Start]])=0),MAX(0,N(Tasks[[#This Row],[Free Slack]])),0)</f>
        <v/>
      </c>
      <c r="FG202" s="88">
        <f>IF(NOT(Tasks[[#This Row],[_IsLeaf]]=1),"",IF(Tasks[[#This Row],[_AlapShift]]=0,Tasks[[#This Row],[_LeafCalcStart]],WORKDAY.INTL(Tasks[[#This Row],[_LeafCalcStart]],Tasks[[#This Row],[_AlapShift]],WorkWeek,Holidays)))</f>
        <v/>
      </c>
      <c r="FH202" s="88">
        <f>IF(NOT(Tasks[[#This Row],[_IsLeaf]]=1),"",IF(Tasks[[#This Row],[_AlapShift]]=0,Tasks[[#This Row],[_LeafCalcFinish]],WORKDAY.INTL(Tasks[[#This Row],[_LeafCalcFinish]],Tasks[[#This Row],[_AlapShift]],WorkWeek,Holidays)))</f>
        <v/>
      </c>
      <c r="FI202" s="88">
        <f>IF(NOT(Tasks[[#This Row],[_IsLeaf]]=1),"",IF(Tasks[[#This Row],[_AlapShift]]=0,Tasks[[#This Row],[_LeafFcstStart]],WORKDAY.INTL(Tasks[[#This Row],[_LeafFcstStart]],Tasks[[#This Row],[_AlapShift]],WorkWeek,Holidays)))</f>
        <v/>
      </c>
      <c r="FJ202" s="88">
        <f>IF(NOT(Tasks[[#This Row],[_IsLeaf]]=1),"",IF(Tasks[[#This Row],[_AlapShift]]=0,Tasks[[#This Row],[_LeafFcstFinish]],WORKDAY.INTL(Tasks[[#This Row],[_LeafFcstFinish]],Tasks[[#This Row],[_AlapShift]],WorkWeek,Holidays)))</f>
        <v/>
      </c>
      <c r="FK202" s="88">
        <f>IF(Tasks[[#This Row],[Task Name]]="","",IF(Tasks[[#This Row],[_IsSummary]],MIN(INDEX(Tasks[_ShownCalcStart],Tasks[[#This Row],[_Row]]+1):INDEX(Tasks[_ShownCalcStart],Tasks[[#This Row],[_Row]]+Tasks[[#This Row],[_Descendants]])),Tasks[[#This Row],[_ShownCalcStart]]))</f>
        <v/>
      </c>
      <c r="FL202" s="88">
        <f>IF(Tasks[[#This Row],[Task Name]]="","",IF(Tasks[[#This Row],[_IsSummary]],MAX(INDEX(Tasks[_ShownCalcFinish],Tasks[[#This Row],[_Row]]+1):INDEX(Tasks[_ShownCalcFinish],Tasks[[#This Row],[_Row]]+Tasks[[#This Row],[_Descendants]])),Tasks[[#This Row],[_ShownCalcFinish]]))</f>
        <v/>
      </c>
      <c r="FM20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2" s="42">
        <f>IF(AND(Tasks[[#This Row],[_IsLeaf]]=1,Tasks[[#This Row],[_LeafTotalWork]]&gt;0),NETWORKDAYS.INTL(ProjectStart,Tasks[[#This Row],[_ShownFcstStart]],WorkWeek,Holidays),0)</f>
        <v/>
      </c>
      <c r="FZ202" s="42">
        <f>IF(AND(Tasks[[#This Row],[_IsLeaf]]=1,Tasks[[#This Row],[_LeafTotalWork]]&gt;0),MAX(Tasks[[#This Row],[_StartWorkday]],NETWORKDAYS.INTL(ProjectStart,Tasks[[#This Row],[_ShownFcstFinish]],WorkWeek,Holidays)),0)</f>
        <v/>
      </c>
      <c r="GA202" s="42">
        <f>IF(AND(Tasks[[#This Row],[_IsLeaf]]=1,Tasks[[#This Row],[_LeafTotalWork]]&gt;0),Tasks[[#This Row],[_LeafWork]]/(Tasks[[#This Row],[_FinishWorkday]]-Tasks[[#This Row],[_StartWorkday]]+1),0)</f>
        <v/>
      </c>
      <c r="GB202" s="42">
        <f>Tasks[[#This Row],[_WorkPerWorkday]]*(Tasks[[#This Row],[_StartWorkday]]-1)</f>
        <v/>
      </c>
      <c r="GC202" s="42">
        <f>IF(Tasks[[#This Row],[_IsLeaf]]=1,MAX(N(Tasks[[#This Row],[_Days]]),0.1),0)</f>
        <v/>
      </c>
      <c r="GD202" s="42">
        <f>Tasks[[#This Row],[_WeightDur]]*Tasks[[#This Row],[_LeafProgress]]</f>
        <v/>
      </c>
      <c r="GE202" s="42">
        <f>Tasks[[#This Row],[_WeightDur]]*Tasks[[#This Row],[_PlannedPct]]</f>
        <v/>
      </c>
      <c r="GF20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2" s="42">
        <f>IF(AND(Tasks[[#This Row],[_IsLeaf]]=1,N(Tasks[[#This Row],[_Days]])=0,Tasks[[#This Row],[_LeafProgress]]&lt;1),Tasks[[#This Row],[_ShownFcstFinish]]+Tasks[[#This Row],[_Row]]/100000,"")</f>
        <v/>
      </c>
      <c r="GH20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2" s="42">
        <f>IF(Tasks[[#This Row],[Task Name]]="","",LEFT(Tasks[[#This Row],[WBS]],FIND(".",Tasks[[#This Row],[WBS]]&amp;".")-1))</f>
        <v/>
      </c>
      <c r="GJ202" s="42">
        <f>IF(AND(Tasks[[#This Row],[Task Name]]&lt;&gt;"",Tasks[[#This Row],[_Level]]=1),Tasks[[#This Row],[_Row]],"")</f>
        <v/>
      </c>
      <c r="GK202" s="42">
        <f>IF(AND(Tasks[[#This Row],[_IsLeaf]]=1,N(Tasks[[#This Row],[_Days]])=0),Tasks[[#This Row],[Planned Finish]]+Tasks[[#This Row],[_Row]]/100000,"")</f>
        <v/>
      </c>
      <c r="GL202" s="42">
        <f>IF(AND(Tasks[[#This Row],[_IsLeaf]]=1,Tasks[[#This Row],[_LeafProgress]]&lt;1,OR(N(Tasks[[#This Row],[Finish Var]])&gt;0,Tasks[[#This Row],[Status]]="Late Start")),MAX(0,Tasks[[#This Row],[Finish Var]])+1-Tasks[[#This Row],[_Row]]/1000000,"")</f>
        <v/>
      </c>
      <c r="GM202" s="42">
        <f>IF(AND(Tasks[[#This Row],[_IsLeaf]]=1,N(Tasks[[#This Row],[Actual Start]])=0,Tasks[[#This Row],[_ShownFcstStart]]&gt;=StatusDate,Tasks[[#This Row],[_ShownFcstStart]]&lt;=LookaheadEnd),Tasks[[#This Row],[_ShownFcstStart]]+Tasks[[#This Row],[_Row]]/100000,"")</f>
        <v/>
      </c>
      <c r="GN202" s="42">
        <f>IF(AND(Tasks[[#This Row],[_IsLeaf]]=1,Tasks[[#This Row],[_LeafProgress]]&lt;1,Tasks[[#This Row],[_ShownFcstFinish]]&gt;=StatusDate,Tasks[[#This Row],[_ShownFcstFinish]]&lt;=LookaheadEnd),Tasks[[#This Row],[_ShownFcstFinish]]+Tasks[[#This Row],[_Row]]/100000,"")</f>
        <v/>
      </c>
      <c r="GO202" s="42">
        <f>IF(Tasks[[#This Row],[_LeafCritical]],Tasks[[#This Row],[_ShownFcstStart]]+Tasks[[#This Row],[_Row]]/100000,"")</f>
        <v/>
      </c>
      <c r="GP202" s="42">
        <f>Tasks[[#This Row],[_LeafWork]]*Tasks[[#This Row],[_LeafProgress]]</f>
        <v/>
      </c>
      <c r="GQ202" s="88">
        <f>IF(AND(Tasks[[#This Row],[_IsLeaf]]=1,Tasks[[#This Row],[_LeafProgress]]&gt;=1),IF(N(Tasks[[#This Row],[Actual Finish]])&gt;0,Tasks[[#This Row],[Actual Finish]],Tasks[[#This Row],[_ShownFcstFinish]]),"")</f>
        <v/>
      </c>
      <c r="GR202" s="42">
        <f>IF(Tasks[[#This Row],[_IsLeaf]]=1,N(Tasks[[#This Row],[Story Points]]),0)</f>
        <v/>
      </c>
      <c r="GS202" s="42">
        <f>""</f>
        <v/>
      </c>
      <c r="GT202" s="42">
        <f>IF(Tasks[[#This Row],[Task Name]]="",FALSE(),AND(Tasks[[#This Row],[_IsLeaf]]=1,N(Tasks[[#This Row],[_Days]])=0))</f>
        <v/>
      </c>
      <c r="GU202" s="88">
        <f>IF(Tasks[[#This Row],[Task Name]]="",0,IF(AND(Tasks[[#This Row],[_IsLeaf]]=1,NOT(Tasks[[#This Row],[_IsMilestone]]),N(Tasks[[#This Row],[Progress]])&gt;0),Tasks[[#This Row],[Start]],0))</f>
        <v/>
      </c>
      <c r="GV202" s="88">
        <f>IF(Tasks[[#This Row],[_DoneFrom]]=0,0,IF(Tasks[[#This Row],[Progress]]&gt;=1,Tasks[[#This Row],[Finish]],MAX(Tasks[[#This Row],[_DoneFrom]],Tasks[[#This Row],[Start]]+ROUND((Tasks[[#This Row],[Finish]]-Tasks[[#This Row],[Start]]+1)*Tasks[[#This Row],[Progress]],0)-1)))</f>
        <v/>
      </c>
      <c r="GW202" s="88">
        <f>IF(Tasks[[#This Row],[Task Name]]="",0,IF(OR(NOT(Tasks[[#This Row],[_IsLeaf]]=1),Tasks[[#This Row],[_IsMilestone]],N(Tasks[[#This Row],[Progress]])&gt;=1),0,IF(Tasks[[#This Row],[_DoneTo]]&gt;0,Tasks[[#This Row],[_DoneTo]]+1,Tasks[[#This Row],[Start]])))</f>
        <v/>
      </c>
      <c r="GX202" s="88">
        <f>IF(Tasks[[#This Row],[_RemFrom]]=0,0,Tasks[[#This Row],[Finish]])</f>
        <v/>
      </c>
      <c r="GY202" s="42">
        <f>IF(Tasks[[#This Row],[Task Name]]="",FALSE(),OR(NOT(BaselineSet),N(Tasks[[#This Row],[Baseline Start]])&gt;0))</f>
        <v/>
      </c>
      <c r="GZ202" s="42">
        <f>IF(AND(Sandbox="Yes",L_PARSE_DURATION(Tasks[[#This Row],[Sandbox Duration]])&lt;&gt;""),L_PARSE_DURATION(Tasks[[#This Row],[Sandbox Duration]]),L_PARSE_DURATION(Tasks[[#This Row],[Duration]]))</f>
        <v/>
      </c>
      <c r="HA202"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0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2" s="42">
        <f>IF(Tasks[[#This Row],[_IsLeaf]]=1,Tasks[[#This Row],[_Row]],"")</f>
        <v/>
      </c>
      <c r="HD202" s="42">
        <f>IFERROR(INDEX(Tasks[UID],SMALL(Tasks[_PickKey],Tasks[[#This Row],[_Row]]))&amp;" "&amp;INDEX(Tasks[Task Name],SMALL(Tasks[_PickKey],Tasks[[#This Row],[_Row]])),"")</f>
        <v/>
      </c>
      <c r="HE202" s="42">
        <f>IF(Tasks[[#This Row],[Task Name]]="","",IF(Tasks[[#This Row],[_IsSummary]],NETWORKDAYS.INTL(Tasks[[#This Row],[Start]],Tasks[[#This Row],[Finish]],WorkWeek,Holidays),N(Tasks[[#This Row],[_Days]])))</f>
        <v/>
      </c>
      <c r="HF202" s="42">
        <f>IF(Tasks[[#This Row],[Expected]]="",0,((Tasks[[#This Row],[Pessimistic]]-Tasks[[#This Row],[Optimistic]])/6)^2)</f>
        <v/>
      </c>
      <c r="HG202" s="42">
        <f>IF(Tasks[[#This Row],[Expected]]="",0,Tasks[[#This Row],[Expected]]-N(Tasks[[#This Row],[_Days]]))</f>
        <v/>
      </c>
    </row>
    <row r="203">
      <c r="A203" s="21">
        <f>IF(Tasks[[#This Row],[Task Name]]="","",COUNTA(Tasks[[#Headers],[Task Name]]:Tasks[[#This Row],[Task Name]])-1)</f>
        <v/>
      </c>
      <c r="B203" s="22" t="n">
        <v>211</v>
      </c>
      <c r="C203" s="22" t="n"/>
      <c r="D203" s="23" t="n"/>
      <c r="E203" s="22" t="n"/>
      <c r="F203" s="23" t="n"/>
      <c r="G203" s="22" t="n"/>
      <c r="H203" s="22" t="n"/>
      <c r="I203" s="23" t="n"/>
      <c r="J203" s="22" t="n"/>
      <c r="K203" s="22" t="n"/>
      <c r="L203" s="23" t="n"/>
      <c r="M203" s="22" t="n"/>
      <c r="N203" s="22" t="n"/>
      <c r="O203" s="23" t="n"/>
      <c r="P203" s="22" t="n"/>
      <c r="Q203" s="22" t="n"/>
      <c r="R203" s="23" t="n"/>
      <c r="S203" s="23" t="n"/>
      <c r="T203" s="82" t="n"/>
      <c r="U203" s="23" t="n"/>
      <c r="V203" s="82" t="n"/>
      <c r="W203" s="23" t="n"/>
      <c r="X203" s="82" t="n"/>
      <c r="Y203" s="23" t="n"/>
      <c r="Z203" s="82" t="n"/>
      <c r="AA203" s="23" t="n"/>
      <c r="AB203" s="23" t="n"/>
      <c r="AC203" s="7" t="n"/>
      <c r="AD203" s="7" t="n"/>
      <c r="AE203" s="61">
        <f>IF(Tasks[[#This Row],[Task Name]]="","",IF(Tasks[[#This Row],[_IsSummary]],MIN(INDEX(Tasks[_ShownFcstStart],Tasks[[#This Row],[_Row]]+1):INDEX(Tasks[_ShownFcstStart],Tasks[[#This Row],[_Row]]+Tasks[[#This Row],[_Descendants]])),Tasks[[#This Row],[_ShownFcstStart]]))</f>
        <v/>
      </c>
      <c r="AF203" s="61">
        <f>IF(Tasks[[#This Row],[Task Name]]="","",IF(Tasks[[#This Row],[_IsSummary]],MAX(INDEX(Tasks[_ShownFcstFinish],Tasks[[#This Row],[_Row]]+1):INDEX(Tasks[_ShownFcstFinish],Tasks[[#This Row],[_Row]]+Tasks[[#This Row],[_Descendants]])),Tasks[[#This Row],[_ShownFcstFinish]]))</f>
        <v/>
      </c>
      <c r="AG203" s="21">
        <f>""</f>
        <v/>
      </c>
      <c r="AH203" s="23" t="n"/>
      <c r="AI20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03" s="7" t="n"/>
      <c r="AK203" s="22" t="n"/>
      <c r="AL203" s="23" t="n"/>
      <c r="AM203" s="7" t="n"/>
      <c r="AN203" s="21">
        <f>IF(Tasks[[#This Row],[Task Name]]="","",IF(Tasks[[#This Row],[Finish]]&gt;=Tasks[[#This Row],[Planned Finish]],NETWORKDAYS.INTL(Tasks[[#This Row],[Planned Finish]],Tasks[[#This Row],[Finish]],WorkWeek,Holidays)-1,1-NETWORKDAYS.INTL(Tasks[[#This Row],[Finish]],Tasks[[#This Row],[Planned Finish]],WorkWeek,Holidays)))</f>
        <v/>
      </c>
      <c r="AO203" s="21">
        <f>IF(Tasks[[#This Row],[Task Name]]="","",IF(Tasks[[#This Row],[Progress]]&gt;=1,"Complete",IF(OR(N(Tasks[[#This Row],[Actual Start]])&gt;0,Tasks[[#This Row],[Progress]]&gt;0),IF(Tasks[[#This Row],[Finish Var]]&gt;0,"Behind","In Progress"),IF(Tasks[[#This Row],[Planned Start]]&lt;StatusDate,"Late Start","Not Started"))))</f>
        <v/>
      </c>
      <c r="AP203" s="21">
        <f>IF(Tasks[[#This Row],[Task Name]]="","",IF(IF(Tasks[[#This Row],[_IsSummary]],COUNTIF(INDEX(Tasks[_LeafCritical],Tasks[[#This Row],[_Row]]+1):INDEX(Tasks[_LeafCritical],Tasks[[#This Row],[_Row]]+Tasks[[#This Row],[_Descendants]]),TRUE())&gt;0,Tasks[[#This Row],[_LeafCritical]]),"Yes",""))</f>
        <v/>
      </c>
      <c r="AQ203" s="61">
        <f>IF(Tasks[[#This Row],[Task Name]]="","",IF(N(Tasks[[#This Row],[Baseline Start]])&gt;0,Tasks[[#This Row],[Baseline Start]],Tasks[[#This Row],[_CalcStart]]))</f>
        <v/>
      </c>
      <c r="AR203" s="61">
        <f>IF(Tasks[[#This Row],[Task Name]]="","",IF(N(Tasks[[#This Row],[Baseline Finish]])&gt;0,Tasks[[#This Row],[Baseline Finish]],Tasks[[#This Row],[_CalcFinish]]))</f>
        <v/>
      </c>
      <c r="AS203" s="21">
        <f>IF(Tasks[[#This Row],[Task Name]]="","",IF(Tasks[[#This Row],[Start]]&gt;=Tasks[[#This Row],[Planned Start]],NETWORKDAYS.INTL(Tasks[[#This Row],[Planned Start]],Tasks[[#This Row],[Start]],WorkWeek,Holidays)-1,1-NETWORKDAYS.INTL(Tasks[[#This Row],[Start]],Tasks[[#This Row],[Planned Start]],WorkWeek,Holidays)))</f>
        <v/>
      </c>
      <c r="AT203" s="61">
        <f>IF(Tasks[[#This Row],[Task Name]]="","",IF(Tasks[[#This Row],[_IsSummary]],MIN(INDEX(Tasks[_LeafLateStart],Tasks[[#This Row],[_Row]]+1):INDEX(Tasks[_LeafLateStart],Tasks[[#This Row],[_Row]]+Tasks[[#This Row],[_Descendants]])),Tasks[[#This Row],[_LeafLateStart]]))</f>
        <v/>
      </c>
      <c r="AU203" s="61">
        <f>IF(Tasks[[#This Row],[Task Name]]="","",IF(Tasks[[#This Row],[_IsSummary]],MAX(INDEX(Tasks[_LeafLateFinish],Tasks[[#This Row],[_Row]]+1):INDEX(Tasks[_LeafLateFinish],Tasks[[#This Row],[_Row]]+Tasks[[#This Row],[_Descendants]])),Tasks[[#This Row],[_LeafLateFinish]]))</f>
        <v/>
      </c>
      <c r="AV203" s="21">
        <f>IF(Tasks[[#This Row],[Task Name]]="","",IF(Tasks[[#This Row],[_IsSummary]],MIN(INDEX(Tasks[_LeafTotalSlack],Tasks[[#This Row],[_Row]]+1):INDEX(Tasks[_LeafTotalSlack],Tasks[[#This Row],[_Row]]+Tasks[[#This Row],[_Descendants]])),Tasks[[#This Row],[_LeafTotalSlack]]))</f>
        <v/>
      </c>
      <c r="AW20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3" t="n"/>
      <c r="BA20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f>IF(Tasks[[#This Row],[Task Name]]="","",IF(Tasks[[#This Row],[_Level]]&lt;=OutlineShowLevel,"Yes","No"))</f>
        <v/>
      </c>
      <c r="BE203" s="84">
        <f>IF(Tasks[[#This Row],[Task Name]]="","",IF(Tasks[[#This Row],[_IsSummary]],SUM(INDEX(Tasks[_LeafTotalWork],Tasks[[#This Row],[_Row]]+1):INDEX(Tasks[_LeafTotalWork],Tasks[[#This Row],[_Row]]+Tasks[[#This Row],[_Descendants]])),Tasks[[#This Row],[_LeafTotalWork]]))</f>
        <v/>
      </c>
      <c r="BF203" s="23" t="n"/>
      <c r="BG20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f>""</f>
        <v/>
      </c>
      <c r="BI203" s="85" t="n"/>
      <c r="BJ203" s="22" t="n"/>
      <c r="BK203" s="21">
        <f>IF(OR(Tasks[[#This Row],[Task Name]]="",Tasks[[#This Row],[Baseline Duration]]=""),"",Tasks[[#This Row],[_SpanDays]]-N(Tasks[[#This Row],[Baseline Duration]]))</f>
        <v/>
      </c>
      <c r="BL203" s="84">
        <f>IF(OR(Tasks[[#This Row],[Task Name]]="",Tasks[[#This Row],[Baseline Work]]=""),"",Tasks[[#This Row],[Work]]-N(Tasks[[#This Row],[Baseline Work]]))</f>
        <v/>
      </c>
      <c r="BM203" s="61">
        <f>IF(Tasks[[#This Row],[Task Name]]="","",IF(OR(TakeBaseline="Yes",N(Tasks[[#This Row],[Baseline Start]])=0),Tasks[[#This Row],[Start]],Tasks[[#This Row],[Baseline Start]]))</f>
        <v/>
      </c>
      <c r="BN203" s="61">
        <f>IF(Tasks[[#This Row],[Task Name]]="","",IF(OR(TakeBaseline="Yes",N(Tasks[[#This Row],[Baseline Finish]])=0),Tasks[[#This Row],[Finish]],Tasks[[#This Row],[Baseline Finish]]))</f>
        <v/>
      </c>
      <c r="BO203" s="21">
        <f>IF(Tasks[[#This Row],[Task Name]]="","",IF(OR(TakeBaseline="Yes",N(Tasks[[#This Row],[Baseline Duration]])=0),Tasks[[#This Row],[_SpanDays]],Tasks[[#This Row],[Baseline Duration]]))</f>
        <v/>
      </c>
      <c r="BP203" s="84">
        <f>IF(Tasks[[#This Row],[Task Name]]="","",IF(OR(TakeBaseline="Yes",N(Tasks[[#This Row],[Baseline Work]])=0),Tasks[[#This Row],[Work]],Tasks[[#This Row],[Baseline Work]]))</f>
        <v/>
      </c>
      <c r="BQ203" s="7" t="n"/>
      <c r="BR203" s="7" t="n"/>
      <c r="BS203" s="22" t="n"/>
      <c r="BT203" s="86" t="n"/>
      <c r="BU203" s="23" t="n"/>
      <c r="BV203" s="23" t="n"/>
      <c r="BW203" s="23" t="n"/>
      <c r="BX203" s="87">
        <f>IF(AND(Tasks[[#This Row],[_IsLeaf]]=1,ISNUMBER(Tasks[[#This Row],[Optimistic]]),ISNUMBER(Tasks[[#This Row],[Pessimistic]])),ROUND((Tasks[[#This Row],[Optimistic]]+4*N(Tasks[[#This Row],[_Days]])+Tasks[[#This Row],[Pessimistic]])/6,1),"")</f>
        <v/>
      </c>
      <c r="BY203" s="85" t="n"/>
      <c r="BZ203" s="85" t="n"/>
      <c r="CA203" s="22" t="n"/>
      <c r="CB203" s="42">
        <f>IF(Tasks[[#This Row],[Task Name]]="","",MAX(1,N(Tasks[[#This Row],[Level]])))</f>
        <v/>
      </c>
      <c r="CC203" s="42">
        <f>ROW()-ROW(Tasks[[#Headers],[ID]])</f>
        <v/>
      </c>
      <c r="CD203" s="42">
        <f>IF(OR(Tasks[[#This Row],[Task Name]]="",Tasks[[#This Row],[_Level]]&lt;=1),0,IFERROR(LOOKUP(2,1/(Tasks[[#Headers],[_Level]]:Tasks[[#This Row],[_Level]]=Tasks[[#This Row],[_Level]]-1),ROW(Tasks[[#Headers],[_Level]]:Tasks[[#This Row],[_Level]])),0))</f>
        <v/>
      </c>
      <c r="CE203" s="42">
        <f>IFERROR(N(INDEX(Tasks[_Level],Tasks[[#This Row],[_Row]]+1)),0)</f>
        <v/>
      </c>
      <c r="CF203" s="42">
        <f>AND(Tasks[[#This Row],[Task Name]]&lt;&gt;"",Tasks[[#This Row],[_NextLevel]]&gt;Tasks[[#This Row],[_Level]])</f>
        <v/>
      </c>
      <c r="CG203" s="42">
        <f>IF(Tasks[[#This Row],[_IsSummary]],COUNTIF(Tasks[WBS],Tasks[[#This Row],[WBS]]&amp;".*"),0)</f>
        <v/>
      </c>
      <c r="CH203" s="42">
        <f>IF(AND(Tasks[[#This Row],[Task Name]]&lt;&gt;"",NOT(Tasks[[#This Row],[_IsSummary]])),1,0)</f>
        <v/>
      </c>
      <c r="CI203" s="42">
        <f>IF(N(Tasks[[#This Row],[_Pred1UID]])=0,0,IFERROR(MATCH(Tasks[[#This Row],[_Pred1UID]],Tasks[UID],0),-1))</f>
        <v/>
      </c>
      <c r="CJ203" s="42">
        <f>IF(N(Tasks[[#This Row],[_Pred2UID]])=0,0,IFERROR(MATCH(Tasks[[#This Row],[_Pred2UID]],Tasks[UID],0),-1))</f>
        <v/>
      </c>
      <c r="CK203" s="42">
        <f>IF(N(Tasks[[#This Row],[_Pred3UID]])=0,0,IFERROR(MATCH(Tasks[[#This Row],[_Pred3UID]],Tasks[UID],0),-1))</f>
        <v/>
      </c>
      <c r="CL203" s="42">
        <f>IF(N(Tasks[[#This Row],[_Pred4UID]])=0,0,IFERROR(MATCH(Tasks[[#This Row],[_Pred4UID]],Tasks[UID],0),-1))</f>
        <v/>
      </c>
      <c r="CM20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3" s="88">
        <f>IF(N(Tasks[[#This Row],[Constraint Date]])=0,0,IF(AND(OR(Tasks[[#This Row],[_ConstraintCode]]=3,Tasks[[#This Row],[_ConstraintCode]]=6,Tasks[[#This Row],[_ConstraintCode]]=7),N(Tasks[[#This Row],[_Days]])&gt;1),WORKDAY.INTL(N(Tasks[[#This Row],[Constraint Date]]),-(N(Tasks[[#This Row],[_Days]])-1),WorkWeek,Holidays),N(Tasks[[#This Row],[Constraint Date]])))</f>
        <v/>
      </c>
      <c r="CO203" s="88">
        <f>IF(OR(Tasks[[#This Row],[_ConstraintCode]]=2,Tasks[[#This Row],[_ConstraintCode]]=3,Tasks[[#This Row],[_ConstraintCode]]=4,Tasks[[#This Row],[_ConstraintCode]]=6),Tasks[[#This Row],[_ConstraintStart]],0)</f>
        <v/>
      </c>
      <c r="CP203" s="88">
        <f>IF(OR(Tasks[[#This Row],[_ConstraintCode]]=2,Tasks[[#This Row],[_ConstraintCode]]=3,Tasks[[#This Row],[_ConstraintCode]]=5,Tasks[[#This Row],[_ConstraintCode]]=7),Tasks[[#This Row],[_ConstraintStart]],2958465)</f>
        <v/>
      </c>
      <c r="CQ20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3" s="88">
        <f>IF(NOT(Tasks[[#This Row],[_IsLeaf]]=1),"",IF(N(Tasks[[#This Row],[_Days]])&lt;=0,Tasks[[#This Row],[_LeafCalcStart]],WORKDAY.INTL(Tasks[[#This Row],[_LeafCalcStart]],Tasks[[#This Row],[_Days]]-1,WorkWeek,Holidays)))</f>
        <v/>
      </c>
      <c r="CS20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3" s="42">
        <f>IF(Tasks[[#This Row],[_Predecessors]]="","",TRIM(MID(SUBSTITUTE(SUBSTITUTE(SUBSTITUTE(UPPER(Tasks[[#This Row],[_Predecessors]]),";",",")," ",""),",",REPT(" ",99)),1,99)))</f>
        <v/>
      </c>
      <c r="CV203" s="42">
        <f>IF(Tasks[[#This Row],[_Pred1Text]]="","",IFERROR(VALUE(LEFT(Tasks[[#This Row],[_Pred1Text]],MIN(FIND("F",Tasks[[#This Row],[_Pred1Text]]&amp;"F"),FIND("S",Tasks[[#This Row],[_Pred1Text]]&amp;"S"),FIND("+",Tasks[[#This Row],[_Pred1Text]]&amp;"+"),FIND("-",Tasks[[#This Row],[_Pred1Text]]&amp;"-"))-1)),""))</f>
        <v/>
      </c>
      <c r="CW20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3" s="42">
        <f>IF(Tasks[[#This Row],[_Pred1Text]]="","",TRIM(MID(SUBSTITUTE(SUBSTITUTE(SUBSTITUTE(UPPER(Tasks[[#This Row],[_Predecessors]]),";",",")," ",""),",",REPT(" ",99)),100,99)))</f>
        <v/>
      </c>
      <c r="CZ203" s="42">
        <f>IF(Tasks[[#This Row],[_Pred2Text]]="","",IFERROR(VALUE(LEFT(Tasks[[#This Row],[_Pred2Text]],MIN(FIND("F",Tasks[[#This Row],[_Pred2Text]]&amp;"F"),FIND("S",Tasks[[#This Row],[_Pred2Text]]&amp;"S"),FIND("+",Tasks[[#This Row],[_Pred2Text]]&amp;"+"),FIND("-",Tasks[[#This Row],[_Pred2Text]]&amp;"-"))-1)),""))</f>
        <v/>
      </c>
      <c r="DA20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3" s="42">
        <f>IF(Tasks[[#This Row],[_Pred2Text]]="","",TRIM(MID(SUBSTITUTE(SUBSTITUTE(SUBSTITUTE(UPPER(Tasks[[#This Row],[_Predecessors]]),";",",")," ",""),",",REPT(" ",99)),199,99)))</f>
        <v/>
      </c>
      <c r="DD203" s="42">
        <f>IF(Tasks[[#This Row],[_Pred3Text]]="","",IFERROR(VALUE(LEFT(Tasks[[#This Row],[_Pred3Text]],MIN(FIND("F",Tasks[[#This Row],[_Pred3Text]]&amp;"F"),FIND("S",Tasks[[#This Row],[_Pred3Text]]&amp;"S"),FIND("+",Tasks[[#This Row],[_Pred3Text]]&amp;"+"),FIND("-",Tasks[[#This Row],[_Pred3Text]]&amp;"-"))-1)),""))</f>
        <v/>
      </c>
      <c r="DE20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3" s="42">
        <f>IF(Tasks[[#This Row],[_Pred3Text]]="","",TRIM(MID(SUBSTITUTE(SUBSTITUTE(SUBSTITUTE(UPPER(Tasks[[#This Row],[_Predecessors]]),";",",")," ",""),",",REPT(" ",99)),298,99)))</f>
        <v/>
      </c>
      <c r="DH203" s="42">
        <f>IF(Tasks[[#This Row],[_Pred4Text]]="","",IFERROR(VALUE(LEFT(Tasks[[#This Row],[_Pred4Text]],MIN(FIND("F",Tasks[[#This Row],[_Pred4Text]]&amp;"F"),FIND("S",Tasks[[#This Row],[_Pred4Text]]&amp;"S"),FIND("+",Tasks[[#This Row],[_Pred4Text]]&amp;"+"),FIND("-",Tasks[[#This Row],[_Pred4Text]]&amp;"-"))-1)),""))</f>
        <v/>
      </c>
      <c r="DI20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3" s="42">
        <f>IF(OR(Tasks[[#This Row],[Task Name]]="",Tasks[[#This Row],[_Resources]]=""),"",TRIM(MID(SUBSTITUTE(Tasks[[#This Row],[_Resources]],",",REPT(" ",99)),1,99)))</f>
        <v/>
      </c>
      <c r="DL203" s="42">
        <f>IF(Tasks[[#This Row],[_Res1Text]]="","",TRIM(MID(SUBSTITUTE(Tasks[[#This Row],[_Resources]],",",REPT(" ",99)),100,99)))</f>
        <v/>
      </c>
      <c r="DM203" s="42">
        <f>IF(Tasks[[#This Row],[_Res2Text]]="","",TRIM(MID(SUBSTITUTE(Tasks[[#This Row],[_Resources]],",",REPT(" ",99)),199,99)))</f>
        <v/>
      </c>
      <c r="DN203" s="42">
        <f>IF(Tasks[[#This Row],[_Res3Text]]="","",TRIM(MID(SUBSTITUTE(Tasks[[#This Row],[_Resources]],",",REPT(" ",99)),298,99)))</f>
        <v/>
      </c>
      <c r="DO203" s="42">
        <f>IF(Tasks[[#This Row],[_Res1Text]]="",0,IFERROR(MATCH(TRIM(LEFT(Tasks[[#This Row],[_Res1Text]],FIND("[",Tasks[[#This Row],[_Res1Text]]&amp;"[")-1)),res_Name,0),IFERROR(MATCH(TRIM(LEFT(Tasks[[#This Row],[_Res1Text]],FIND("[",Tasks[[#This Row],[_Res1Text]]&amp;"[")-1)),res_Initials,0),0)))</f>
        <v/>
      </c>
      <c r="DP203" s="42">
        <f>IF(Tasks[[#This Row],[_Res2Text]]="",0,IFERROR(MATCH(TRIM(LEFT(Tasks[[#This Row],[_Res2Text]],FIND("[",Tasks[[#This Row],[_Res2Text]]&amp;"[")-1)),res_Name,0),IFERROR(MATCH(TRIM(LEFT(Tasks[[#This Row],[_Res2Text]],FIND("[",Tasks[[#This Row],[_Res2Text]]&amp;"[")-1)),res_Initials,0),0)))</f>
        <v/>
      </c>
      <c r="DQ203" s="42">
        <f>IF(Tasks[[#This Row],[_Res3Text]]="",0,IFERROR(MATCH(TRIM(LEFT(Tasks[[#This Row],[_Res3Text]],FIND("[",Tasks[[#This Row],[_Res3Text]]&amp;"[")-1)),res_Name,0),IFERROR(MATCH(TRIM(LEFT(Tasks[[#This Row],[_Res3Text]],FIND("[",Tasks[[#This Row],[_Res3Text]]&amp;"[")-1)),res_Initials,0),0)))</f>
        <v/>
      </c>
      <c r="DR203" s="42">
        <f>IF(Tasks[[#This Row],[_Res4Text]]="",0,IFERROR(MATCH(TRIM(LEFT(Tasks[[#This Row],[_Res4Text]],FIND("[",Tasks[[#This Row],[_Res4Text]]&amp;"[")-1)),res_Name,0),IFERROR(MATCH(TRIM(LEFT(Tasks[[#This Row],[_Res4Text]],FIND("[",Tasks[[#This Row],[_Res4Text]]&amp;"[")-1)),res_Initials,0),0)))</f>
        <v/>
      </c>
      <c r="DS203" s="42">
        <f>IF(Tasks[[#This Row],[_Res1Text]]="","",IF(Tasks[[#This Row],[_Res1Row]]&gt;0,INDEX(res_Name,Tasks[[#This Row],[_Res1Row]]),TRIM(LEFT(Tasks[[#This Row],[_Res1Text]],FIND("[",Tasks[[#This Row],[_Res1Text]]&amp;"[")-1))))</f>
        <v/>
      </c>
      <c r="DT20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3" s="42">
        <f>IF(NOT(Tasks[[#This Row],[_IsLeaf]]=1),0,(Tasks[[#This Row],[_Resource1]]&lt;&gt;"")+(Tasks[[#This Row],[_Res2]]&lt;&gt;"")+(Tasks[[#This Row],[_Res3]]&lt;&gt;"")+(Tasks[[#This Row],[_Res4]]&lt;&gt;""))</f>
        <v/>
      </c>
      <c r="DV203" s="42">
        <f>IF(Tasks[[#This Row],[_Res2Text]]="","",IF(Tasks[[#This Row],[_Res2Row]]&gt;0,INDEX(res_Name,Tasks[[#This Row],[_Res2Row]]),TRIM(LEFT(Tasks[[#This Row],[_Res2Text]],FIND("[",Tasks[[#This Row],[_Res2Text]]&amp;"[")-1))))</f>
        <v/>
      </c>
      <c r="DW20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3" s="42">
        <f>IF(OR(NOT(Tasks[[#This Row],[_IsLeaf]]=1),Tasks[[#This Row],[_Res2Row]]=0),0,N(Tasks[[#This Row],[_Days]])*HoursPerDay*IF(Tasks[[#This Row],[_Res2Units]]="",DefaultUnits,Tasks[[#This Row],[_Res2Units]]))</f>
        <v/>
      </c>
      <c r="DY203" s="42">
        <f>IF(AND(AND(Tasks[[#This Row],[_IsLeaf]]=1,Tasks[[#This Row],[_LeafTotalWork]]&gt;0),Tasks[[#This Row],[_Res2Work]]&gt;0),Tasks[[#This Row],[_Res2Work]]/(Tasks[[#This Row],[_FinishWorkday]]-Tasks[[#This Row],[_StartWorkday]]+1),0)</f>
        <v/>
      </c>
      <c r="DZ203" s="42">
        <f>Tasks[[#This Row],[_Res2WorkPerWD]]*MAX(0,Tasks[[#This Row],[_StartWorkday]]-1)</f>
        <v/>
      </c>
      <c r="EA203" s="42">
        <f>Tasks[[#This Row],[_Res2Work]]*Tasks[[#This Row],[_LeafProgress]]</f>
        <v/>
      </c>
      <c r="EB203" s="42">
        <f>IF(Tasks[[#This Row],[_Res3Text]]="","",IF(Tasks[[#This Row],[_Res3Row]]&gt;0,INDEX(res_Name,Tasks[[#This Row],[_Res3Row]]),TRIM(LEFT(Tasks[[#This Row],[_Res3Text]],FIND("[",Tasks[[#This Row],[_Res3Text]]&amp;"[")-1))))</f>
        <v/>
      </c>
      <c r="EC20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3" s="42">
        <f>IF(OR(NOT(Tasks[[#This Row],[_IsLeaf]]=1),Tasks[[#This Row],[_Res3Row]]=0),0,N(Tasks[[#This Row],[_Days]])*HoursPerDay*IF(Tasks[[#This Row],[_Res3Units]]="",DefaultUnits,Tasks[[#This Row],[_Res3Units]]))</f>
        <v/>
      </c>
      <c r="EE203" s="42">
        <f>IF(AND(AND(Tasks[[#This Row],[_IsLeaf]]=1,Tasks[[#This Row],[_LeafTotalWork]]&gt;0),Tasks[[#This Row],[_Res3Work]]&gt;0),Tasks[[#This Row],[_Res3Work]]/(Tasks[[#This Row],[_FinishWorkday]]-Tasks[[#This Row],[_StartWorkday]]+1),0)</f>
        <v/>
      </c>
      <c r="EF203" s="42">
        <f>Tasks[[#This Row],[_Res3WorkPerWD]]*MAX(0,Tasks[[#This Row],[_StartWorkday]]-1)</f>
        <v/>
      </c>
      <c r="EG203" s="42">
        <f>Tasks[[#This Row],[_Res3Work]]*Tasks[[#This Row],[_LeafProgress]]</f>
        <v/>
      </c>
      <c r="EH203" s="42">
        <f>IF(Tasks[[#This Row],[_Res4Text]]="","",IF(Tasks[[#This Row],[_Res4Row]]&gt;0,INDEX(res_Name,Tasks[[#This Row],[_Res4Row]]),TRIM(LEFT(Tasks[[#This Row],[_Res4Text]],FIND("[",Tasks[[#This Row],[_Res4Text]]&amp;"[")-1))))</f>
        <v/>
      </c>
      <c r="EI20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3" s="42">
        <f>IF(OR(NOT(Tasks[[#This Row],[_IsLeaf]]=1),Tasks[[#This Row],[_Res4Row]]=0),0,N(Tasks[[#This Row],[_Days]])*HoursPerDay*IF(Tasks[[#This Row],[_Res4Units]]="",DefaultUnits,Tasks[[#This Row],[_Res4Units]]))</f>
        <v/>
      </c>
      <c r="EK203" s="42">
        <f>IF(AND(AND(Tasks[[#This Row],[_IsLeaf]]=1,Tasks[[#This Row],[_LeafTotalWork]]&gt;0),Tasks[[#This Row],[_Res4Work]]&gt;0),Tasks[[#This Row],[_Res4Work]]/(Tasks[[#This Row],[_FinishWorkday]]-Tasks[[#This Row],[_StartWorkday]]+1),0)</f>
        <v/>
      </c>
      <c r="EL203" s="42">
        <f>Tasks[[#This Row],[_Res4WorkPerWD]]*MAX(0,Tasks[[#This Row],[_StartWorkday]]-1)</f>
        <v/>
      </c>
      <c r="EM203" s="42">
        <f>Tasks[[#This Row],[_Res4Work]]*Tasks[[#This Row],[_LeafProgress]]</f>
        <v/>
      </c>
      <c r="EN203" s="42">
        <f>IF(ISNUMBER(Tasks[[#This Row],[% Complete]]),Tasks[[#This Row],[% Complete]],IF(Tasks[[#This Row],[Stage]]="",0,IFERROR(INDEX(stg_Pct,MATCH(Tasks[[#This Row],[Stage]],stg_Name,0)),0)))</f>
        <v/>
      </c>
      <c r="EO203" s="42">
        <f>IF(NOT(Tasks[[#This Row],[_IsLeaf]]=1),0,IF(N(Tasks[[#This Row],[Actual Finish]])&gt;0,1,MIN(1,Tasks[[#This Row],[_Pct]])))</f>
        <v/>
      </c>
      <c r="EP203" s="42">
        <f>IF(OR(NOT(Tasks[[#This Row],[_IsLeaf]]=1),Tasks[[#This Row],[_Res1Row]]=0),0,N(Tasks[[#This Row],[_Days]])*HoursPerDay*IF(Tasks[[#This Row],[_Units1]]="",DefaultUnits,Tasks[[#This Row],[_Units1]]))</f>
        <v/>
      </c>
      <c r="EQ203" s="42">
        <f>Tasks[[#This Row],[_LeafWork]]+Tasks[[#This Row],[_Res2Work]]+Tasks[[#This Row],[_Res3Work]]+Tasks[[#This Row],[_Res4Work]]</f>
        <v/>
      </c>
      <c r="ER20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3" s="42">
        <f>IF(NOT(Tasks[[#This Row],[_IsLeaf]]=1),0,MAX(_xlfn.MAXIFS(Tasks[_Row],Tasks[_Pred1UID],Tasks[[#This Row],[UID]]),_xlfn.MAXIFS(Tasks[_Row],Tasks[_Pred2UID],Tasks[[#This Row],[UID]]),_xlfn.MAXIFS(Tasks[_Row],Tasks[_Pred3UID],Tasks[[#This Row],[UID]]),_xlfn.MAXIFS(Tasks[_Row],Tasks[_Pred4UID],Tasks[[#This Row],[UID]])))</f>
        <v/>
      </c>
      <c r="FA20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3" s="88">
        <f>IF(NOT(Tasks[[#This Row],[_IsLeaf]]=1),"",IF(N(Tasks[[#This Row],[_Days]])&lt;=0,Tasks[[#This Row],[_LeafLateFinish]],WORKDAY.INTL(Tasks[[#This Row],[_LeafLateFinish]],-(Tasks[[#This Row],[_Days]]-1),WorkWeek,Holidays)))</f>
        <v/>
      </c>
      <c r="FD20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3" s="42">
        <f>AND(Tasks[[#This Row],[_IsLeaf]]=1,Tasks[[#This Row],[_LeafProgress]]&lt;1,N(Tasks[[#This Row],[_LeafTotalSlack]])&lt;=CriticalSlackDays)</f>
        <v/>
      </c>
      <c r="FF203" s="42">
        <f>IF(AND(Tasks[[#This Row],[_IsLeaf]]=1,Tasks[[#This Row],[_ConstraintCode]]=1,Tasks[[#This Row],[Mode]]&lt;&gt;"Manual",N(Tasks[[#This Row],[Actual Start]])=0),MAX(0,N(Tasks[[#This Row],[Free Slack]])),0)</f>
        <v/>
      </c>
      <c r="FG203" s="88">
        <f>IF(NOT(Tasks[[#This Row],[_IsLeaf]]=1),"",IF(Tasks[[#This Row],[_AlapShift]]=0,Tasks[[#This Row],[_LeafCalcStart]],WORKDAY.INTL(Tasks[[#This Row],[_LeafCalcStart]],Tasks[[#This Row],[_AlapShift]],WorkWeek,Holidays)))</f>
        <v/>
      </c>
      <c r="FH203" s="88">
        <f>IF(NOT(Tasks[[#This Row],[_IsLeaf]]=1),"",IF(Tasks[[#This Row],[_AlapShift]]=0,Tasks[[#This Row],[_LeafCalcFinish]],WORKDAY.INTL(Tasks[[#This Row],[_LeafCalcFinish]],Tasks[[#This Row],[_AlapShift]],WorkWeek,Holidays)))</f>
        <v/>
      </c>
      <c r="FI203" s="88">
        <f>IF(NOT(Tasks[[#This Row],[_IsLeaf]]=1),"",IF(Tasks[[#This Row],[_AlapShift]]=0,Tasks[[#This Row],[_LeafFcstStart]],WORKDAY.INTL(Tasks[[#This Row],[_LeafFcstStart]],Tasks[[#This Row],[_AlapShift]],WorkWeek,Holidays)))</f>
        <v/>
      </c>
      <c r="FJ203" s="88">
        <f>IF(NOT(Tasks[[#This Row],[_IsLeaf]]=1),"",IF(Tasks[[#This Row],[_AlapShift]]=0,Tasks[[#This Row],[_LeafFcstFinish]],WORKDAY.INTL(Tasks[[#This Row],[_LeafFcstFinish]],Tasks[[#This Row],[_AlapShift]],WorkWeek,Holidays)))</f>
        <v/>
      </c>
      <c r="FK203" s="88">
        <f>IF(Tasks[[#This Row],[Task Name]]="","",IF(Tasks[[#This Row],[_IsSummary]],MIN(INDEX(Tasks[_ShownCalcStart],Tasks[[#This Row],[_Row]]+1):INDEX(Tasks[_ShownCalcStart],Tasks[[#This Row],[_Row]]+Tasks[[#This Row],[_Descendants]])),Tasks[[#This Row],[_ShownCalcStart]]))</f>
        <v/>
      </c>
      <c r="FL203" s="88">
        <f>IF(Tasks[[#This Row],[Task Name]]="","",IF(Tasks[[#This Row],[_IsSummary]],MAX(INDEX(Tasks[_ShownCalcFinish],Tasks[[#This Row],[_Row]]+1):INDEX(Tasks[_ShownCalcFinish],Tasks[[#This Row],[_Row]]+Tasks[[#This Row],[_Descendants]])),Tasks[[#This Row],[_ShownCalcFinish]]))</f>
        <v/>
      </c>
      <c r="FM20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3" s="42">
        <f>IF(AND(Tasks[[#This Row],[_IsLeaf]]=1,Tasks[[#This Row],[_LeafTotalWork]]&gt;0),NETWORKDAYS.INTL(ProjectStart,Tasks[[#This Row],[_ShownFcstStart]],WorkWeek,Holidays),0)</f>
        <v/>
      </c>
      <c r="FZ203" s="42">
        <f>IF(AND(Tasks[[#This Row],[_IsLeaf]]=1,Tasks[[#This Row],[_LeafTotalWork]]&gt;0),MAX(Tasks[[#This Row],[_StartWorkday]],NETWORKDAYS.INTL(ProjectStart,Tasks[[#This Row],[_ShownFcstFinish]],WorkWeek,Holidays)),0)</f>
        <v/>
      </c>
      <c r="GA203" s="42">
        <f>IF(AND(Tasks[[#This Row],[_IsLeaf]]=1,Tasks[[#This Row],[_LeafTotalWork]]&gt;0),Tasks[[#This Row],[_LeafWork]]/(Tasks[[#This Row],[_FinishWorkday]]-Tasks[[#This Row],[_StartWorkday]]+1),0)</f>
        <v/>
      </c>
      <c r="GB203" s="42">
        <f>Tasks[[#This Row],[_WorkPerWorkday]]*(Tasks[[#This Row],[_StartWorkday]]-1)</f>
        <v/>
      </c>
      <c r="GC203" s="42">
        <f>IF(Tasks[[#This Row],[_IsLeaf]]=1,MAX(N(Tasks[[#This Row],[_Days]]),0.1),0)</f>
        <v/>
      </c>
      <c r="GD203" s="42">
        <f>Tasks[[#This Row],[_WeightDur]]*Tasks[[#This Row],[_LeafProgress]]</f>
        <v/>
      </c>
      <c r="GE203" s="42">
        <f>Tasks[[#This Row],[_WeightDur]]*Tasks[[#This Row],[_PlannedPct]]</f>
        <v/>
      </c>
      <c r="GF20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3" s="42">
        <f>IF(AND(Tasks[[#This Row],[_IsLeaf]]=1,N(Tasks[[#This Row],[_Days]])=0,Tasks[[#This Row],[_LeafProgress]]&lt;1),Tasks[[#This Row],[_ShownFcstFinish]]+Tasks[[#This Row],[_Row]]/100000,"")</f>
        <v/>
      </c>
      <c r="GH20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3" s="42">
        <f>IF(Tasks[[#This Row],[Task Name]]="","",LEFT(Tasks[[#This Row],[WBS]],FIND(".",Tasks[[#This Row],[WBS]]&amp;".")-1))</f>
        <v/>
      </c>
      <c r="GJ203" s="42">
        <f>IF(AND(Tasks[[#This Row],[Task Name]]&lt;&gt;"",Tasks[[#This Row],[_Level]]=1),Tasks[[#This Row],[_Row]],"")</f>
        <v/>
      </c>
      <c r="GK203" s="42">
        <f>IF(AND(Tasks[[#This Row],[_IsLeaf]]=1,N(Tasks[[#This Row],[_Days]])=0),Tasks[[#This Row],[Planned Finish]]+Tasks[[#This Row],[_Row]]/100000,"")</f>
        <v/>
      </c>
      <c r="GL203" s="42">
        <f>IF(AND(Tasks[[#This Row],[_IsLeaf]]=1,Tasks[[#This Row],[_LeafProgress]]&lt;1,OR(N(Tasks[[#This Row],[Finish Var]])&gt;0,Tasks[[#This Row],[Status]]="Late Start")),MAX(0,Tasks[[#This Row],[Finish Var]])+1-Tasks[[#This Row],[_Row]]/1000000,"")</f>
        <v/>
      </c>
      <c r="GM203" s="42">
        <f>IF(AND(Tasks[[#This Row],[_IsLeaf]]=1,N(Tasks[[#This Row],[Actual Start]])=0,Tasks[[#This Row],[_ShownFcstStart]]&gt;=StatusDate,Tasks[[#This Row],[_ShownFcstStart]]&lt;=LookaheadEnd),Tasks[[#This Row],[_ShownFcstStart]]+Tasks[[#This Row],[_Row]]/100000,"")</f>
        <v/>
      </c>
      <c r="GN203" s="42">
        <f>IF(AND(Tasks[[#This Row],[_IsLeaf]]=1,Tasks[[#This Row],[_LeafProgress]]&lt;1,Tasks[[#This Row],[_ShownFcstFinish]]&gt;=StatusDate,Tasks[[#This Row],[_ShownFcstFinish]]&lt;=LookaheadEnd),Tasks[[#This Row],[_ShownFcstFinish]]+Tasks[[#This Row],[_Row]]/100000,"")</f>
        <v/>
      </c>
      <c r="GO203" s="42">
        <f>IF(Tasks[[#This Row],[_LeafCritical]],Tasks[[#This Row],[_ShownFcstStart]]+Tasks[[#This Row],[_Row]]/100000,"")</f>
        <v/>
      </c>
      <c r="GP203" s="42">
        <f>Tasks[[#This Row],[_LeafWork]]*Tasks[[#This Row],[_LeafProgress]]</f>
        <v/>
      </c>
      <c r="GQ203" s="88">
        <f>IF(AND(Tasks[[#This Row],[_IsLeaf]]=1,Tasks[[#This Row],[_LeafProgress]]&gt;=1),IF(N(Tasks[[#This Row],[Actual Finish]])&gt;0,Tasks[[#This Row],[Actual Finish]],Tasks[[#This Row],[_ShownFcstFinish]]),"")</f>
        <v/>
      </c>
      <c r="GR203" s="42">
        <f>IF(Tasks[[#This Row],[_IsLeaf]]=1,N(Tasks[[#This Row],[Story Points]]),0)</f>
        <v/>
      </c>
      <c r="GS203" s="42">
        <f>""</f>
        <v/>
      </c>
      <c r="GT203" s="42">
        <f>IF(Tasks[[#This Row],[Task Name]]="",FALSE(),AND(Tasks[[#This Row],[_IsLeaf]]=1,N(Tasks[[#This Row],[_Days]])=0))</f>
        <v/>
      </c>
      <c r="GU203" s="88">
        <f>IF(Tasks[[#This Row],[Task Name]]="",0,IF(AND(Tasks[[#This Row],[_IsLeaf]]=1,NOT(Tasks[[#This Row],[_IsMilestone]]),N(Tasks[[#This Row],[Progress]])&gt;0),Tasks[[#This Row],[Start]],0))</f>
        <v/>
      </c>
      <c r="GV203" s="88">
        <f>IF(Tasks[[#This Row],[_DoneFrom]]=0,0,IF(Tasks[[#This Row],[Progress]]&gt;=1,Tasks[[#This Row],[Finish]],MAX(Tasks[[#This Row],[_DoneFrom]],Tasks[[#This Row],[Start]]+ROUND((Tasks[[#This Row],[Finish]]-Tasks[[#This Row],[Start]]+1)*Tasks[[#This Row],[Progress]],0)-1)))</f>
        <v/>
      </c>
      <c r="GW203" s="88">
        <f>IF(Tasks[[#This Row],[Task Name]]="",0,IF(OR(NOT(Tasks[[#This Row],[_IsLeaf]]=1),Tasks[[#This Row],[_IsMilestone]],N(Tasks[[#This Row],[Progress]])&gt;=1),0,IF(Tasks[[#This Row],[_DoneTo]]&gt;0,Tasks[[#This Row],[_DoneTo]]+1,Tasks[[#This Row],[Start]])))</f>
        <v/>
      </c>
      <c r="GX203" s="88">
        <f>IF(Tasks[[#This Row],[_RemFrom]]=0,0,Tasks[[#This Row],[Finish]])</f>
        <v/>
      </c>
      <c r="GY203" s="42">
        <f>IF(Tasks[[#This Row],[Task Name]]="",FALSE(),OR(NOT(BaselineSet),N(Tasks[[#This Row],[Baseline Start]])&gt;0))</f>
        <v/>
      </c>
      <c r="GZ203" s="42">
        <f>IF(AND(Sandbox="Yes",L_PARSE_DURATION(Tasks[[#This Row],[Sandbox Duration]])&lt;&gt;""),L_PARSE_DURATION(Tasks[[#This Row],[Sandbox Duration]]),L_PARSE_DURATION(Tasks[[#This Row],[Duration]]))</f>
        <v/>
      </c>
      <c r="HA203"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0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3" s="42">
        <f>IF(Tasks[[#This Row],[_IsLeaf]]=1,Tasks[[#This Row],[_Row]],"")</f>
        <v/>
      </c>
      <c r="HD203" s="42">
        <f>IFERROR(INDEX(Tasks[UID],SMALL(Tasks[_PickKey],Tasks[[#This Row],[_Row]]))&amp;" "&amp;INDEX(Tasks[Task Name],SMALL(Tasks[_PickKey],Tasks[[#This Row],[_Row]])),"")</f>
        <v/>
      </c>
      <c r="HE203" s="42">
        <f>IF(Tasks[[#This Row],[Task Name]]="","",IF(Tasks[[#This Row],[_IsSummary]],NETWORKDAYS.INTL(Tasks[[#This Row],[Start]],Tasks[[#This Row],[Finish]],WorkWeek,Holidays),N(Tasks[[#This Row],[_Days]])))</f>
        <v/>
      </c>
      <c r="HF203" s="42">
        <f>IF(Tasks[[#This Row],[Expected]]="",0,((Tasks[[#This Row],[Pessimistic]]-Tasks[[#This Row],[Optimistic]])/6)^2)</f>
        <v/>
      </c>
      <c r="HG203" s="42">
        <f>IF(Tasks[[#This Row],[Expected]]="",0,Tasks[[#This Row],[Expected]]-N(Tasks[[#This Row],[_Days]]))</f>
        <v/>
      </c>
    </row>
    <row r="204">
      <c r="A204" s="21">
        <f>IF(Tasks[[#This Row],[Task Name]]="","",COUNTA(Tasks[[#Headers],[Task Name]]:Tasks[[#This Row],[Task Name]])-1)</f>
        <v/>
      </c>
      <c r="B204" s="22" t="n">
        <v>212</v>
      </c>
      <c r="C204" s="22" t="n"/>
      <c r="D204" s="23" t="n"/>
      <c r="E204" s="22" t="n"/>
      <c r="F204" s="23" t="n"/>
      <c r="G204" s="22" t="n"/>
      <c r="H204" s="22" t="n"/>
      <c r="I204" s="23" t="n"/>
      <c r="J204" s="22" t="n"/>
      <c r="K204" s="22" t="n"/>
      <c r="L204" s="23" t="n"/>
      <c r="M204" s="22" t="n"/>
      <c r="N204" s="22" t="n"/>
      <c r="O204" s="23" t="n"/>
      <c r="P204" s="22" t="n"/>
      <c r="Q204" s="22" t="n"/>
      <c r="R204" s="23" t="n"/>
      <c r="S204" s="23" t="n"/>
      <c r="T204" s="82" t="n"/>
      <c r="U204" s="23" t="n"/>
      <c r="V204" s="82" t="n"/>
      <c r="W204" s="23" t="n"/>
      <c r="X204" s="82" t="n"/>
      <c r="Y204" s="23" t="n"/>
      <c r="Z204" s="82" t="n"/>
      <c r="AA204" s="23" t="n"/>
      <c r="AB204" s="23" t="n"/>
      <c r="AC204" s="7" t="n"/>
      <c r="AD204" s="7" t="n"/>
      <c r="AE204" s="61">
        <f>IF(Tasks[[#This Row],[Task Name]]="","",IF(Tasks[[#This Row],[_IsSummary]],MIN(INDEX(Tasks[_ShownFcstStart],Tasks[[#This Row],[_Row]]+1):INDEX(Tasks[_ShownFcstStart],Tasks[[#This Row],[_Row]]+Tasks[[#This Row],[_Descendants]])),Tasks[[#This Row],[_ShownFcstStart]]))</f>
        <v/>
      </c>
      <c r="AF204" s="61">
        <f>IF(Tasks[[#This Row],[Task Name]]="","",IF(Tasks[[#This Row],[_IsSummary]],MAX(INDEX(Tasks[_ShownFcstFinish],Tasks[[#This Row],[_Row]]+1):INDEX(Tasks[_ShownFcstFinish],Tasks[[#This Row],[_Row]]+Tasks[[#This Row],[_Descendants]])),Tasks[[#This Row],[_ShownFcstFinish]]))</f>
        <v/>
      </c>
      <c r="AG204" s="21">
        <f>""</f>
        <v/>
      </c>
      <c r="AH204" s="23" t="n"/>
      <c r="AI20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04" s="7" t="n"/>
      <c r="AK204" s="22" t="n"/>
      <c r="AL204" s="23" t="n"/>
      <c r="AM204" s="7" t="n"/>
      <c r="AN204" s="21">
        <f>IF(Tasks[[#This Row],[Task Name]]="","",IF(Tasks[[#This Row],[Finish]]&gt;=Tasks[[#This Row],[Planned Finish]],NETWORKDAYS.INTL(Tasks[[#This Row],[Planned Finish]],Tasks[[#This Row],[Finish]],WorkWeek,Holidays)-1,1-NETWORKDAYS.INTL(Tasks[[#This Row],[Finish]],Tasks[[#This Row],[Planned Finish]],WorkWeek,Holidays)))</f>
        <v/>
      </c>
      <c r="AO204" s="21">
        <f>IF(Tasks[[#This Row],[Task Name]]="","",IF(Tasks[[#This Row],[Progress]]&gt;=1,"Complete",IF(OR(N(Tasks[[#This Row],[Actual Start]])&gt;0,Tasks[[#This Row],[Progress]]&gt;0),IF(Tasks[[#This Row],[Finish Var]]&gt;0,"Behind","In Progress"),IF(Tasks[[#This Row],[Planned Start]]&lt;StatusDate,"Late Start","Not Started"))))</f>
        <v/>
      </c>
      <c r="AP204" s="21">
        <f>IF(Tasks[[#This Row],[Task Name]]="","",IF(IF(Tasks[[#This Row],[_IsSummary]],COUNTIF(INDEX(Tasks[_LeafCritical],Tasks[[#This Row],[_Row]]+1):INDEX(Tasks[_LeafCritical],Tasks[[#This Row],[_Row]]+Tasks[[#This Row],[_Descendants]]),TRUE())&gt;0,Tasks[[#This Row],[_LeafCritical]]),"Yes",""))</f>
        <v/>
      </c>
      <c r="AQ204" s="61">
        <f>IF(Tasks[[#This Row],[Task Name]]="","",IF(N(Tasks[[#This Row],[Baseline Start]])&gt;0,Tasks[[#This Row],[Baseline Start]],Tasks[[#This Row],[_CalcStart]]))</f>
        <v/>
      </c>
      <c r="AR204" s="61">
        <f>IF(Tasks[[#This Row],[Task Name]]="","",IF(N(Tasks[[#This Row],[Baseline Finish]])&gt;0,Tasks[[#This Row],[Baseline Finish]],Tasks[[#This Row],[_CalcFinish]]))</f>
        <v/>
      </c>
      <c r="AS204" s="21">
        <f>IF(Tasks[[#This Row],[Task Name]]="","",IF(Tasks[[#This Row],[Start]]&gt;=Tasks[[#This Row],[Planned Start]],NETWORKDAYS.INTL(Tasks[[#This Row],[Planned Start]],Tasks[[#This Row],[Start]],WorkWeek,Holidays)-1,1-NETWORKDAYS.INTL(Tasks[[#This Row],[Start]],Tasks[[#This Row],[Planned Start]],WorkWeek,Holidays)))</f>
        <v/>
      </c>
      <c r="AT204" s="61">
        <f>IF(Tasks[[#This Row],[Task Name]]="","",IF(Tasks[[#This Row],[_IsSummary]],MIN(INDEX(Tasks[_LeafLateStart],Tasks[[#This Row],[_Row]]+1):INDEX(Tasks[_LeafLateStart],Tasks[[#This Row],[_Row]]+Tasks[[#This Row],[_Descendants]])),Tasks[[#This Row],[_LeafLateStart]]))</f>
        <v/>
      </c>
      <c r="AU204" s="61">
        <f>IF(Tasks[[#This Row],[Task Name]]="","",IF(Tasks[[#This Row],[_IsSummary]],MAX(INDEX(Tasks[_LeafLateFinish],Tasks[[#This Row],[_Row]]+1):INDEX(Tasks[_LeafLateFinish],Tasks[[#This Row],[_Row]]+Tasks[[#This Row],[_Descendants]])),Tasks[[#This Row],[_LeafLateFinish]]))</f>
        <v/>
      </c>
      <c r="AV204" s="21">
        <f>IF(Tasks[[#This Row],[Task Name]]="","",IF(Tasks[[#This Row],[_IsSummary]],MIN(INDEX(Tasks[_LeafTotalSlack],Tasks[[#This Row],[_Row]]+1):INDEX(Tasks[_LeafTotalSlack],Tasks[[#This Row],[_Row]]+Tasks[[#This Row],[_Descendants]])),Tasks[[#This Row],[_LeafTotalSlack]]))</f>
        <v/>
      </c>
      <c r="AW20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3" t="n"/>
      <c r="BA20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f>IF(Tasks[[#This Row],[Task Name]]="","",IF(Tasks[[#This Row],[_Level]]&lt;=OutlineShowLevel,"Yes","No"))</f>
        <v/>
      </c>
      <c r="BE204" s="84">
        <f>IF(Tasks[[#This Row],[Task Name]]="","",IF(Tasks[[#This Row],[_IsSummary]],SUM(INDEX(Tasks[_LeafTotalWork],Tasks[[#This Row],[_Row]]+1):INDEX(Tasks[_LeafTotalWork],Tasks[[#This Row],[_Row]]+Tasks[[#This Row],[_Descendants]])),Tasks[[#This Row],[_LeafTotalWork]]))</f>
        <v/>
      </c>
      <c r="BF204" s="23" t="n"/>
      <c r="BG20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f>""</f>
        <v/>
      </c>
      <c r="BI204" s="85" t="n"/>
      <c r="BJ204" s="22" t="n"/>
      <c r="BK204" s="21">
        <f>IF(OR(Tasks[[#This Row],[Task Name]]="",Tasks[[#This Row],[Baseline Duration]]=""),"",Tasks[[#This Row],[_SpanDays]]-N(Tasks[[#This Row],[Baseline Duration]]))</f>
        <v/>
      </c>
      <c r="BL204" s="84">
        <f>IF(OR(Tasks[[#This Row],[Task Name]]="",Tasks[[#This Row],[Baseline Work]]=""),"",Tasks[[#This Row],[Work]]-N(Tasks[[#This Row],[Baseline Work]]))</f>
        <v/>
      </c>
      <c r="BM204" s="61">
        <f>IF(Tasks[[#This Row],[Task Name]]="","",IF(OR(TakeBaseline="Yes",N(Tasks[[#This Row],[Baseline Start]])=0),Tasks[[#This Row],[Start]],Tasks[[#This Row],[Baseline Start]]))</f>
        <v/>
      </c>
      <c r="BN204" s="61">
        <f>IF(Tasks[[#This Row],[Task Name]]="","",IF(OR(TakeBaseline="Yes",N(Tasks[[#This Row],[Baseline Finish]])=0),Tasks[[#This Row],[Finish]],Tasks[[#This Row],[Baseline Finish]]))</f>
        <v/>
      </c>
      <c r="BO204" s="21">
        <f>IF(Tasks[[#This Row],[Task Name]]="","",IF(OR(TakeBaseline="Yes",N(Tasks[[#This Row],[Baseline Duration]])=0),Tasks[[#This Row],[_SpanDays]],Tasks[[#This Row],[Baseline Duration]]))</f>
        <v/>
      </c>
      <c r="BP204" s="84">
        <f>IF(Tasks[[#This Row],[Task Name]]="","",IF(OR(TakeBaseline="Yes",N(Tasks[[#This Row],[Baseline Work]])=0),Tasks[[#This Row],[Work]],Tasks[[#This Row],[Baseline Work]]))</f>
        <v/>
      </c>
      <c r="BQ204" s="7" t="n"/>
      <c r="BR204" s="7" t="n"/>
      <c r="BS204" s="22" t="n"/>
      <c r="BT204" s="86" t="n"/>
      <c r="BU204" s="23" t="n"/>
      <c r="BV204" s="23" t="n"/>
      <c r="BW204" s="23" t="n"/>
      <c r="BX204" s="87">
        <f>IF(AND(Tasks[[#This Row],[_IsLeaf]]=1,ISNUMBER(Tasks[[#This Row],[Optimistic]]),ISNUMBER(Tasks[[#This Row],[Pessimistic]])),ROUND((Tasks[[#This Row],[Optimistic]]+4*N(Tasks[[#This Row],[_Days]])+Tasks[[#This Row],[Pessimistic]])/6,1),"")</f>
        <v/>
      </c>
      <c r="BY204" s="85" t="n"/>
      <c r="BZ204" s="85" t="n"/>
      <c r="CA204" s="22" t="n"/>
      <c r="CB204" s="42">
        <f>IF(Tasks[[#This Row],[Task Name]]="","",MAX(1,N(Tasks[[#This Row],[Level]])))</f>
        <v/>
      </c>
      <c r="CC204" s="42">
        <f>ROW()-ROW(Tasks[[#Headers],[ID]])</f>
        <v/>
      </c>
      <c r="CD204" s="42">
        <f>IF(OR(Tasks[[#This Row],[Task Name]]="",Tasks[[#This Row],[_Level]]&lt;=1),0,IFERROR(LOOKUP(2,1/(Tasks[[#Headers],[_Level]]:Tasks[[#This Row],[_Level]]=Tasks[[#This Row],[_Level]]-1),ROW(Tasks[[#Headers],[_Level]]:Tasks[[#This Row],[_Level]])),0))</f>
        <v/>
      </c>
      <c r="CE204" s="42">
        <f>IFERROR(N(INDEX(Tasks[_Level],Tasks[[#This Row],[_Row]]+1)),0)</f>
        <v/>
      </c>
      <c r="CF204" s="42">
        <f>AND(Tasks[[#This Row],[Task Name]]&lt;&gt;"",Tasks[[#This Row],[_NextLevel]]&gt;Tasks[[#This Row],[_Level]])</f>
        <v/>
      </c>
      <c r="CG204" s="42">
        <f>IF(Tasks[[#This Row],[_IsSummary]],COUNTIF(Tasks[WBS],Tasks[[#This Row],[WBS]]&amp;".*"),0)</f>
        <v/>
      </c>
      <c r="CH204" s="42">
        <f>IF(AND(Tasks[[#This Row],[Task Name]]&lt;&gt;"",NOT(Tasks[[#This Row],[_IsSummary]])),1,0)</f>
        <v/>
      </c>
      <c r="CI204" s="42">
        <f>IF(N(Tasks[[#This Row],[_Pred1UID]])=0,0,IFERROR(MATCH(Tasks[[#This Row],[_Pred1UID]],Tasks[UID],0),-1))</f>
        <v/>
      </c>
      <c r="CJ204" s="42">
        <f>IF(N(Tasks[[#This Row],[_Pred2UID]])=0,0,IFERROR(MATCH(Tasks[[#This Row],[_Pred2UID]],Tasks[UID],0),-1))</f>
        <v/>
      </c>
      <c r="CK204" s="42">
        <f>IF(N(Tasks[[#This Row],[_Pred3UID]])=0,0,IFERROR(MATCH(Tasks[[#This Row],[_Pred3UID]],Tasks[UID],0),-1))</f>
        <v/>
      </c>
      <c r="CL204" s="42">
        <f>IF(N(Tasks[[#This Row],[_Pred4UID]])=0,0,IFERROR(MATCH(Tasks[[#This Row],[_Pred4UID]],Tasks[UID],0),-1))</f>
        <v/>
      </c>
      <c r="CM20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4" s="88">
        <f>IF(N(Tasks[[#This Row],[Constraint Date]])=0,0,IF(AND(OR(Tasks[[#This Row],[_ConstraintCode]]=3,Tasks[[#This Row],[_ConstraintCode]]=6,Tasks[[#This Row],[_ConstraintCode]]=7),N(Tasks[[#This Row],[_Days]])&gt;1),WORKDAY.INTL(N(Tasks[[#This Row],[Constraint Date]]),-(N(Tasks[[#This Row],[_Days]])-1),WorkWeek,Holidays),N(Tasks[[#This Row],[Constraint Date]])))</f>
        <v/>
      </c>
      <c r="CO204" s="88">
        <f>IF(OR(Tasks[[#This Row],[_ConstraintCode]]=2,Tasks[[#This Row],[_ConstraintCode]]=3,Tasks[[#This Row],[_ConstraintCode]]=4,Tasks[[#This Row],[_ConstraintCode]]=6),Tasks[[#This Row],[_ConstraintStart]],0)</f>
        <v/>
      </c>
      <c r="CP204" s="88">
        <f>IF(OR(Tasks[[#This Row],[_ConstraintCode]]=2,Tasks[[#This Row],[_ConstraintCode]]=3,Tasks[[#This Row],[_ConstraintCode]]=5,Tasks[[#This Row],[_ConstraintCode]]=7),Tasks[[#This Row],[_ConstraintStart]],2958465)</f>
        <v/>
      </c>
      <c r="CQ20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4" s="88">
        <f>IF(NOT(Tasks[[#This Row],[_IsLeaf]]=1),"",IF(N(Tasks[[#This Row],[_Days]])&lt;=0,Tasks[[#This Row],[_LeafCalcStart]],WORKDAY.INTL(Tasks[[#This Row],[_LeafCalcStart]],Tasks[[#This Row],[_Days]]-1,WorkWeek,Holidays)))</f>
        <v/>
      </c>
      <c r="CS20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4" s="42">
        <f>IF(Tasks[[#This Row],[_Predecessors]]="","",TRIM(MID(SUBSTITUTE(SUBSTITUTE(SUBSTITUTE(UPPER(Tasks[[#This Row],[_Predecessors]]),";",",")," ",""),",",REPT(" ",99)),1,99)))</f>
        <v/>
      </c>
      <c r="CV204" s="42">
        <f>IF(Tasks[[#This Row],[_Pred1Text]]="","",IFERROR(VALUE(LEFT(Tasks[[#This Row],[_Pred1Text]],MIN(FIND("F",Tasks[[#This Row],[_Pred1Text]]&amp;"F"),FIND("S",Tasks[[#This Row],[_Pred1Text]]&amp;"S"),FIND("+",Tasks[[#This Row],[_Pred1Text]]&amp;"+"),FIND("-",Tasks[[#This Row],[_Pred1Text]]&amp;"-"))-1)),""))</f>
        <v/>
      </c>
      <c r="CW20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4" s="42">
        <f>IF(Tasks[[#This Row],[_Pred1Text]]="","",TRIM(MID(SUBSTITUTE(SUBSTITUTE(SUBSTITUTE(UPPER(Tasks[[#This Row],[_Predecessors]]),";",",")," ",""),",",REPT(" ",99)),100,99)))</f>
        <v/>
      </c>
      <c r="CZ204" s="42">
        <f>IF(Tasks[[#This Row],[_Pred2Text]]="","",IFERROR(VALUE(LEFT(Tasks[[#This Row],[_Pred2Text]],MIN(FIND("F",Tasks[[#This Row],[_Pred2Text]]&amp;"F"),FIND("S",Tasks[[#This Row],[_Pred2Text]]&amp;"S"),FIND("+",Tasks[[#This Row],[_Pred2Text]]&amp;"+"),FIND("-",Tasks[[#This Row],[_Pred2Text]]&amp;"-"))-1)),""))</f>
        <v/>
      </c>
      <c r="DA20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4" s="42">
        <f>IF(Tasks[[#This Row],[_Pred2Text]]="","",TRIM(MID(SUBSTITUTE(SUBSTITUTE(SUBSTITUTE(UPPER(Tasks[[#This Row],[_Predecessors]]),";",",")," ",""),",",REPT(" ",99)),199,99)))</f>
        <v/>
      </c>
      <c r="DD204" s="42">
        <f>IF(Tasks[[#This Row],[_Pred3Text]]="","",IFERROR(VALUE(LEFT(Tasks[[#This Row],[_Pred3Text]],MIN(FIND("F",Tasks[[#This Row],[_Pred3Text]]&amp;"F"),FIND("S",Tasks[[#This Row],[_Pred3Text]]&amp;"S"),FIND("+",Tasks[[#This Row],[_Pred3Text]]&amp;"+"),FIND("-",Tasks[[#This Row],[_Pred3Text]]&amp;"-"))-1)),""))</f>
        <v/>
      </c>
      <c r="DE20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4" s="42">
        <f>IF(Tasks[[#This Row],[_Pred3Text]]="","",TRIM(MID(SUBSTITUTE(SUBSTITUTE(SUBSTITUTE(UPPER(Tasks[[#This Row],[_Predecessors]]),";",",")," ",""),",",REPT(" ",99)),298,99)))</f>
        <v/>
      </c>
      <c r="DH204" s="42">
        <f>IF(Tasks[[#This Row],[_Pred4Text]]="","",IFERROR(VALUE(LEFT(Tasks[[#This Row],[_Pred4Text]],MIN(FIND("F",Tasks[[#This Row],[_Pred4Text]]&amp;"F"),FIND("S",Tasks[[#This Row],[_Pred4Text]]&amp;"S"),FIND("+",Tasks[[#This Row],[_Pred4Text]]&amp;"+"),FIND("-",Tasks[[#This Row],[_Pred4Text]]&amp;"-"))-1)),""))</f>
        <v/>
      </c>
      <c r="DI20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4" s="42">
        <f>IF(OR(Tasks[[#This Row],[Task Name]]="",Tasks[[#This Row],[_Resources]]=""),"",TRIM(MID(SUBSTITUTE(Tasks[[#This Row],[_Resources]],",",REPT(" ",99)),1,99)))</f>
        <v/>
      </c>
      <c r="DL204" s="42">
        <f>IF(Tasks[[#This Row],[_Res1Text]]="","",TRIM(MID(SUBSTITUTE(Tasks[[#This Row],[_Resources]],",",REPT(" ",99)),100,99)))</f>
        <v/>
      </c>
      <c r="DM204" s="42">
        <f>IF(Tasks[[#This Row],[_Res2Text]]="","",TRIM(MID(SUBSTITUTE(Tasks[[#This Row],[_Resources]],",",REPT(" ",99)),199,99)))</f>
        <v/>
      </c>
      <c r="DN204" s="42">
        <f>IF(Tasks[[#This Row],[_Res3Text]]="","",TRIM(MID(SUBSTITUTE(Tasks[[#This Row],[_Resources]],",",REPT(" ",99)),298,99)))</f>
        <v/>
      </c>
      <c r="DO204" s="42">
        <f>IF(Tasks[[#This Row],[_Res1Text]]="",0,IFERROR(MATCH(TRIM(LEFT(Tasks[[#This Row],[_Res1Text]],FIND("[",Tasks[[#This Row],[_Res1Text]]&amp;"[")-1)),res_Name,0),IFERROR(MATCH(TRIM(LEFT(Tasks[[#This Row],[_Res1Text]],FIND("[",Tasks[[#This Row],[_Res1Text]]&amp;"[")-1)),res_Initials,0),0)))</f>
        <v/>
      </c>
      <c r="DP204" s="42">
        <f>IF(Tasks[[#This Row],[_Res2Text]]="",0,IFERROR(MATCH(TRIM(LEFT(Tasks[[#This Row],[_Res2Text]],FIND("[",Tasks[[#This Row],[_Res2Text]]&amp;"[")-1)),res_Name,0),IFERROR(MATCH(TRIM(LEFT(Tasks[[#This Row],[_Res2Text]],FIND("[",Tasks[[#This Row],[_Res2Text]]&amp;"[")-1)),res_Initials,0),0)))</f>
        <v/>
      </c>
      <c r="DQ204" s="42">
        <f>IF(Tasks[[#This Row],[_Res3Text]]="",0,IFERROR(MATCH(TRIM(LEFT(Tasks[[#This Row],[_Res3Text]],FIND("[",Tasks[[#This Row],[_Res3Text]]&amp;"[")-1)),res_Name,0),IFERROR(MATCH(TRIM(LEFT(Tasks[[#This Row],[_Res3Text]],FIND("[",Tasks[[#This Row],[_Res3Text]]&amp;"[")-1)),res_Initials,0),0)))</f>
        <v/>
      </c>
      <c r="DR204" s="42">
        <f>IF(Tasks[[#This Row],[_Res4Text]]="",0,IFERROR(MATCH(TRIM(LEFT(Tasks[[#This Row],[_Res4Text]],FIND("[",Tasks[[#This Row],[_Res4Text]]&amp;"[")-1)),res_Name,0),IFERROR(MATCH(TRIM(LEFT(Tasks[[#This Row],[_Res4Text]],FIND("[",Tasks[[#This Row],[_Res4Text]]&amp;"[")-1)),res_Initials,0),0)))</f>
        <v/>
      </c>
      <c r="DS204" s="42">
        <f>IF(Tasks[[#This Row],[_Res1Text]]="","",IF(Tasks[[#This Row],[_Res1Row]]&gt;0,INDEX(res_Name,Tasks[[#This Row],[_Res1Row]]),TRIM(LEFT(Tasks[[#This Row],[_Res1Text]],FIND("[",Tasks[[#This Row],[_Res1Text]]&amp;"[")-1))))</f>
        <v/>
      </c>
      <c r="DT20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4" s="42">
        <f>IF(NOT(Tasks[[#This Row],[_IsLeaf]]=1),0,(Tasks[[#This Row],[_Resource1]]&lt;&gt;"")+(Tasks[[#This Row],[_Res2]]&lt;&gt;"")+(Tasks[[#This Row],[_Res3]]&lt;&gt;"")+(Tasks[[#This Row],[_Res4]]&lt;&gt;""))</f>
        <v/>
      </c>
      <c r="DV204" s="42">
        <f>IF(Tasks[[#This Row],[_Res2Text]]="","",IF(Tasks[[#This Row],[_Res2Row]]&gt;0,INDEX(res_Name,Tasks[[#This Row],[_Res2Row]]),TRIM(LEFT(Tasks[[#This Row],[_Res2Text]],FIND("[",Tasks[[#This Row],[_Res2Text]]&amp;"[")-1))))</f>
        <v/>
      </c>
      <c r="DW20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4" s="42">
        <f>IF(OR(NOT(Tasks[[#This Row],[_IsLeaf]]=1),Tasks[[#This Row],[_Res2Row]]=0),0,N(Tasks[[#This Row],[_Days]])*HoursPerDay*IF(Tasks[[#This Row],[_Res2Units]]="",DefaultUnits,Tasks[[#This Row],[_Res2Units]]))</f>
        <v/>
      </c>
      <c r="DY204" s="42">
        <f>IF(AND(AND(Tasks[[#This Row],[_IsLeaf]]=1,Tasks[[#This Row],[_LeafTotalWork]]&gt;0),Tasks[[#This Row],[_Res2Work]]&gt;0),Tasks[[#This Row],[_Res2Work]]/(Tasks[[#This Row],[_FinishWorkday]]-Tasks[[#This Row],[_StartWorkday]]+1),0)</f>
        <v/>
      </c>
      <c r="DZ204" s="42">
        <f>Tasks[[#This Row],[_Res2WorkPerWD]]*MAX(0,Tasks[[#This Row],[_StartWorkday]]-1)</f>
        <v/>
      </c>
      <c r="EA204" s="42">
        <f>Tasks[[#This Row],[_Res2Work]]*Tasks[[#This Row],[_LeafProgress]]</f>
        <v/>
      </c>
      <c r="EB204" s="42">
        <f>IF(Tasks[[#This Row],[_Res3Text]]="","",IF(Tasks[[#This Row],[_Res3Row]]&gt;0,INDEX(res_Name,Tasks[[#This Row],[_Res3Row]]),TRIM(LEFT(Tasks[[#This Row],[_Res3Text]],FIND("[",Tasks[[#This Row],[_Res3Text]]&amp;"[")-1))))</f>
        <v/>
      </c>
      <c r="EC20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4" s="42">
        <f>IF(OR(NOT(Tasks[[#This Row],[_IsLeaf]]=1),Tasks[[#This Row],[_Res3Row]]=0),0,N(Tasks[[#This Row],[_Days]])*HoursPerDay*IF(Tasks[[#This Row],[_Res3Units]]="",DefaultUnits,Tasks[[#This Row],[_Res3Units]]))</f>
        <v/>
      </c>
      <c r="EE204" s="42">
        <f>IF(AND(AND(Tasks[[#This Row],[_IsLeaf]]=1,Tasks[[#This Row],[_LeafTotalWork]]&gt;0),Tasks[[#This Row],[_Res3Work]]&gt;0),Tasks[[#This Row],[_Res3Work]]/(Tasks[[#This Row],[_FinishWorkday]]-Tasks[[#This Row],[_StartWorkday]]+1),0)</f>
        <v/>
      </c>
      <c r="EF204" s="42">
        <f>Tasks[[#This Row],[_Res3WorkPerWD]]*MAX(0,Tasks[[#This Row],[_StartWorkday]]-1)</f>
        <v/>
      </c>
      <c r="EG204" s="42">
        <f>Tasks[[#This Row],[_Res3Work]]*Tasks[[#This Row],[_LeafProgress]]</f>
        <v/>
      </c>
      <c r="EH204" s="42">
        <f>IF(Tasks[[#This Row],[_Res4Text]]="","",IF(Tasks[[#This Row],[_Res4Row]]&gt;0,INDEX(res_Name,Tasks[[#This Row],[_Res4Row]]),TRIM(LEFT(Tasks[[#This Row],[_Res4Text]],FIND("[",Tasks[[#This Row],[_Res4Text]]&amp;"[")-1))))</f>
        <v/>
      </c>
      <c r="EI20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4" s="42">
        <f>IF(OR(NOT(Tasks[[#This Row],[_IsLeaf]]=1),Tasks[[#This Row],[_Res4Row]]=0),0,N(Tasks[[#This Row],[_Days]])*HoursPerDay*IF(Tasks[[#This Row],[_Res4Units]]="",DefaultUnits,Tasks[[#This Row],[_Res4Units]]))</f>
        <v/>
      </c>
      <c r="EK204" s="42">
        <f>IF(AND(AND(Tasks[[#This Row],[_IsLeaf]]=1,Tasks[[#This Row],[_LeafTotalWork]]&gt;0),Tasks[[#This Row],[_Res4Work]]&gt;0),Tasks[[#This Row],[_Res4Work]]/(Tasks[[#This Row],[_FinishWorkday]]-Tasks[[#This Row],[_StartWorkday]]+1),0)</f>
        <v/>
      </c>
      <c r="EL204" s="42">
        <f>Tasks[[#This Row],[_Res4WorkPerWD]]*MAX(0,Tasks[[#This Row],[_StartWorkday]]-1)</f>
        <v/>
      </c>
      <c r="EM204" s="42">
        <f>Tasks[[#This Row],[_Res4Work]]*Tasks[[#This Row],[_LeafProgress]]</f>
        <v/>
      </c>
      <c r="EN204" s="42">
        <f>IF(ISNUMBER(Tasks[[#This Row],[% Complete]]),Tasks[[#This Row],[% Complete]],IF(Tasks[[#This Row],[Stage]]="",0,IFERROR(INDEX(stg_Pct,MATCH(Tasks[[#This Row],[Stage]],stg_Name,0)),0)))</f>
        <v/>
      </c>
      <c r="EO204" s="42">
        <f>IF(NOT(Tasks[[#This Row],[_IsLeaf]]=1),0,IF(N(Tasks[[#This Row],[Actual Finish]])&gt;0,1,MIN(1,Tasks[[#This Row],[_Pct]])))</f>
        <v/>
      </c>
      <c r="EP204" s="42">
        <f>IF(OR(NOT(Tasks[[#This Row],[_IsLeaf]]=1),Tasks[[#This Row],[_Res1Row]]=0),0,N(Tasks[[#This Row],[_Days]])*HoursPerDay*IF(Tasks[[#This Row],[_Units1]]="",DefaultUnits,Tasks[[#This Row],[_Units1]]))</f>
        <v/>
      </c>
      <c r="EQ204" s="42">
        <f>Tasks[[#This Row],[_LeafWork]]+Tasks[[#This Row],[_Res2Work]]+Tasks[[#This Row],[_Res3Work]]+Tasks[[#This Row],[_Res4Work]]</f>
        <v/>
      </c>
      <c r="ER20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4" s="42">
        <f>IF(NOT(Tasks[[#This Row],[_IsLeaf]]=1),0,MAX(_xlfn.MAXIFS(Tasks[_Row],Tasks[_Pred1UID],Tasks[[#This Row],[UID]]),_xlfn.MAXIFS(Tasks[_Row],Tasks[_Pred2UID],Tasks[[#This Row],[UID]]),_xlfn.MAXIFS(Tasks[_Row],Tasks[_Pred3UID],Tasks[[#This Row],[UID]]),_xlfn.MAXIFS(Tasks[_Row],Tasks[_Pred4UID],Tasks[[#This Row],[UID]])))</f>
        <v/>
      </c>
      <c r="FA20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4" s="88">
        <f>IF(NOT(Tasks[[#This Row],[_IsLeaf]]=1),"",IF(N(Tasks[[#This Row],[_Days]])&lt;=0,Tasks[[#This Row],[_LeafLateFinish]],WORKDAY.INTL(Tasks[[#This Row],[_LeafLateFinish]],-(Tasks[[#This Row],[_Days]]-1),WorkWeek,Holidays)))</f>
        <v/>
      </c>
      <c r="FD20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4" s="42">
        <f>AND(Tasks[[#This Row],[_IsLeaf]]=1,Tasks[[#This Row],[_LeafProgress]]&lt;1,N(Tasks[[#This Row],[_LeafTotalSlack]])&lt;=CriticalSlackDays)</f>
        <v/>
      </c>
      <c r="FF204" s="42">
        <f>IF(AND(Tasks[[#This Row],[_IsLeaf]]=1,Tasks[[#This Row],[_ConstraintCode]]=1,Tasks[[#This Row],[Mode]]&lt;&gt;"Manual",N(Tasks[[#This Row],[Actual Start]])=0),MAX(0,N(Tasks[[#This Row],[Free Slack]])),0)</f>
        <v/>
      </c>
      <c r="FG204" s="88">
        <f>IF(NOT(Tasks[[#This Row],[_IsLeaf]]=1),"",IF(Tasks[[#This Row],[_AlapShift]]=0,Tasks[[#This Row],[_LeafCalcStart]],WORKDAY.INTL(Tasks[[#This Row],[_LeafCalcStart]],Tasks[[#This Row],[_AlapShift]],WorkWeek,Holidays)))</f>
        <v/>
      </c>
      <c r="FH204" s="88">
        <f>IF(NOT(Tasks[[#This Row],[_IsLeaf]]=1),"",IF(Tasks[[#This Row],[_AlapShift]]=0,Tasks[[#This Row],[_LeafCalcFinish]],WORKDAY.INTL(Tasks[[#This Row],[_LeafCalcFinish]],Tasks[[#This Row],[_AlapShift]],WorkWeek,Holidays)))</f>
        <v/>
      </c>
      <c r="FI204" s="88">
        <f>IF(NOT(Tasks[[#This Row],[_IsLeaf]]=1),"",IF(Tasks[[#This Row],[_AlapShift]]=0,Tasks[[#This Row],[_LeafFcstStart]],WORKDAY.INTL(Tasks[[#This Row],[_LeafFcstStart]],Tasks[[#This Row],[_AlapShift]],WorkWeek,Holidays)))</f>
        <v/>
      </c>
      <c r="FJ204" s="88">
        <f>IF(NOT(Tasks[[#This Row],[_IsLeaf]]=1),"",IF(Tasks[[#This Row],[_AlapShift]]=0,Tasks[[#This Row],[_LeafFcstFinish]],WORKDAY.INTL(Tasks[[#This Row],[_LeafFcstFinish]],Tasks[[#This Row],[_AlapShift]],WorkWeek,Holidays)))</f>
        <v/>
      </c>
      <c r="FK204" s="88">
        <f>IF(Tasks[[#This Row],[Task Name]]="","",IF(Tasks[[#This Row],[_IsSummary]],MIN(INDEX(Tasks[_ShownCalcStart],Tasks[[#This Row],[_Row]]+1):INDEX(Tasks[_ShownCalcStart],Tasks[[#This Row],[_Row]]+Tasks[[#This Row],[_Descendants]])),Tasks[[#This Row],[_ShownCalcStart]]))</f>
        <v/>
      </c>
      <c r="FL204" s="88">
        <f>IF(Tasks[[#This Row],[Task Name]]="","",IF(Tasks[[#This Row],[_IsSummary]],MAX(INDEX(Tasks[_ShownCalcFinish],Tasks[[#This Row],[_Row]]+1):INDEX(Tasks[_ShownCalcFinish],Tasks[[#This Row],[_Row]]+Tasks[[#This Row],[_Descendants]])),Tasks[[#This Row],[_ShownCalcFinish]]))</f>
        <v/>
      </c>
      <c r="FM20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4" s="42">
        <f>IF(AND(Tasks[[#This Row],[_IsLeaf]]=1,Tasks[[#This Row],[_LeafTotalWork]]&gt;0),NETWORKDAYS.INTL(ProjectStart,Tasks[[#This Row],[_ShownFcstStart]],WorkWeek,Holidays),0)</f>
        <v/>
      </c>
      <c r="FZ204" s="42">
        <f>IF(AND(Tasks[[#This Row],[_IsLeaf]]=1,Tasks[[#This Row],[_LeafTotalWork]]&gt;0),MAX(Tasks[[#This Row],[_StartWorkday]],NETWORKDAYS.INTL(ProjectStart,Tasks[[#This Row],[_ShownFcstFinish]],WorkWeek,Holidays)),0)</f>
        <v/>
      </c>
      <c r="GA204" s="42">
        <f>IF(AND(Tasks[[#This Row],[_IsLeaf]]=1,Tasks[[#This Row],[_LeafTotalWork]]&gt;0),Tasks[[#This Row],[_LeafWork]]/(Tasks[[#This Row],[_FinishWorkday]]-Tasks[[#This Row],[_StartWorkday]]+1),0)</f>
        <v/>
      </c>
      <c r="GB204" s="42">
        <f>Tasks[[#This Row],[_WorkPerWorkday]]*(Tasks[[#This Row],[_StartWorkday]]-1)</f>
        <v/>
      </c>
      <c r="GC204" s="42">
        <f>IF(Tasks[[#This Row],[_IsLeaf]]=1,MAX(N(Tasks[[#This Row],[_Days]]),0.1),0)</f>
        <v/>
      </c>
      <c r="GD204" s="42">
        <f>Tasks[[#This Row],[_WeightDur]]*Tasks[[#This Row],[_LeafProgress]]</f>
        <v/>
      </c>
      <c r="GE204" s="42">
        <f>Tasks[[#This Row],[_WeightDur]]*Tasks[[#This Row],[_PlannedPct]]</f>
        <v/>
      </c>
      <c r="GF20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4" s="42">
        <f>IF(AND(Tasks[[#This Row],[_IsLeaf]]=1,N(Tasks[[#This Row],[_Days]])=0,Tasks[[#This Row],[_LeafProgress]]&lt;1),Tasks[[#This Row],[_ShownFcstFinish]]+Tasks[[#This Row],[_Row]]/100000,"")</f>
        <v/>
      </c>
      <c r="GH20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4" s="42">
        <f>IF(Tasks[[#This Row],[Task Name]]="","",LEFT(Tasks[[#This Row],[WBS]],FIND(".",Tasks[[#This Row],[WBS]]&amp;".")-1))</f>
        <v/>
      </c>
      <c r="GJ204" s="42">
        <f>IF(AND(Tasks[[#This Row],[Task Name]]&lt;&gt;"",Tasks[[#This Row],[_Level]]=1),Tasks[[#This Row],[_Row]],"")</f>
        <v/>
      </c>
      <c r="GK204" s="42">
        <f>IF(AND(Tasks[[#This Row],[_IsLeaf]]=1,N(Tasks[[#This Row],[_Days]])=0),Tasks[[#This Row],[Planned Finish]]+Tasks[[#This Row],[_Row]]/100000,"")</f>
        <v/>
      </c>
      <c r="GL204" s="42">
        <f>IF(AND(Tasks[[#This Row],[_IsLeaf]]=1,Tasks[[#This Row],[_LeafProgress]]&lt;1,OR(N(Tasks[[#This Row],[Finish Var]])&gt;0,Tasks[[#This Row],[Status]]="Late Start")),MAX(0,Tasks[[#This Row],[Finish Var]])+1-Tasks[[#This Row],[_Row]]/1000000,"")</f>
        <v/>
      </c>
      <c r="GM204" s="42">
        <f>IF(AND(Tasks[[#This Row],[_IsLeaf]]=1,N(Tasks[[#This Row],[Actual Start]])=0,Tasks[[#This Row],[_ShownFcstStart]]&gt;=StatusDate,Tasks[[#This Row],[_ShownFcstStart]]&lt;=LookaheadEnd),Tasks[[#This Row],[_ShownFcstStart]]+Tasks[[#This Row],[_Row]]/100000,"")</f>
        <v/>
      </c>
      <c r="GN204" s="42">
        <f>IF(AND(Tasks[[#This Row],[_IsLeaf]]=1,Tasks[[#This Row],[_LeafProgress]]&lt;1,Tasks[[#This Row],[_ShownFcstFinish]]&gt;=StatusDate,Tasks[[#This Row],[_ShownFcstFinish]]&lt;=LookaheadEnd),Tasks[[#This Row],[_ShownFcstFinish]]+Tasks[[#This Row],[_Row]]/100000,"")</f>
        <v/>
      </c>
      <c r="GO204" s="42">
        <f>IF(Tasks[[#This Row],[_LeafCritical]],Tasks[[#This Row],[_ShownFcstStart]]+Tasks[[#This Row],[_Row]]/100000,"")</f>
        <v/>
      </c>
      <c r="GP204" s="42">
        <f>Tasks[[#This Row],[_LeafWork]]*Tasks[[#This Row],[_LeafProgress]]</f>
        <v/>
      </c>
      <c r="GQ204" s="88">
        <f>IF(AND(Tasks[[#This Row],[_IsLeaf]]=1,Tasks[[#This Row],[_LeafProgress]]&gt;=1),IF(N(Tasks[[#This Row],[Actual Finish]])&gt;0,Tasks[[#This Row],[Actual Finish]],Tasks[[#This Row],[_ShownFcstFinish]]),"")</f>
        <v/>
      </c>
      <c r="GR204" s="42">
        <f>IF(Tasks[[#This Row],[_IsLeaf]]=1,N(Tasks[[#This Row],[Story Points]]),0)</f>
        <v/>
      </c>
      <c r="GS204" s="42">
        <f>""</f>
        <v/>
      </c>
      <c r="GT204" s="42">
        <f>IF(Tasks[[#This Row],[Task Name]]="",FALSE(),AND(Tasks[[#This Row],[_IsLeaf]]=1,N(Tasks[[#This Row],[_Days]])=0))</f>
        <v/>
      </c>
      <c r="GU204" s="88">
        <f>IF(Tasks[[#This Row],[Task Name]]="",0,IF(AND(Tasks[[#This Row],[_IsLeaf]]=1,NOT(Tasks[[#This Row],[_IsMilestone]]),N(Tasks[[#This Row],[Progress]])&gt;0),Tasks[[#This Row],[Start]],0))</f>
        <v/>
      </c>
      <c r="GV204" s="88">
        <f>IF(Tasks[[#This Row],[_DoneFrom]]=0,0,IF(Tasks[[#This Row],[Progress]]&gt;=1,Tasks[[#This Row],[Finish]],MAX(Tasks[[#This Row],[_DoneFrom]],Tasks[[#This Row],[Start]]+ROUND((Tasks[[#This Row],[Finish]]-Tasks[[#This Row],[Start]]+1)*Tasks[[#This Row],[Progress]],0)-1)))</f>
        <v/>
      </c>
      <c r="GW204" s="88">
        <f>IF(Tasks[[#This Row],[Task Name]]="",0,IF(OR(NOT(Tasks[[#This Row],[_IsLeaf]]=1),Tasks[[#This Row],[_IsMilestone]],N(Tasks[[#This Row],[Progress]])&gt;=1),0,IF(Tasks[[#This Row],[_DoneTo]]&gt;0,Tasks[[#This Row],[_DoneTo]]+1,Tasks[[#This Row],[Start]])))</f>
        <v/>
      </c>
      <c r="GX204" s="88">
        <f>IF(Tasks[[#This Row],[_RemFrom]]=0,0,Tasks[[#This Row],[Finish]])</f>
        <v/>
      </c>
      <c r="GY204" s="42">
        <f>IF(Tasks[[#This Row],[Task Name]]="",FALSE(),OR(NOT(BaselineSet),N(Tasks[[#This Row],[Baseline Start]])&gt;0))</f>
        <v/>
      </c>
      <c r="GZ204" s="42">
        <f>IF(AND(Sandbox="Yes",L_PARSE_DURATION(Tasks[[#This Row],[Sandbox Duration]])&lt;&gt;""),L_PARSE_DURATION(Tasks[[#This Row],[Sandbox Duration]]),L_PARSE_DURATION(Tasks[[#This Row],[Duration]]))</f>
        <v/>
      </c>
      <c r="HA204"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0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4" s="42">
        <f>IF(Tasks[[#This Row],[_IsLeaf]]=1,Tasks[[#This Row],[_Row]],"")</f>
        <v/>
      </c>
      <c r="HD204" s="42">
        <f>IFERROR(INDEX(Tasks[UID],SMALL(Tasks[_PickKey],Tasks[[#This Row],[_Row]]))&amp;" "&amp;INDEX(Tasks[Task Name],SMALL(Tasks[_PickKey],Tasks[[#This Row],[_Row]])),"")</f>
        <v/>
      </c>
      <c r="HE204" s="42">
        <f>IF(Tasks[[#This Row],[Task Name]]="","",IF(Tasks[[#This Row],[_IsSummary]],NETWORKDAYS.INTL(Tasks[[#This Row],[Start]],Tasks[[#This Row],[Finish]],WorkWeek,Holidays),N(Tasks[[#This Row],[_Days]])))</f>
        <v/>
      </c>
      <c r="HF204" s="42">
        <f>IF(Tasks[[#This Row],[Expected]]="",0,((Tasks[[#This Row],[Pessimistic]]-Tasks[[#This Row],[Optimistic]])/6)^2)</f>
        <v/>
      </c>
      <c r="HG204" s="42">
        <f>IF(Tasks[[#This Row],[Expected]]="",0,Tasks[[#This Row],[Expected]]-N(Tasks[[#This Row],[_Days]]))</f>
        <v/>
      </c>
    </row>
    <row r="205">
      <c r="A205" s="21">
        <f>IF(Tasks[[#This Row],[Task Name]]="","",COUNTA(Tasks[[#Headers],[Task Name]]:Tasks[[#This Row],[Task Name]])-1)</f>
        <v/>
      </c>
      <c r="B205" s="22" t="n">
        <v>213</v>
      </c>
      <c r="C205" s="22" t="n"/>
      <c r="D205" s="23" t="n"/>
      <c r="E205" s="22" t="n"/>
      <c r="F205" s="23" t="n"/>
      <c r="G205" s="22" t="n"/>
      <c r="H205" s="22" t="n"/>
      <c r="I205" s="23" t="n"/>
      <c r="J205" s="22" t="n"/>
      <c r="K205" s="22" t="n"/>
      <c r="L205" s="23" t="n"/>
      <c r="M205" s="22" t="n"/>
      <c r="N205" s="22" t="n"/>
      <c r="O205" s="23" t="n"/>
      <c r="P205" s="22" t="n"/>
      <c r="Q205" s="22" t="n"/>
      <c r="R205" s="23" t="n"/>
      <c r="S205" s="23" t="n"/>
      <c r="T205" s="82" t="n"/>
      <c r="U205" s="23" t="n"/>
      <c r="V205" s="82" t="n"/>
      <c r="W205" s="23" t="n"/>
      <c r="X205" s="82" t="n"/>
      <c r="Y205" s="23" t="n"/>
      <c r="Z205" s="82" t="n"/>
      <c r="AA205" s="23" t="n"/>
      <c r="AB205" s="23" t="n"/>
      <c r="AC205" s="7" t="n"/>
      <c r="AD205" s="7" t="n"/>
      <c r="AE205" s="61">
        <f>IF(Tasks[[#This Row],[Task Name]]="","",IF(Tasks[[#This Row],[_IsSummary]],MIN(INDEX(Tasks[_ShownFcstStart],Tasks[[#This Row],[_Row]]+1):INDEX(Tasks[_ShownFcstStart],Tasks[[#This Row],[_Row]]+Tasks[[#This Row],[_Descendants]])),Tasks[[#This Row],[_ShownFcstStart]]))</f>
        <v/>
      </c>
      <c r="AF205" s="61">
        <f>IF(Tasks[[#This Row],[Task Name]]="","",IF(Tasks[[#This Row],[_IsSummary]],MAX(INDEX(Tasks[_ShownFcstFinish],Tasks[[#This Row],[_Row]]+1):INDEX(Tasks[_ShownFcstFinish],Tasks[[#This Row],[_Row]]+Tasks[[#This Row],[_Descendants]])),Tasks[[#This Row],[_ShownFcstFinish]]))</f>
        <v/>
      </c>
      <c r="AG205" s="21">
        <f>""</f>
        <v/>
      </c>
      <c r="AH205" s="23" t="n"/>
      <c r="AI20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","")&amp;IF(Tasks[[#This Row],[Pred1]]="","",IF(ISERROR(VALUE(LEFT(Tasks[[#This Row],[Pred1]]&amp;"",FIND(" ",Tasks[[#This Row],[Pred1]]&amp;" ")-1))),IF(COUNTIF(Tasks[Task Name],TRIM(Tasks[[#This Row],[Pred1]]))&gt;1,"Pred1: "&amp;COUNTIF(Tasks[Task Name],TRIM(Tasks[[#This Row],[Pred1]]))&amp;" tasks are called "&amp;TRIM(Tasks[[#This Row],[Pred1]])&amp;": pick one from the list (UID and name). ",""),""))&amp;IF(Tasks[[#This Row],[Pred2]]="","",IF(ISERROR(VALUE(LEFT(Tasks[[#This Row],[Pred2]]&amp;"",FIND(" ",Tasks[[#This Row],[Pred2]]&amp;" ")-1))),IF(COUNTIF(Tasks[Task Name],TRIM(Tasks[[#This Row],[Pred2]]))&gt;1,"Pred2: "&amp;COUNTIF(Tasks[Task Name],TRIM(Tasks[[#This Row],[Pred2]]))&amp;" tasks are called "&amp;TRIM(Tasks[[#This Row],[Pred2]])&amp;": pick one from the list (UID and name). ",""),""))&amp;IF(Tasks[[#This Row],[Pred3]]="","",IF(ISERROR(VALUE(LEFT(Tasks[[#This Row],[Pred3]]&amp;"",FIND(" ",Tasks[[#This Row],[Pred3]]&amp;" ")-1))),IF(COUNTIF(Tasks[Task Name],TRIM(Tasks[[#This Row],[Pred3]]))&gt;1,"Pred3: "&amp;COUNTIF(Tasks[Task Name],TRIM(Tasks[[#This Row],[Pred3]]))&amp;" tasks are called "&amp;TRIM(Tasks[[#This Row],[Pred3]])&amp;": pick one from the list (UID and name). ",""),""))&amp;IF(Tasks[[#This Row],[Pred4]]="","",IF(ISERROR(VALUE(LEFT(Tasks[[#This Row],[Pred4]]&amp;"",FIND(" ",Tasks[[#This Row],[Pred4]]&amp;" ")-1))),IF(COUNTIF(Tasks[Task Name],TRIM(Tasks[[#This Row],[Pred4]]))&gt;1,"Pred4: "&amp;COUNTIF(Tasks[Task Name],TRIM(Tasks[[#This Row],[Pred4]]))&amp;" tasks are called "&amp;TRIM(Tasks[[#This Row],[Pred4]])&amp;": pick one from the list (UID and name). ",""),""))))</f>
        <v/>
      </c>
      <c r="AJ205" s="7" t="n"/>
      <c r="AK205" s="22" t="n"/>
      <c r="AL205" s="23" t="n"/>
      <c r="AM205" s="7" t="n"/>
      <c r="AN205" s="21">
        <f>IF(Tasks[[#This Row],[Task Name]]="","",IF(Tasks[[#This Row],[Finish]]&gt;=Tasks[[#This Row],[Planned Finish]],NETWORKDAYS.INTL(Tasks[[#This Row],[Planned Finish]],Tasks[[#This Row],[Finish]],WorkWeek,Holidays)-1,1-NETWORKDAYS.INTL(Tasks[[#This Row],[Finish]],Tasks[[#This Row],[Planned Finish]],WorkWeek,Holidays)))</f>
        <v/>
      </c>
      <c r="AO205" s="21">
        <f>IF(Tasks[[#This Row],[Task Name]]="","",IF(Tasks[[#This Row],[Progress]]&gt;=1,"Complete",IF(OR(N(Tasks[[#This Row],[Actual Start]])&gt;0,Tasks[[#This Row],[Progress]]&gt;0),IF(Tasks[[#This Row],[Finish Var]]&gt;0,"Behind","In Progress"),IF(Tasks[[#This Row],[Planned Start]]&lt;StatusDate,"Late Start","Not Started"))))</f>
        <v/>
      </c>
      <c r="AP205" s="21">
        <f>IF(Tasks[[#This Row],[Task Name]]="","",IF(IF(Tasks[[#This Row],[_IsSummary]],COUNTIF(INDEX(Tasks[_LeafCritical],Tasks[[#This Row],[_Row]]+1):INDEX(Tasks[_LeafCritical],Tasks[[#This Row],[_Row]]+Tasks[[#This Row],[_Descendants]]),TRUE())&gt;0,Tasks[[#This Row],[_LeafCritical]]),"Yes",""))</f>
        <v/>
      </c>
      <c r="AQ205" s="61">
        <f>IF(Tasks[[#This Row],[Task Name]]="","",IF(N(Tasks[[#This Row],[Baseline Start]])&gt;0,Tasks[[#This Row],[Baseline Start]],Tasks[[#This Row],[_CalcStart]]))</f>
        <v/>
      </c>
      <c r="AR205" s="61">
        <f>IF(Tasks[[#This Row],[Task Name]]="","",IF(N(Tasks[[#This Row],[Baseline Finish]])&gt;0,Tasks[[#This Row],[Baseline Finish]],Tasks[[#This Row],[_CalcFinish]]))</f>
        <v/>
      </c>
      <c r="AS205" s="21">
        <f>IF(Tasks[[#This Row],[Task Name]]="","",IF(Tasks[[#This Row],[Start]]&gt;=Tasks[[#This Row],[Planned Start]],NETWORKDAYS.INTL(Tasks[[#This Row],[Planned Start]],Tasks[[#This Row],[Start]],WorkWeek,Holidays)-1,1-NETWORKDAYS.INTL(Tasks[[#This Row],[Start]],Tasks[[#This Row],[Planned Start]],WorkWeek,Holidays)))</f>
        <v/>
      </c>
      <c r="AT205" s="61">
        <f>IF(Tasks[[#This Row],[Task Name]]="","",IF(Tasks[[#This Row],[_IsSummary]],MIN(INDEX(Tasks[_LeafLateStart],Tasks[[#This Row],[_Row]]+1):INDEX(Tasks[_LeafLateStart],Tasks[[#This Row],[_Row]]+Tasks[[#This Row],[_Descendants]])),Tasks[[#This Row],[_LeafLateStart]]))</f>
        <v/>
      </c>
      <c r="AU205" s="61">
        <f>IF(Tasks[[#This Row],[Task Name]]="","",IF(Tasks[[#This Row],[_IsSummary]],MAX(INDEX(Tasks[_LeafLateFinish],Tasks[[#This Row],[_Row]]+1):INDEX(Tasks[_LeafLateFinish],Tasks[[#This Row],[_Row]]+Tasks[[#This Row],[_Descendants]])),Tasks[[#This Row],[_LeafLateFinish]]))</f>
        <v/>
      </c>
      <c r="AV205" s="21">
        <f>IF(Tasks[[#This Row],[Task Name]]="","",IF(Tasks[[#This Row],[_IsSummary]],MIN(INDEX(Tasks[_LeafTotalSlack],Tasks[[#This Row],[_Row]]+1):INDEX(Tasks[_LeafTotalSlack],Tasks[[#This Row],[_Row]]+Tasks[[#This Row],[_Descendants]])),Tasks[[#This Row],[_LeafTotalSlack]]))</f>
        <v/>
      </c>
      <c r="AW20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3" t="n"/>
      <c r="BA20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f>IF(Tasks[[#This Row],[Task Name]]="","",IF(Tasks[[#This Row],[_Level]]&lt;=OutlineShowLevel,"Yes","No"))</f>
        <v/>
      </c>
      <c r="BE205" s="84">
        <f>IF(Tasks[[#This Row],[Task Name]]="","",IF(Tasks[[#This Row],[_IsSummary]],SUM(INDEX(Tasks[_LeafTotalWork],Tasks[[#This Row],[_Row]]+1):INDEX(Tasks[_LeafTotalWork],Tasks[[#This Row],[_Row]]+Tasks[[#This Row],[_Descendants]])),Tasks[[#This Row],[_LeafTotalWork]]))</f>
        <v/>
      </c>
      <c r="BF205" s="23" t="n"/>
      <c r="BG20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f>""</f>
        <v/>
      </c>
      <c r="BI205" s="85" t="n"/>
      <c r="BJ205" s="22" t="n"/>
      <c r="BK205" s="21">
        <f>IF(OR(Tasks[[#This Row],[Task Name]]="",Tasks[[#This Row],[Baseline Duration]]=""),"",Tasks[[#This Row],[_SpanDays]]-N(Tasks[[#This Row],[Baseline Duration]]))</f>
        <v/>
      </c>
      <c r="BL205" s="84">
        <f>IF(OR(Tasks[[#This Row],[Task Name]]="",Tasks[[#This Row],[Baseline Work]]=""),"",Tasks[[#This Row],[Work]]-N(Tasks[[#This Row],[Baseline Work]]))</f>
        <v/>
      </c>
      <c r="BM205" s="61">
        <f>IF(Tasks[[#This Row],[Task Name]]="","",IF(OR(TakeBaseline="Yes",N(Tasks[[#This Row],[Baseline Start]])=0),Tasks[[#This Row],[Start]],Tasks[[#This Row],[Baseline Start]]))</f>
        <v/>
      </c>
      <c r="BN205" s="61">
        <f>IF(Tasks[[#This Row],[Task Name]]="","",IF(OR(TakeBaseline="Yes",N(Tasks[[#This Row],[Baseline Finish]])=0),Tasks[[#This Row],[Finish]],Tasks[[#This Row],[Baseline Finish]]))</f>
        <v/>
      </c>
      <c r="BO205" s="21">
        <f>IF(Tasks[[#This Row],[Task Name]]="","",IF(OR(TakeBaseline="Yes",N(Tasks[[#This Row],[Baseline Duration]])=0),Tasks[[#This Row],[_SpanDays]],Tasks[[#This Row],[Baseline Duration]]))</f>
        <v/>
      </c>
      <c r="BP205" s="84">
        <f>IF(Tasks[[#This Row],[Task Name]]="","",IF(OR(TakeBaseline="Yes",N(Tasks[[#This Row],[Baseline Work]])=0),Tasks[[#This Row],[Work]],Tasks[[#This Row],[Baseline Work]]))</f>
        <v/>
      </c>
      <c r="BQ205" s="7" t="n"/>
      <c r="BR205" s="7" t="n"/>
      <c r="BS205" s="22" t="n"/>
      <c r="BT205" s="86" t="n"/>
      <c r="BU205" s="23" t="n"/>
      <c r="BV205" s="23" t="n"/>
      <c r="BW205" s="23" t="n"/>
      <c r="BX205" s="87">
        <f>IF(AND(Tasks[[#This Row],[_IsLeaf]]=1,ISNUMBER(Tasks[[#This Row],[Optimistic]]),ISNUMBER(Tasks[[#This Row],[Pessimistic]])),ROUND((Tasks[[#This Row],[Optimistic]]+4*N(Tasks[[#This Row],[_Days]])+Tasks[[#This Row],[Pessimistic]])/6,1),"")</f>
        <v/>
      </c>
      <c r="BY205" s="85" t="n"/>
      <c r="BZ205" s="85" t="n"/>
      <c r="CA205" s="22" t="n"/>
      <c r="CB205" s="42">
        <f>IF(Tasks[[#This Row],[Task Name]]="","",MAX(1,N(Tasks[[#This Row],[Level]])))</f>
        <v/>
      </c>
      <c r="CC205" s="42">
        <f>ROW()-ROW(Tasks[[#Headers],[ID]])</f>
        <v/>
      </c>
      <c r="CD205" s="42">
        <f>IF(OR(Tasks[[#This Row],[Task Name]]="",Tasks[[#This Row],[_Level]]&lt;=1),0,IFERROR(LOOKUP(2,1/(Tasks[[#Headers],[_Level]]:Tasks[[#This Row],[_Level]]=Tasks[[#This Row],[_Level]]-1),ROW(Tasks[[#Headers],[_Level]]:Tasks[[#This Row],[_Level]])),0))</f>
        <v/>
      </c>
      <c r="CE205" s="42">
        <f>IFERROR(N(INDEX(Tasks[_Level],Tasks[[#This Row],[_Row]]+1)),0)</f>
        <v/>
      </c>
      <c r="CF205" s="42">
        <f>AND(Tasks[[#This Row],[Task Name]]&lt;&gt;"",Tasks[[#This Row],[_NextLevel]]&gt;Tasks[[#This Row],[_Level]])</f>
        <v/>
      </c>
      <c r="CG205" s="42">
        <f>IF(Tasks[[#This Row],[_IsSummary]],COUNTIF(Tasks[WBS],Tasks[[#This Row],[WBS]]&amp;".*"),0)</f>
        <v/>
      </c>
      <c r="CH205" s="42">
        <f>IF(AND(Tasks[[#This Row],[Task Name]]&lt;&gt;"",NOT(Tasks[[#This Row],[_IsSummary]])),1,0)</f>
        <v/>
      </c>
      <c r="CI205" s="42">
        <f>IF(N(Tasks[[#This Row],[_Pred1UID]])=0,0,IFERROR(MATCH(Tasks[[#This Row],[_Pred1UID]],Tasks[UID],0),-1))</f>
        <v/>
      </c>
      <c r="CJ205" s="42">
        <f>IF(N(Tasks[[#This Row],[_Pred2UID]])=0,0,IFERROR(MATCH(Tasks[[#This Row],[_Pred2UID]],Tasks[UID],0),-1))</f>
        <v/>
      </c>
      <c r="CK205" s="42">
        <f>IF(N(Tasks[[#This Row],[_Pred3UID]])=0,0,IFERROR(MATCH(Tasks[[#This Row],[_Pred3UID]],Tasks[UID],0),-1))</f>
        <v/>
      </c>
      <c r="CL205" s="42">
        <f>IF(N(Tasks[[#This Row],[_Pred4UID]])=0,0,IFERROR(MATCH(Tasks[[#This Row],[_Pred4UID]],Tasks[UID],0),-1))</f>
        <v/>
      </c>
      <c r="CM20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5" s="88">
        <f>IF(N(Tasks[[#This Row],[Constraint Date]])=0,0,IF(AND(OR(Tasks[[#This Row],[_ConstraintCode]]=3,Tasks[[#This Row],[_ConstraintCode]]=6,Tasks[[#This Row],[_ConstraintCode]]=7),N(Tasks[[#This Row],[_Days]])&gt;1),WORKDAY.INTL(N(Tasks[[#This Row],[Constraint Date]]),-(N(Tasks[[#This Row],[_Days]])-1),WorkWeek,Holidays),N(Tasks[[#This Row],[Constraint Date]])))</f>
        <v/>
      </c>
      <c r="CO205" s="88">
        <f>IF(OR(Tasks[[#This Row],[_ConstraintCode]]=2,Tasks[[#This Row],[_ConstraintCode]]=3,Tasks[[#This Row],[_ConstraintCode]]=4,Tasks[[#This Row],[_ConstraintCode]]=6),Tasks[[#This Row],[_ConstraintStart]],0)</f>
        <v/>
      </c>
      <c r="CP205" s="88">
        <f>IF(OR(Tasks[[#This Row],[_ConstraintCode]]=2,Tasks[[#This Row],[_ConstraintCode]]=3,Tasks[[#This Row],[_ConstraintCode]]=5,Tasks[[#This Row],[_ConstraintCode]]=7),Tasks[[#This Row],[_ConstraintStart]],2958465)</f>
        <v/>
      </c>
      <c r="CQ20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5" s="88">
        <f>IF(NOT(Tasks[[#This Row],[_IsLeaf]]=1),"",IF(N(Tasks[[#This Row],[_Days]])&lt;=0,Tasks[[#This Row],[_LeafCalcStart]],WORKDAY.INTL(Tasks[[#This Row],[_LeafCalcStart]],Tasks[[#This Row],[_Days]]-1,WorkWeek,Holidays)))</f>
        <v/>
      </c>
      <c r="CS20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5" s="42">
        <f>IF(Tasks[[#This Row],[_Predecessors]]="","",TRIM(MID(SUBSTITUTE(SUBSTITUTE(SUBSTITUTE(UPPER(Tasks[[#This Row],[_Predecessors]]),";",",")," ",""),",",REPT(" ",99)),1,99)))</f>
        <v/>
      </c>
      <c r="CV205" s="42">
        <f>IF(Tasks[[#This Row],[_Pred1Text]]="","",IFERROR(VALUE(LEFT(Tasks[[#This Row],[_Pred1Text]],MIN(FIND("F",Tasks[[#This Row],[_Pred1Text]]&amp;"F"),FIND("S",Tasks[[#This Row],[_Pred1Text]]&amp;"S"),FIND("+",Tasks[[#This Row],[_Pred1Text]]&amp;"+"),FIND("-",Tasks[[#This Row],[_Pred1Text]]&amp;"-"))-1)),""))</f>
        <v/>
      </c>
      <c r="CW20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5" s="42">
        <f>IF(Tasks[[#This Row],[_Pred1Text]]="","",TRIM(MID(SUBSTITUTE(SUBSTITUTE(SUBSTITUTE(UPPER(Tasks[[#This Row],[_Predecessors]]),";",",")," ",""),",",REPT(" ",99)),100,99)))</f>
        <v/>
      </c>
      <c r="CZ205" s="42">
        <f>IF(Tasks[[#This Row],[_Pred2Text]]="","",IFERROR(VALUE(LEFT(Tasks[[#This Row],[_Pred2Text]],MIN(FIND("F",Tasks[[#This Row],[_Pred2Text]]&amp;"F"),FIND("S",Tasks[[#This Row],[_Pred2Text]]&amp;"S"),FIND("+",Tasks[[#This Row],[_Pred2Text]]&amp;"+"),FIND("-",Tasks[[#This Row],[_Pred2Text]]&amp;"-"))-1)),""))</f>
        <v/>
      </c>
      <c r="DA20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5" s="42">
        <f>IF(Tasks[[#This Row],[_Pred2Text]]="","",TRIM(MID(SUBSTITUTE(SUBSTITUTE(SUBSTITUTE(UPPER(Tasks[[#This Row],[_Predecessors]]),";",",")," ",""),",",REPT(" ",99)),199,99)))</f>
        <v/>
      </c>
      <c r="DD205" s="42">
        <f>IF(Tasks[[#This Row],[_Pred3Text]]="","",IFERROR(VALUE(LEFT(Tasks[[#This Row],[_Pred3Text]],MIN(FIND("F",Tasks[[#This Row],[_Pred3Text]]&amp;"F"),FIND("S",Tasks[[#This Row],[_Pred3Text]]&amp;"S"),FIND("+",Tasks[[#This Row],[_Pred3Text]]&amp;"+"),FIND("-",Tasks[[#This Row],[_Pred3Text]]&amp;"-"))-1)),""))</f>
        <v/>
      </c>
      <c r="DE20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5" s="42">
        <f>IF(Tasks[[#This Row],[_Pred3Text]]="","",TRIM(MID(SUBSTITUTE(SUBSTITUTE(SUBSTITUTE(UPPER(Tasks[[#This Row],[_Predecessors]]),";",",")," ",""),",",REPT(" ",99)),298,99)))</f>
        <v/>
      </c>
      <c r="DH205" s="42">
        <f>IF(Tasks[[#This Row],[_Pred4Text]]="","",IFERROR(VALUE(LEFT(Tasks[[#This Row],[_Pred4Text]],MIN(FIND("F",Tasks[[#This Row],[_Pred4Text]]&amp;"F"),FIND("S",Tasks[[#This Row],[_Pred4Text]]&amp;"S"),FIND("+",Tasks[[#This Row],[_Pred4Text]]&amp;"+"),FIND("-",Tasks[[#This Row],[_Pred4Text]]&amp;"-"))-1)),""))</f>
        <v/>
      </c>
      <c r="DI20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5" s="42">
        <f>IF(OR(Tasks[[#This Row],[Task Name]]="",Tasks[[#This Row],[_Resources]]=""),"",TRIM(MID(SUBSTITUTE(Tasks[[#This Row],[_Resources]],",",REPT(" ",99)),1,99)))</f>
        <v/>
      </c>
      <c r="DL205" s="42">
        <f>IF(Tasks[[#This Row],[_Res1Text]]="","",TRIM(MID(SUBSTITUTE(Tasks[[#This Row],[_Resources]],",",REPT(" ",99)),100,99)))</f>
        <v/>
      </c>
      <c r="DM205" s="42">
        <f>IF(Tasks[[#This Row],[_Res2Text]]="","",TRIM(MID(SUBSTITUTE(Tasks[[#This Row],[_Resources]],",",REPT(" ",99)),199,99)))</f>
        <v/>
      </c>
      <c r="DN205" s="42">
        <f>IF(Tasks[[#This Row],[_Res3Text]]="","",TRIM(MID(SUBSTITUTE(Tasks[[#This Row],[_Resources]],",",REPT(" ",99)),298,99)))</f>
        <v/>
      </c>
      <c r="DO205" s="42">
        <f>IF(Tasks[[#This Row],[_Res1Text]]="",0,IFERROR(MATCH(TRIM(LEFT(Tasks[[#This Row],[_Res1Text]],FIND("[",Tasks[[#This Row],[_Res1Text]]&amp;"[")-1)),res_Name,0),IFERROR(MATCH(TRIM(LEFT(Tasks[[#This Row],[_Res1Text]],FIND("[",Tasks[[#This Row],[_Res1Text]]&amp;"[")-1)),res_Initials,0),0)))</f>
        <v/>
      </c>
      <c r="DP205" s="42">
        <f>IF(Tasks[[#This Row],[_Res2Text]]="",0,IFERROR(MATCH(TRIM(LEFT(Tasks[[#This Row],[_Res2Text]],FIND("[",Tasks[[#This Row],[_Res2Text]]&amp;"[")-1)),res_Name,0),IFERROR(MATCH(TRIM(LEFT(Tasks[[#This Row],[_Res2Text]],FIND("[",Tasks[[#This Row],[_Res2Text]]&amp;"[")-1)),res_Initials,0),0)))</f>
        <v/>
      </c>
      <c r="DQ205" s="42">
        <f>IF(Tasks[[#This Row],[_Res3Text]]="",0,IFERROR(MATCH(TRIM(LEFT(Tasks[[#This Row],[_Res3Text]],FIND("[",Tasks[[#This Row],[_Res3Text]]&amp;"[")-1)),res_Name,0),IFERROR(MATCH(TRIM(LEFT(Tasks[[#This Row],[_Res3Text]],FIND("[",Tasks[[#This Row],[_Res3Text]]&amp;"[")-1)),res_Initials,0),0)))</f>
        <v/>
      </c>
      <c r="DR205" s="42">
        <f>IF(Tasks[[#This Row],[_Res4Text]]="",0,IFERROR(MATCH(TRIM(LEFT(Tasks[[#This Row],[_Res4Text]],FIND("[",Tasks[[#This Row],[_Res4Text]]&amp;"[")-1)),res_Name,0),IFERROR(MATCH(TRIM(LEFT(Tasks[[#This Row],[_Res4Text]],FIND("[",Tasks[[#This Row],[_Res4Text]]&amp;"[")-1)),res_Initials,0),0)))</f>
        <v/>
      </c>
      <c r="DS205" s="42">
        <f>IF(Tasks[[#This Row],[_Res1Text]]="","",IF(Tasks[[#This Row],[_Res1Row]]&gt;0,INDEX(res_Name,Tasks[[#This Row],[_Res1Row]]),TRIM(LEFT(Tasks[[#This Row],[_Res1Text]],FIND("[",Tasks[[#This Row],[_Res1Text]]&amp;"[")-1))))</f>
        <v/>
      </c>
      <c r="DT20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5" s="42">
        <f>IF(NOT(Tasks[[#This Row],[_IsLeaf]]=1),0,(Tasks[[#This Row],[_Resource1]]&lt;&gt;"")+(Tasks[[#This Row],[_Res2]]&lt;&gt;"")+(Tasks[[#This Row],[_Res3]]&lt;&gt;"")+(Tasks[[#This Row],[_Res4]]&lt;&gt;""))</f>
        <v/>
      </c>
      <c r="DV205" s="42">
        <f>IF(Tasks[[#This Row],[_Res2Text]]="","",IF(Tasks[[#This Row],[_Res2Row]]&gt;0,INDEX(res_Name,Tasks[[#This Row],[_Res2Row]]),TRIM(LEFT(Tasks[[#This Row],[_Res2Text]],FIND("[",Tasks[[#This Row],[_Res2Text]]&amp;"[")-1))))</f>
        <v/>
      </c>
      <c r="DW20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5" s="42">
        <f>IF(OR(NOT(Tasks[[#This Row],[_IsLeaf]]=1),Tasks[[#This Row],[_Res2Row]]=0),0,N(Tasks[[#This Row],[_Days]])*HoursPerDay*IF(Tasks[[#This Row],[_Res2Units]]="",DefaultUnits,Tasks[[#This Row],[_Res2Units]]))</f>
        <v/>
      </c>
      <c r="DY205" s="42">
        <f>IF(AND(AND(Tasks[[#This Row],[_IsLeaf]]=1,Tasks[[#This Row],[_LeafTotalWork]]&gt;0),Tasks[[#This Row],[_Res2Work]]&gt;0),Tasks[[#This Row],[_Res2Work]]/(Tasks[[#This Row],[_FinishWorkday]]-Tasks[[#This Row],[_StartWorkday]]+1),0)</f>
        <v/>
      </c>
      <c r="DZ205" s="42">
        <f>Tasks[[#This Row],[_Res2WorkPerWD]]*MAX(0,Tasks[[#This Row],[_StartWorkday]]-1)</f>
        <v/>
      </c>
      <c r="EA205" s="42">
        <f>Tasks[[#This Row],[_Res2Work]]*Tasks[[#This Row],[_LeafProgress]]</f>
        <v/>
      </c>
      <c r="EB205" s="42">
        <f>IF(Tasks[[#This Row],[_Res3Text]]="","",IF(Tasks[[#This Row],[_Res3Row]]&gt;0,INDEX(res_Name,Tasks[[#This Row],[_Res3Row]]),TRIM(LEFT(Tasks[[#This Row],[_Res3Text]],FIND("[",Tasks[[#This Row],[_Res3Text]]&amp;"[")-1))))</f>
        <v/>
      </c>
      <c r="EC20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5" s="42">
        <f>IF(OR(NOT(Tasks[[#This Row],[_IsLeaf]]=1),Tasks[[#This Row],[_Res3Row]]=0),0,N(Tasks[[#This Row],[_Days]])*HoursPerDay*IF(Tasks[[#This Row],[_Res3Units]]="",DefaultUnits,Tasks[[#This Row],[_Res3Units]]))</f>
        <v/>
      </c>
      <c r="EE205" s="42">
        <f>IF(AND(AND(Tasks[[#This Row],[_IsLeaf]]=1,Tasks[[#This Row],[_LeafTotalWork]]&gt;0),Tasks[[#This Row],[_Res3Work]]&gt;0),Tasks[[#This Row],[_Res3Work]]/(Tasks[[#This Row],[_FinishWorkday]]-Tasks[[#This Row],[_StartWorkday]]+1),0)</f>
        <v/>
      </c>
      <c r="EF205" s="42">
        <f>Tasks[[#This Row],[_Res3WorkPerWD]]*MAX(0,Tasks[[#This Row],[_StartWorkday]]-1)</f>
        <v/>
      </c>
      <c r="EG205" s="42">
        <f>Tasks[[#This Row],[_Res3Work]]*Tasks[[#This Row],[_LeafProgress]]</f>
        <v/>
      </c>
      <c r="EH205" s="42">
        <f>IF(Tasks[[#This Row],[_Res4Text]]="","",IF(Tasks[[#This Row],[_Res4Row]]&gt;0,INDEX(res_Name,Tasks[[#This Row],[_Res4Row]]),TRIM(LEFT(Tasks[[#This Row],[_Res4Text]],FIND("[",Tasks[[#This Row],[_Res4Text]]&amp;"[")-1))))</f>
        <v/>
      </c>
      <c r="EI20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5" s="42">
        <f>IF(OR(NOT(Tasks[[#This Row],[_IsLeaf]]=1),Tasks[[#This Row],[_Res4Row]]=0),0,N(Tasks[[#This Row],[_Days]])*HoursPerDay*IF(Tasks[[#This Row],[_Res4Units]]="",DefaultUnits,Tasks[[#This Row],[_Res4Units]]))</f>
        <v/>
      </c>
      <c r="EK205" s="42">
        <f>IF(AND(AND(Tasks[[#This Row],[_IsLeaf]]=1,Tasks[[#This Row],[_LeafTotalWork]]&gt;0),Tasks[[#This Row],[_Res4Work]]&gt;0),Tasks[[#This Row],[_Res4Work]]/(Tasks[[#This Row],[_FinishWorkday]]-Tasks[[#This Row],[_StartWorkday]]+1),0)</f>
        <v/>
      </c>
      <c r="EL205" s="42">
        <f>Tasks[[#This Row],[_Res4WorkPerWD]]*MAX(0,Tasks[[#This Row],[_StartWorkday]]-1)</f>
        <v/>
      </c>
      <c r="EM205" s="42">
        <f>Tasks[[#This Row],[_Res4Work]]*Tasks[[#This Row],[_LeafProgress]]</f>
        <v/>
      </c>
      <c r="EN205" s="42">
        <f>IF(ISNUMBER(Tasks[[#This Row],[% Complete]]),Tasks[[#This Row],[% Complete]],IF(Tasks[[#This Row],[Stage]]="",0,IFERROR(INDEX(stg_Pct,MATCH(Tasks[[#This Row],[Stage]],stg_Name,0)),0)))</f>
        <v/>
      </c>
      <c r="EO205" s="42">
        <f>IF(NOT(Tasks[[#This Row],[_IsLeaf]]=1),0,IF(N(Tasks[[#This Row],[Actual Finish]])&gt;0,1,MIN(1,Tasks[[#This Row],[_Pct]])))</f>
        <v/>
      </c>
      <c r="EP205" s="42">
        <f>IF(OR(NOT(Tasks[[#This Row],[_IsLeaf]]=1),Tasks[[#This Row],[_Res1Row]]=0),0,N(Tasks[[#This Row],[_Days]])*HoursPerDay*IF(Tasks[[#This Row],[_Units1]]="",DefaultUnits,Tasks[[#This Row],[_Units1]]))</f>
        <v/>
      </c>
      <c r="EQ205" s="42">
        <f>Tasks[[#This Row],[_LeafWork]]+Tasks[[#This Row],[_Res2Work]]+Tasks[[#This Row],[_Res3Work]]+Tasks[[#This Row],[_Res4Work]]</f>
        <v/>
      </c>
      <c r="ER20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5" s="42">
        <f>IF(NOT(Tasks[[#This Row],[_IsLeaf]]=1),0,MAX(_xlfn.MAXIFS(Tasks[_Row],Tasks[_Pred1UID],Tasks[[#This Row],[UID]]),_xlfn.MAXIFS(Tasks[_Row],Tasks[_Pred2UID],Tasks[[#This Row],[UID]]),_xlfn.MAXIFS(Tasks[_Row],Tasks[_Pred3UID],Tasks[[#This Row],[UID]]),_xlfn.MAXIFS(Tasks[_Row],Tasks[_Pred4UID],Tasks[[#This Row],[UID]])))</f>
        <v/>
      </c>
      <c r="FA20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5" s="88">
        <f>IF(NOT(Tasks[[#This Row],[_IsLeaf]]=1),"",IF(N(Tasks[[#This Row],[_Days]])&lt;=0,Tasks[[#This Row],[_LeafLateFinish]],WORKDAY.INTL(Tasks[[#This Row],[_LeafLateFinish]],-(Tasks[[#This Row],[_Days]]-1),WorkWeek,Holidays)))</f>
        <v/>
      </c>
      <c r="FD20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5" s="42">
        <f>AND(Tasks[[#This Row],[_IsLeaf]]=1,Tasks[[#This Row],[_LeafProgress]]&lt;1,N(Tasks[[#This Row],[_LeafTotalSlack]])&lt;=CriticalSlackDays)</f>
        <v/>
      </c>
      <c r="FF205" s="42">
        <f>IF(AND(Tasks[[#This Row],[_IsLeaf]]=1,Tasks[[#This Row],[_ConstraintCode]]=1,Tasks[[#This Row],[Mode]]&lt;&gt;"Manual",N(Tasks[[#This Row],[Actual Start]])=0),MAX(0,N(Tasks[[#This Row],[Free Slack]])),0)</f>
        <v/>
      </c>
      <c r="FG205" s="88">
        <f>IF(NOT(Tasks[[#This Row],[_IsLeaf]]=1),"",IF(Tasks[[#This Row],[_AlapShift]]=0,Tasks[[#This Row],[_LeafCalcStart]],WORKDAY.INTL(Tasks[[#This Row],[_LeafCalcStart]],Tasks[[#This Row],[_AlapShift]],WorkWeek,Holidays)))</f>
        <v/>
      </c>
      <c r="FH205" s="88">
        <f>IF(NOT(Tasks[[#This Row],[_IsLeaf]]=1),"",IF(Tasks[[#This Row],[_AlapShift]]=0,Tasks[[#This Row],[_LeafCalcFinish]],WORKDAY.INTL(Tasks[[#This Row],[_LeafCalcFinish]],Tasks[[#This Row],[_AlapShift]],WorkWeek,Holidays)))</f>
        <v/>
      </c>
      <c r="FI205" s="88">
        <f>IF(NOT(Tasks[[#This Row],[_IsLeaf]]=1),"",IF(Tasks[[#This Row],[_AlapShift]]=0,Tasks[[#This Row],[_LeafFcstStart]],WORKDAY.INTL(Tasks[[#This Row],[_LeafFcstStart]],Tasks[[#This Row],[_AlapShift]],WorkWeek,Holidays)))</f>
        <v/>
      </c>
      <c r="FJ205" s="88">
        <f>IF(NOT(Tasks[[#This Row],[_IsLeaf]]=1),"",IF(Tasks[[#This Row],[_AlapShift]]=0,Tasks[[#This Row],[_LeafFcstFinish]],WORKDAY.INTL(Tasks[[#This Row],[_LeafFcstFinish]],Tasks[[#This Row],[_AlapShift]],WorkWeek,Holidays)))</f>
        <v/>
      </c>
      <c r="FK205" s="88">
        <f>IF(Tasks[[#This Row],[Task Name]]="","",IF(Tasks[[#This Row],[_IsSummary]],MIN(INDEX(Tasks[_ShownCalcStart],Tasks[[#This Row],[_Row]]+1):INDEX(Tasks[_ShownCalcStart],Tasks[[#This Row],[_Row]]+Tasks[[#This Row],[_Descendants]])),Tasks[[#This Row],[_ShownCalcStart]]))</f>
        <v/>
      </c>
      <c r="FL205" s="88">
        <f>IF(Tasks[[#This Row],[Task Name]]="","",IF(Tasks[[#This Row],[_IsSummary]],MAX(INDEX(Tasks[_ShownCalcFinish],Tasks[[#This Row],[_Row]]+1):INDEX(Tasks[_ShownCalcFinish],Tasks[[#This Row],[_Row]]+Tasks[[#This Row],[_Descendants]])),Tasks[[#This Row],[_ShownCalcFinish]]))</f>
        <v/>
      </c>
      <c r="FM20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5" s="42">
        <f>IF(AND(Tasks[[#This Row],[_IsLeaf]]=1,Tasks[[#This Row],[_LeafTotalWork]]&gt;0),NETWORKDAYS.INTL(ProjectStart,Tasks[[#This Row],[_ShownFcstStart]],WorkWeek,Holidays),0)</f>
        <v/>
      </c>
      <c r="FZ205" s="42">
        <f>IF(AND(Tasks[[#This Row],[_IsLeaf]]=1,Tasks[[#This Row],[_LeafTotalWork]]&gt;0),MAX(Tasks[[#This Row],[_StartWorkday]],NETWORKDAYS.INTL(ProjectStart,Tasks[[#This Row],[_ShownFcstFinish]],WorkWeek,Holidays)),0)</f>
        <v/>
      </c>
      <c r="GA205" s="42">
        <f>IF(AND(Tasks[[#This Row],[_IsLeaf]]=1,Tasks[[#This Row],[_LeafTotalWork]]&gt;0),Tasks[[#This Row],[_LeafWork]]/(Tasks[[#This Row],[_FinishWorkday]]-Tasks[[#This Row],[_StartWorkday]]+1),0)</f>
        <v/>
      </c>
      <c r="GB205" s="42">
        <f>Tasks[[#This Row],[_WorkPerWorkday]]*(Tasks[[#This Row],[_StartWorkday]]-1)</f>
        <v/>
      </c>
      <c r="GC205" s="42">
        <f>IF(Tasks[[#This Row],[_IsLeaf]]=1,MAX(N(Tasks[[#This Row],[_Days]]),0.1),0)</f>
        <v/>
      </c>
      <c r="GD205" s="42">
        <f>Tasks[[#This Row],[_WeightDur]]*Tasks[[#This Row],[_LeafProgress]]</f>
        <v/>
      </c>
      <c r="GE205" s="42">
        <f>Tasks[[#This Row],[_WeightDur]]*Tasks[[#This Row],[_PlannedPct]]</f>
        <v/>
      </c>
      <c r="GF20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5" s="42">
        <f>IF(AND(Tasks[[#This Row],[_IsLeaf]]=1,N(Tasks[[#This Row],[_Days]])=0,Tasks[[#This Row],[_LeafProgress]]&lt;1),Tasks[[#This Row],[_ShownFcstFinish]]+Tasks[[#This Row],[_Row]]/100000,"")</f>
        <v/>
      </c>
      <c r="GH20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5" s="42">
        <f>IF(Tasks[[#This Row],[Task Name]]="","",LEFT(Tasks[[#This Row],[WBS]],FIND(".",Tasks[[#This Row],[WBS]]&amp;".")-1))</f>
        <v/>
      </c>
      <c r="GJ205" s="42">
        <f>IF(AND(Tasks[[#This Row],[Task Name]]&lt;&gt;"",Tasks[[#This Row],[_Level]]=1),Tasks[[#This Row],[_Row]],"")</f>
        <v/>
      </c>
      <c r="GK205" s="42">
        <f>IF(AND(Tasks[[#This Row],[_IsLeaf]]=1,N(Tasks[[#This Row],[_Days]])=0),Tasks[[#This Row],[Planned Finish]]+Tasks[[#This Row],[_Row]]/100000,"")</f>
        <v/>
      </c>
      <c r="GL205" s="42">
        <f>IF(AND(Tasks[[#This Row],[_IsLeaf]]=1,Tasks[[#This Row],[_LeafProgress]]&lt;1,OR(N(Tasks[[#This Row],[Finish Var]])&gt;0,Tasks[[#This Row],[Status]]="Late Start")),MAX(0,Tasks[[#This Row],[Finish Var]])+1-Tasks[[#This Row],[_Row]]/1000000,"")</f>
        <v/>
      </c>
      <c r="GM205" s="42">
        <f>IF(AND(Tasks[[#This Row],[_IsLeaf]]=1,N(Tasks[[#This Row],[Actual Start]])=0,Tasks[[#This Row],[_ShownFcstStart]]&gt;=StatusDate,Tasks[[#This Row],[_ShownFcstStart]]&lt;=LookaheadEnd),Tasks[[#This Row],[_ShownFcstStart]]+Tasks[[#This Row],[_Row]]/100000,"")</f>
        <v/>
      </c>
      <c r="GN205" s="42">
        <f>IF(AND(Tasks[[#This Row],[_IsLeaf]]=1,Tasks[[#This Row],[_LeafProgress]]&lt;1,Tasks[[#This Row],[_ShownFcstFinish]]&gt;=StatusDate,Tasks[[#This Row],[_ShownFcstFinish]]&lt;=LookaheadEnd),Tasks[[#This Row],[_ShownFcstFinish]]+Tasks[[#This Row],[_Row]]/100000,"")</f>
        <v/>
      </c>
      <c r="GO205" s="42">
        <f>IF(Tasks[[#This Row],[_LeafCritical]],Tasks[[#This Row],[_ShownFcstStart]]+Tasks[[#This Row],[_Row]]/100000,"")</f>
        <v/>
      </c>
      <c r="GP205" s="42">
        <f>Tasks[[#This Row],[_LeafWork]]*Tasks[[#This Row],[_LeafProgress]]</f>
        <v/>
      </c>
      <c r="GQ205" s="88">
        <f>IF(AND(Tasks[[#This Row],[_IsLeaf]]=1,Tasks[[#This Row],[_LeafProgress]]&gt;=1),IF(N(Tasks[[#This Row],[Actual Finish]])&gt;0,Tasks[[#This Row],[Actual Finish]],Tasks[[#This Row],[_ShownFcstFinish]]),"")</f>
        <v/>
      </c>
      <c r="GR205" s="42">
        <f>IF(Tasks[[#This Row],[_IsLeaf]]=1,N(Tasks[[#This Row],[Story Points]]),0)</f>
        <v/>
      </c>
      <c r="GS205" s="42">
        <f>""</f>
        <v/>
      </c>
      <c r="GT205" s="42">
        <f>IF(Tasks[[#This Row],[Task Name]]="",FALSE(),AND(Tasks[[#This Row],[_IsLeaf]]=1,N(Tasks[[#This Row],[_Days]])=0))</f>
        <v/>
      </c>
      <c r="GU205" s="88">
        <f>IF(Tasks[[#This Row],[Task Name]]="",0,IF(AND(Tasks[[#This Row],[_IsLeaf]]=1,NOT(Tasks[[#This Row],[_IsMilestone]]),N(Tasks[[#This Row],[Progress]])&gt;0),Tasks[[#This Row],[Start]],0))</f>
        <v/>
      </c>
      <c r="GV205" s="88">
        <f>IF(Tasks[[#This Row],[_DoneFrom]]=0,0,IF(Tasks[[#This Row],[Progress]]&gt;=1,Tasks[[#This Row],[Finish]],MAX(Tasks[[#This Row],[_DoneFrom]],Tasks[[#This Row],[Start]]+ROUND((Tasks[[#This Row],[Finish]]-Tasks[[#This Row],[Start]]+1)*Tasks[[#This Row],[Progress]],0)-1)))</f>
        <v/>
      </c>
      <c r="GW205" s="88">
        <f>IF(Tasks[[#This Row],[Task Name]]="",0,IF(OR(NOT(Tasks[[#This Row],[_IsLeaf]]=1),Tasks[[#This Row],[_IsMilestone]],N(Tasks[[#This Row],[Progress]])&gt;=1),0,IF(Tasks[[#This Row],[_DoneTo]]&gt;0,Tasks[[#This Row],[_DoneTo]]+1,Tasks[[#This Row],[Start]])))</f>
        <v/>
      </c>
      <c r="GX205" s="88">
        <f>IF(Tasks[[#This Row],[_RemFrom]]=0,0,Tasks[[#This Row],[Finish]])</f>
        <v/>
      </c>
      <c r="GY205" s="42">
        <f>IF(Tasks[[#This Row],[Task Name]]="",FALSE(),OR(NOT(BaselineSet),N(Tasks[[#This Row],[Baseline Start]])&gt;0))</f>
        <v/>
      </c>
      <c r="GZ205" s="42">
        <f>IF(AND(Sandbox="Yes",L_PARSE_DURATION(Tasks[[#This Row],[Sandbox Duration]])&lt;&gt;""),L_PARSE_DURATION(Tasks[[#This Row],[Sandbox Duration]]),L_PARSE_DURATION(Tasks[[#This Row],[Duration]]))</f>
        <v/>
      </c>
      <c r="HA205" s="42">
        <f>IF(AND(Tasks[[#This Row],[Pred1]]="",Tasks[[#This Row],[Pred2]]="",Tasks[[#This Row],[Pred3]]="",Tasks[[#This Row],[Pred4]]=""),Tasks[[#This Row],[Predecessors]]&amp;"",_xlfn.TEXTJOIN(", ",TRUE(),IF(Tasks[[#This Row],[Pred1]]="","",IFERROR(VALUE(LEFT(Tasks[[#This Row],[Pred1]]&amp;"",FIND(" ",Tasks[[#This Row],[Pred1]]&amp;" ")-1)),IFERROR(INDEX(Tasks[UID],MATCH(TRIM(Tasks[[#This Row],[Pred1]]),Tasks[Task Name],0)),Tasks[[#This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")-1)),IFERROR(INDEX(Tasks[UID],MATCH(TRIM(Tasks[[#This Row],[Pred2]]),Tasks[Task Name],0)),Tasks[[#This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")-1)),IFERROR(INDEX(Tasks[UID],MATCH(TRIM(Tasks[[#This Row],[Pred3]]),Tasks[Task Name],0)),Tasks[[#This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")-1)),IFERROR(INDEX(Tasks[UID],MATCH(TRIM(Tasks[[#This Row],[Pred4]]),Tasks[Task Name],0)),Tasks[[#This Row],[Pred4]]))&amp;IF(AND(OR(Tasks[[#This Row],[Type4]]="",Tasks[[#This Row],[Type4]]="FS"),N(Tasks[[#This Row],[Lag4]])=0),"",IF(Tasks[[#This Row],[Type4]]="","FS",Tasks[[#This Row],[Type4]])&amp;IF(N(Tasks[[#This Row],[Lag4]])=0,"",IF(N(Tasks[[#This Row],[Lag4]])&gt;0,"+","")&amp;N(Tasks[[#This Row],[Lag4]])&amp;"d")))))</f>
        <v/>
      </c>
      <c r="HB20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5" s="42">
        <f>IF(Tasks[[#This Row],[_IsLeaf]]=1,Tasks[[#This Row],[_Row]],"")</f>
        <v/>
      </c>
      <c r="HD205" s="42">
        <f>IFERROR(INDEX(Tasks[UID],SMALL(Tasks[_PickKey],Tasks[[#This Row],[_Row]]))&amp;" "&amp;INDEX(Tasks[Task Name],SMALL(Tasks[_PickKey],Tasks[[#This Row],[_Row]])),"")</f>
        <v/>
      </c>
      <c r="HE205" s="42">
        <f>IF(Tasks[[#This Row],[Task Name]]="","",IF(Tasks[[#This Row],[_IsSummary]],NETWORKDAYS.INTL(Tasks[[#This Row],[Start]],Tasks[[#This Row],[Finish]],WorkWeek,Holidays),N(Tasks[[#This Row],[_Days]])))</f>
        <v/>
      </c>
      <c r="HF205" s="42">
        <f>IF(Tasks[[#This Row],[Expected]]="",0,((Tasks[[#This Row],[Pessimistic]]-Tasks[[#This Row],[Optimistic]])/6)^2)</f>
        <v/>
      </c>
      <c r="HG205" s="42">
        <f>IF(Tasks[[#This Row],[Expected]]="",0,Tasks[[#This Row],[Expected]]-N(Tasks[[#This Row],[_Days]]))</f>
        <v/>
      </c>
    </row>
  </sheetData>
  <conditionalFormatting sqref="A6:BT205">
    <cfRule type="expression" priority="1" dxfId="16">
      <formula>$CF6=TRUE</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BY6:BY205 BZ6:BZ205 CA6:CA205 HC6:HC205 HD6:HD205">
    <cfRule type="expression" priority="2" dxfId="17">
      <formula>$CF6=TRUE</formula>
    </cfRule>
  </conditionalFormatting>
  <conditionalFormatting sqref="AO6:AO205">
    <cfRule type="expression" priority="3" dxfId="5">
      <formula>$AO6="Complete"</formula>
    </cfRule>
    <cfRule type="expression" priority="4" dxfId="18">
      <formula>$AO6="In Progress"</formula>
    </cfRule>
    <cfRule type="expression" priority="5" dxfId="6">
      <formula>$AO6="Behind"</formula>
    </cfRule>
    <cfRule type="expression" priority="6" dxfId="19">
      <formula>$AO6="Late Start"</formula>
    </cfRule>
    <cfRule type="expression" priority="7" dxfId="20">
      <formula>$AO6="Not Started"</formula>
    </cfRule>
  </conditionalFormatting>
  <conditionalFormatting sqref="AS6:AS205">
    <cfRule type="expression" priority="8" dxfId="6">
      <formula>AND(ISNUMBER($AS6),$AS6&gt;0)</formula>
    </cfRule>
    <cfRule type="expression" priority="9" dxfId="5">
      <formula>AND(ISNUMBER($AS6),$AS6&lt;0)</formula>
    </cfRule>
  </conditionalFormatting>
  <conditionalFormatting sqref="AN6:AN205">
    <cfRule type="expression" priority="10" dxfId="6">
      <formula>AND(ISNUMBER($AN6),$AN6&gt;0)</formula>
    </cfRule>
    <cfRule type="expression" priority="11" dxfId="5">
      <formula>AND(ISNUMBER($AN6),$AN6&lt;0)</formula>
    </cfRule>
  </conditionalFormatting>
  <conditionalFormatting sqref="BK6:BK205">
    <cfRule type="expression" priority="12" dxfId="6">
      <formula>AND(ISNUMBER($BK6),$BK6&gt;0)</formula>
    </cfRule>
    <cfRule type="expression" priority="13" dxfId="5">
      <formula>AND(ISNUMBER($BK6),$BK6&lt;0)</formula>
    </cfRule>
  </conditionalFormatting>
  <conditionalFormatting sqref="BL6:BL205">
    <cfRule type="expression" priority="14" dxfId="6">
      <formula>AND(ISNUMBER($BL6),$BL6&gt;0)</formula>
    </cfRule>
    <cfRule type="expression" priority="15" dxfId="5">
      <formula>AND(ISNUMBER($BL6),$BL6&lt;0)</formula>
    </cfRule>
  </conditionalFormatting>
  <conditionalFormatting sqref="D6:D205">
    <cfRule type="expression" priority="16" dxfId="21">
      <formula>AND($CH6=1,N($E6)=0)</formula>
    </cfRule>
  </conditionalFormatting>
  <conditionalFormatting sqref="BC6:BC205">
    <cfRule type="expression" priority="17" dxfId="22">
      <formula>$BC6="?"</formula>
    </cfRule>
  </conditionalFormatting>
  <conditionalFormatting sqref="B6:B205">
    <cfRule type="expression" priority="18" dxfId="3">
      <formula>OR(AND($D6&lt;&gt;"",$B6=""),AND($B6&lt;&gt;"",COUNTIF(tsk_UID,$B6)&gt;1))</formula>
    </cfRule>
  </conditionalFormatting>
  <conditionalFormatting sqref="AY6:AY205">
    <cfRule type="expression" priority="19" dxfId="23">
      <formula>$AY6&lt;&gt;""</formula>
    </cfRule>
  </conditionalFormatting>
  <conditionalFormatting sqref="AX6:AX205">
    <cfRule type="expression" priority="20" dxfId="6">
      <formula>LEFT($AX6,4)="Late"</formula>
    </cfRule>
    <cfRule type="expression" priority="25" dxfId="5">
      <formula>$AX6="OK"</formula>
    </cfRule>
  </conditionalFormatting>
  <conditionalFormatting sqref="BH6:BH205">
    <cfRule type="expression" priority="21" dxfId="3">
      <formula>$BH6="Yes"</formula>
    </cfRule>
  </conditionalFormatting>
  <conditionalFormatting sqref="AP6:AP205">
    <cfRule type="expression" priority="22" dxfId="7">
      <formula>$AP6="Yes"</formula>
    </cfRule>
  </conditionalFormatting>
  <conditionalFormatting sqref="AV6:AV205">
    <cfRule type="expression" priority="23" dxfId="6">
      <formula>AND(ISNUMBER($AV6),$AV6&lt;0)</formula>
    </cfRule>
  </conditionalFormatting>
  <conditionalFormatting sqref="AW6:AW205">
    <cfRule type="expression" priority="24" dxfId="6">
      <formula>AND(ISNUMBER($AW6),$AW6&lt;0)</formula>
    </cfRule>
  </conditionalFormatting>
  <conditionalFormatting sqref="HI6:NB205">
    <cfRule type="expression" priority="26" dxfId="13">
      <formula>AND(N($AJ6)&gt;0,N($AJ6)&gt;=HI$5,N($AJ6)&lt;IF(GanttPeriod&lt;28,HI$5+GanttPeriod,EDATE(HI$5,IF(GanttPeriod&gt;=90,3,1))))</formula>
    </cfRule>
    <cfRule type="expression" priority="27" dxfId="24">
      <formula>AND($CF6,AND($AE6&gt;0,HI$5&lt;=$AF6,IF(GanttPeriod&lt;28,HI$5+GanttPeriod,EDATE(HI$5,IF(GanttPeriod&gt;=90,3,1)))-1&gt;=$AE6))</formula>
    </cfRule>
    <cfRule type="expression" priority="28" dxfId="14">
      <formula>AND($GT6,AND($AE6&gt;0,$AE6&gt;=HI$5,$AE6&lt;IF(GanttPeriod&lt;28,HI$5+GanttPeriod,EDATE(HI$5,IF(GanttPeriod&gt;=90,3,1)))))</formula>
    </cfRule>
    <cfRule type="expression" priority="29" dxfId="8">
      <formula>AND($GU6&gt;0,HI$5&lt;=$GV6,IF(GanttPeriod&lt;28,HI$5+GanttPeriod,EDATE(HI$5,IF(GanttPeriod&gt;=90,3,1)))-1&gt;=$GU6)</formula>
    </cfRule>
    <cfRule type="expression" priority="30" dxfId="25">
      <formula>AND($GY6,ISNUMBER($AR6),HI$5&gt;$AR6,AND($GW6&gt;0,HI$5&lt;=$GX6,IF(GanttPeriod&lt;28,HI$5+GanttPeriod,EDATE(HI$5,IF(GanttPeriod&gt;=90,3,1)))-1&gt;=$GW6))</formula>
    </cfRule>
    <cfRule type="expression" priority="31" dxfId="9">
      <formula>AND($AP6="Yes",AND($GW6&gt;0,HI$5&lt;=$GX6,IF(GanttPeriod&lt;28,HI$5+GanttPeriod,EDATE(HI$5,IF(GanttPeriod&gt;=90,3,1)))-1&gt;=$GW6))</formula>
    </cfRule>
    <cfRule type="expression" priority="32" dxfId="26">
      <formula>AND($GW6&gt;0,HI$5&lt;=$GX6,IF(GanttPeriod&lt;28,HI$5+GanttPeriod,EDATE(HI$5,IF(GanttPeriod&gt;=90,3,1)))-1&gt;=$GW6)</formula>
    </cfRule>
    <cfRule type="expression" priority="33" dxfId="27">
      <formula>AND($GY6,ISNUMBER($AQ6),AND($AQ6&gt;0,HI$5&lt;=$AR6,IF(GanttPeriod&lt;28,HI$5+GanttPeriod,EDATE(HI$5,IF(GanttPeriod&gt;=90,3,1)))-1&gt;=$AQ6))</formula>
    </cfRule>
    <cfRule type="expression" priority="34" dxfId="28">
      <formula>AND(AND($GY6,ISNUMBER($AQ6),AND($AQ6&gt;0,HI$5&lt;=$AR6,IF(GanttPeriod&lt;28,HI$5+GanttPeriod,EDATE(HI$5,IF(GanttPeriod&gt;=90,3,1)))-1&gt;=$AQ6)),AND($AQ6&gt;0,$AQ6&gt;=HI$5,$AQ6&lt;IF(GanttPeriod&lt;28,HI$5+GanttPeriod,EDATE(HI$5,IF(GanttPeriod&gt;=90,3,1)))),AND($AR6&gt;0,$AR6&gt;=HI$5,$AR6&lt;IF(GanttPeriod&lt;28,HI$5+GanttPeriod,EDATE(HI$5,IF(GanttPeriod&gt;=90,3,1)))))</formula>
    </cfRule>
    <cfRule type="expression" priority="35" dxfId="29">
      <formula>AND(AND($GY6,ISNUMBER($AQ6),AND($AQ6&gt;0,HI$5&lt;=$AR6,IF(GanttPeriod&lt;28,HI$5+GanttPeriod,EDATE(HI$5,IF(GanttPeriod&gt;=90,3,1)))-1&gt;=$AQ6)),AND($AQ6&gt;0,$AQ6&gt;=HI$5,$AQ6&lt;IF(GanttPeriod&lt;28,HI$5+GanttPeriod,EDATE(HI$5,IF(GanttPeriod&gt;=90,3,1)))))</formula>
    </cfRule>
    <cfRule type="expression" priority="36" dxfId="30">
      <formula>AND(AND($GY6,ISNUMBER($AQ6),AND($AQ6&gt;0,HI$5&lt;=$AR6,IF(GanttPeriod&lt;28,HI$5+GanttPeriod,EDATE(HI$5,IF(GanttPeriod&gt;=90,3,1)))-1&gt;=$AQ6)),AND($AR6&gt;0,$AR6&gt;=HI$5,$AR6&lt;IF(GanttPeriod&lt;28,HI$5+GanttPeriod,EDATE(HI$5,IF(GanttPeriod&gt;=90,3,1)))))</formula>
    </cfRule>
    <cfRule type="expression" priority="37" dxfId="31">
      <formula>AND($GY6,ISNUMBER($AQ6),AND($AQ6&gt;0,HI$5&lt;=$AR6,IF(GanttPeriod&lt;28,HI$5+GanttPeriod,EDATE(HI$5,IF(GanttPeriod&gt;=90,3,1)))-1&gt;=$AQ6))</formula>
    </cfRule>
    <cfRule type="expression" priority="38" dxfId="12">
      <formula>AND(StatusDate&gt;0,StatusDate&gt;=HI$5,StatusDate&lt;IF(GanttPeriod&lt;28,HI$5+GanttPeriod,EDATE(HI$5,IF(GanttPeriod&gt;=90,3,1))))</formula>
    </cfRule>
    <cfRule type="expression" priority="39" dxfId="32">
      <formula>AND(GanttPeriod=1,NETWORKDAYS.INTL(HI$5,HI$5,WorkWeek,Holidays)=0)</formula>
    </cfRule>
  </conditionalFormatting>
  <conditionalFormatting sqref="HI5:NB5">
    <cfRule type="expression" priority="40" dxfId="13">
      <formula>AND(StatusDate&gt;0,StatusDate&gt;=HI$5,StatusDate&lt;IF(GanttPeriod&lt;28,HI$5+GanttPeriod,EDATE(HI$5,IF(GanttPeriod&gt;=90,3,1))))</formula>
    </cfRule>
    <cfRule type="expression" priority="41" dxfId="33">
      <formula>GanttPeriod&gt;=28</formula>
    </cfRule>
  </conditionalFormatting>
  <dataValidations count="43">
    <dataValidation sqref="B6:B205" showDropDown="0" showInputMessage="1" showErrorMessage="1" allowBlank="0" errorTitle="UID" error="A UID is a whole number used by no other task: type Settings &gt; NextFreeUID (also at the top of this sheet)." promptTitle="UID" prompt="Pre-filled and permanent: predecessors point at it. A new row: type the Next free UID shown at the top of this sheet. A duplicate is refused." type="custom">
      <formula1>AND(ISNUMBER(B6),B6&gt;=1,B6=INT(B6),COUNTIF(tsk_UID,B6)=1)</formula1>
    </dataValidation>
    <dataValidation sqref="C6:C205" showDropDown="0" showInputMessage="1" showErrorMessage="1" allowBlank="0" errorTitle="Level" error="Outline level must be 1-9 and at most 1 more than the row above." promptTitle="Outline level" prompt="1 = phase, 2 = task, 3 = sub-task. At most 1 more than the row above. A row with deeper rows below it becomes a summary." type="whole" operator="between">
      <formula1>1</formula1>
      <formula2>9</formula2>
    </dataValidation>
    <dataValidation sqref="AK6:AK205" showDropDown="0" showInputMessage="0" showErrorMessage="0" allowBlank="0" type="list">
      <formula1>=L_Mode</formula1>
    </dataValidation>
    <dataValidation sqref="E6:E205" showDropDown="0" showInputMessage="1" showErrorMessage="1" allowBlank="0" errorTitle="Duration" error="Working days: 3, 3d or 2w (a week = 5 days). 0 = a milestone." promptTitle="Duration (working days)" prompt="e.g. 5, 5d or 2w (a week = 5 days). 0 = a milestone. Summaries roll up: leave them blank." type="custom">
      <formula1>OR(AND(ISNUMBER(E6),E6&gt;=0),IFERROR(AND(OR(LOWER(RIGHT(E6,1))="d",LOWER(RIGHT(E6,1))="w"),VALUE(LEFT(E6,LEN(E6)-1))&gt;=0),FALSE))</formula1>
    </dataValidation>
    <dataValidation sqref="AM6:AM205" showDropDown="0" showInputMessage="0" showErrorMessage="1" allowBlank="0" errorTitle="Date" error="Type a date on or after the project start (Start sheet)." type="date" operator="greaterThanOrEqual">
      <formula1>ProjectStart</formula1>
    </dataValidation>
    <dataValidation sqref="AJ6:AJ205" showDropDown="0" showInputMessage="1" showErrorMessage="1" allowBlank="0" errorTitle="Date" error="Type a date on or after the project start (Start sheet)." promptTitle="Deadline" prompt="Optional: the date it must be done by. Issues and the Gantt flag a forecast after it." type="date" operator="greaterThanOrEqual">
      <formula1>ProjectStart</formula1>
    </dataValidation>
    <dataValidation sqref="AC6:AC205" showDropDown="0" showInputMessage="1" showErrorMessage="1" allowBlank="0" errorTitle="Date" error="Type a date on or after the project start (Start sheet)." promptTitle="Actual Start" prompt="The day work really started. Leave blank until it starts." type="date" operator="greaterThanOrEqual">
      <formula1>ProjectStart</formula1>
    </dataValidation>
    <dataValidation sqref="AD6:AD205" showDropDown="0" showInputMessage="1" showErrorMessage="1" allowBlank="0" errorTitle="Date" error="Type a date on or after the project start (Start sheet)." promptTitle="Actual Finish" prompt="The day it really finished: the task counts as 100% complete." type="date" operator="greaterThanOrEqual">
      <formula1>ProjectStart</formula1>
    </dataValidation>
    <dataValidation sqref="AL6:AL205" showDropDown="0" showInputMessage="0" showErrorMessage="0" allowBlank="0" type="list">
      <formula1>=L_Constraint</formula1>
    </dataValidation>
    <dataValidation sqref="AZ6:AZ205" showDropDown="0" showInputMessage="1" showErrorMessage="1" allowBlank="0" error="Enter 0% - 100%." promptTitle="% Complete (optional)" prompt="Only to override the Stage's %: 0% - 100%. Blank = the Stage's %." type="decimal" operator="between">
      <formula1>0</formula1>
      <formula2>1</formula2>
    </dataValidation>
    <dataValidation sqref="AB6:AB205" showDropDown="0" showInputMessage="1" showErrorMessage="0" allowBlank="0" promptTitle="Stage" prompt="Pick where the task is. Its % Complete comes from Settings &gt; Stages. Enter Actual Start once it has started and Actual Finish at Complete." type="list">
      <formula1>=L_Stage</formula1>
    </dataValidation>
    <dataValidation sqref="AA6:AA205" showDropDown="0" showInputMessage="1" showErrorMessage="0" allowBlank="0" promptTitle="Resources (typed)" prompt="Used only while Res1-4 are blank: e.g. Alex Chen, JL[50%]. Pasted or imported plans land here." type="list">
      <formula1>=res_Name</formula1>
    </dataValidation>
    <dataValidation sqref="BI6:BI205" showDropDown="0" showInputMessage="0" showErrorMessage="0" allowBlank="0" type="decimal" operator="greaterThanOrEqual">
      <formula1>0</formula1>
    </dataValidation>
    <dataValidation sqref="D6:D205" showDropDown="0" showInputMessage="1" showErrorMessage="0" allowBlank="1" promptTitle="Task name" prompt="What the task is, e.g. Build login page. Leave the row blank to end the plan."/>
    <dataValidation sqref="AH6:AH205" showDropDown="0" showInputMessage="1" showErrorMessage="0" allowBlank="1" promptTitle="Notes" prompt="Anything worth knowing: assumptions, links, who to ask."/>
    <dataValidation sqref="R6:R205" showDropDown="0" showInputMessage="1" showErrorMessage="0" allowBlank="1" promptTitle="Predecessors (typed)" prompt="Used only while Pred1-4 are blank: e.g. 12, 14SS+2d (by UID). Pasted or imported plans land here."/>
    <dataValidation sqref="BF6:BF205" showDropDown="0" showInputMessage="1" showErrorMessage="0" allowBlank="1" promptTitle="Owner (phases)" prompt="Optional: who answers for this phase. The Roadmap shows it on the phase's row."/>
    <dataValidation sqref="F6:F205" showDropDown="0" showInputMessage="1" showErrorMessage="0" allowBlank="0" promptTitle="Predecessor 1" prompt="Pick the task that must come first, or type its UID or its exact name. It must be a detail task listed above this one." type="list">
      <formula1>=INDEX(tsk_PickList,1):INDEX(tsk_PickList,MAX(1,COUNTIF($CH$5:$CH5,1)))</formula1>
    </dataValidation>
    <dataValidation sqref="I6:I205" showDropDown="0" showInputMessage="1" showErrorMessage="0" allowBlank="0" promptTitle="Predecessor 2" prompt="Pick the task that must come first, or type its UID or its exact name. It must be a detail task listed above this one." type="list">
      <formula1>=INDEX(tsk_PickList,1):INDEX(tsk_PickList,MAX(1,COUNTIF($CH$5:$CH5,1)))</formula1>
    </dataValidation>
    <dataValidation sqref="L6:L205" showDropDown="0" showInputMessage="1" showErrorMessage="0" allowBlank="0" promptTitle="Predecessor 3" prompt="Pick the task that must come first, or type its UID or its exact name. It must be a detail task listed above this one." type="list">
      <formula1>=INDEX(tsk_PickList,1):INDEX(tsk_PickList,MAX(1,COUNTIF($CH$5:$CH5,1)))</formula1>
    </dataValidation>
    <dataValidation sqref="O6:O205" showDropDown="0" showInputMessage="1" showErrorMessage="0" allowBlank="0" promptTitle="Predecessor 4" prompt="Pick the task that must come first, or type its UID or its exact name. It must be a detail task listed above this one." type="list">
      <formula1>=INDEX(tsk_PickList,1):INDEX(tsk_PickList,MAX(1,COUNTIF($CH$5:$CH5,1)))</formula1>
    </dataValidation>
    <dataValidation sqref="G6:G205" showDropDown="0" showInputMessage="1" showErrorMessage="0" allowBlank="0" promptTitle="Link type 1" prompt="Blank or FS = after it finishes; SS = after it starts; FF = finish together; SF = finish after it starts." type="list">
      <formula1>=L_DepType</formula1>
    </dataValidation>
    <dataValidation sqref="J6:J205" showDropDown="0" showInputMessage="1" showErrorMessage="0" allowBlank="0" promptTitle="Link type 2" prompt="Blank or FS = after it finishes; SS = after it starts; FF = finish together; SF = finish after it starts." type="list">
      <formula1>=L_DepType</formula1>
    </dataValidation>
    <dataValidation sqref="M6:M205" showDropDown="0" showInputMessage="1" showErrorMessage="0" allowBlank="0" promptTitle="Link type 3" prompt="Blank or FS = after it finishes; SS = after it starts; FF = finish together; SF = finish after it starts." type="list">
      <formula1>=L_DepType</formula1>
    </dataValidation>
    <dataValidation sqref="P6:P205" showDropDown="0" showInputMessage="1" showErrorMessage="0" allowBlank="0" promptTitle="Link type 4" prompt="Blank or FS = after it finishes; SS = after it starts; FF = finish together; SF = finish after it starts." type="list">
      <formula1>=L_DepType</formula1>
    </dataValidation>
    <dataValidation sqref="H6:H205" showDropDown="0" showInputMessage="1" showErrorMessage="1" allowBlank="0" error="Lag in working days, e.g. 2 or -1." promptTitle="Lag 1 (working days)" prompt="Optional: days to wait after the link, e.g. 2. Negative = a lead (overlap), e.g. -1." type="decimal" operator="between">
      <formula1>-999</formula1>
      <formula2>999</formula2>
    </dataValidation>
    <dataValidation sqref="K6:K205" showDropDown="0" showInputMessage="1" showErrorMessage="1" allowBlank="0" error="Lag in working days, e.g. 2 or -1." promptTitle="Lag 2 (working days)" prompt="Optional: days to wait after the link, e.g. 2. Negative = a lead (overlap), e.g. -1." type="decimal" operator="between">
      <formula1>-999</formula1>
      <formula2>999</formula2>
    </dataValidation>
    <dataValidation sqref="N6:N205" showDropDown="0" showInputMessage="1" showErrorMessage="1" allowBlank="0" error="Lag in working days, e.g. 2 or -1." promptTitle="Lag 3 (working days)" prompt="Optional: days to wait after the link, e.g. 2. Negative = a lead (overlap), e.g. -1." type="decimal" operator="between">
      <formula1>-999</formula1>
      <formula2>999</formula2>
    </dataValidation>
    <dataValidation sqref="Q6:Q205" showDropDown="0" showInputMessage="1" showErrorMessage="1" allowBlank="0" error="Lag in working days, e.g. 2 or -1." promptTitle="Lag 4 (working days)" prompt="Optional: days to wait after the link, e.g. 2. Negative = a lead (overlap), e.g. -1." type="decimal" operator="between">
      <formula1>-999</formula1>
      <formula2>999</formula2>
    </dataValidation>
    <dataValidation sqref="S6:S205" showDropDown="0" showInputMessage="1" showErrorMessage="0" allowBlank="0" promptTitle="Resource 1" prompt="Pick a person from Resources (add people there first)." type="list">
      <formula1>=res_Name</formula1>
    </dataValidation>
    <dataValidation sqref="U6:U205" showDropDown="0" showInputMessage="1" showErrorMessage="0" allowBlank="0" promptTitle="Resource 2" prompt="Pick a person from Resources (add people there first)." type="list">
      <formula1>=res_Name</formula1>
    </dataValidation>
    <dataValidation sqref="W6:W205" showDropDown="0" showInputMessage="1" showErrorMessage="0" allowBlank="0" promptTitle="Resource 3" prompt="Pick a person from Resources (add people there first)." type="list">
      <formula1>=res_Name</formula1>
    </dataValidation>
    <dataValidation sqref="Y6:Y205" showDropDown="0" showInputMessage="1" showErrorMessage="0" allowBlank="0" promptTitle="Resource 4" prompt="Pick a person from Resources (add people there first)." type="list">
      <formula1>=res_Name</formula1>
    </dataValidation>
    <dataValidation sqref="T6:T205" showDropDown="0" showInputMessage="1" showErrorMessage="1" allowBlank="0" error="A share of their time: 0% - 100%." promptTitle="Units 1" prompt="Optional: their share of time on this task, e.g. 50%. Blank = Settings &gt; DefaultUnits." type="decimal" operator="between">
      <formula1>0</formula1>
      <formula2>1</formula2>
    </dataValidation>
    <dataValidation sqref="V6:V205" showDropDown="0" showInputMessage="1" showErrorMessage="1" allowBlank="0" error="A share of their time: 0% - 100%." promptTitle="Units 2" prompt="Optional: their share of time on this task, e.g. 50%. Blank = Settings &gt; DefaultUnits." type="decimal" operator="between">
      <formula1>0</formula1>
      <formula2>1</formula2>
    </dataValidation>
    <dataValidation sqref="X6:X205" showDropDown="0" showInputMessage="1" showErrorMessage="1" allowBlank="0" error="A share of their time: 0% - 100%." promptTitle="Units 3" prompt="Optional: their share of time on this task, e.g. 50%. Blank = Settings &gt; DefaultUnits." type="decimal" operator="between">
      <formula1>0</formula1>
      <formula2>1</formula2>
    </dataValidation>
    <dataValidation sqref="Z6:Z205" showDropDown="0" showInputMessage="1" showErrorMessage="1" allowBlank="0" error="A share of their time: 0% - 100%." promptTitle="Units 4" prompt="Optional: their share of time on this task, e.g. 50%. Blank = Settings &gt; DefaultUnits." type="decimal" operator="between">
      <formula1>0</formula1>
      <formula2>1</formula2>
    </dataValidation>
    <dataValidation sqref="BY6:BY205" showDropDown="0" showInputMessage="1" showErrorMessage="1" allowBlank="0" error="Working days, e.g. 4." promptTitle="Optimistic (working days)" prompt="The fewest days it could take if all goes well. With Pessimistic it gives the Expected duration and the P50 / P80 finish on Status." type="decimal" operator="greaterThanOrEqual">
      <formula1>0</formula1>
    </dataValidation>
    <dataValidation sqref="BZ6:BZ205" showDropDown="0" showInputMessage="1" showErrorMessage="1" allowBlank="0" error="Working days, e.g. 4." promptTitle="Pessimistic (working days)" prompt="The most days it could take if things go wrong (not a disaster)." type="decimal" operator="greaterThanOrEqual">
      <formula1>0</formula1>
    </dataValidation>
    <dataValidation sqref="CA6:CA205" showDropDown="0" showInputMessage="1" showErrorMessage="1" allowBlank="0" errorTitle="Sandbox Duration" error="Working days: 3, 3d or 2w (a week = 5 days)." promptTitle="Sandbox Duration (what-if)" prompt="Try another duration (3, 3d or 2w) without changing the plan: it is used only while Settings &gt; Sandbox = Yes." type="custom">
      <formula1>OR(AND(ISNUMBER(CA6),CA6&gt;=0),IFERROR(AND(OR(LOWER(RIGHT(CA6,1))="d",LOWER(RIGHT(CA6,1))="w"),VALUE(LEFT(CA6,LEN(CA6)-1))&gt;=0),FALSE))</formula1>
    </dataValidation>
    <dataValidation sqref="BU6:BU205" showDropDown="0" showInputMessage="1" showErrorMessage="0" allowBlank="0" promptTitle="Accountable (RACI)" prompt="The one person who answers for the task. Responsible = its Resources." type="list">
      <formula1>=res_Name</formula1>
    </dataValidation>
    <dataValidation sqref="BV6:BV205" showDropDown="0" showInputMessage="1" showErrorMessage="0" allowBlank="1" promptTitle="Consulted (RACI)" prompt="People whose input is needed, comma-separated."/>
    <dataValidation sqref="BW6:BW205" showDropDown="0" showInputMessage="1" showErrorMessage="0" allowBlank="1" promptTitle="Informed (RACI)" prompt="People kept up to date, comma-separated."/>
  </dataValidations>
  <hyperlinks>
    <hyperlink ref="AA3" location="Tasks!HI5"/>
  </hyperlink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sheetPr>
  <dimension ref="A1:BA10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2" customWidth="1" min="2" max="2"/>
    <col width="9"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hidden="1"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 width="3.6" customWidth="1" min="25" max="25"/>
    <col width="3.6" customWidth="1" min="26" max="26"/>
    <col width="3.6" customWidth="1" min="27" max="27"/>
    <col width="3.6" customWidth="1" min="28" max="28"/>
    <col width="3.6" customWidth="1" min="29" max="29"/>
    <col width="3.6" customWidth="1" min="30" max="30"/>
    <col width="3.6" customWidth="1" min="31" max="31"/>
    <col width="3.6" customWidth="1" min="32" max="32"/>
    <col width="3.6" customWidth="1" min="33" max="33"/>
    <col width="3.6" customWidth="1" min="34" max="34"/>
    <col width="26" customWidth="1" min="35" max="35"/>
    <col width="18" customWidth="1" min="36" max="36"/>
    <col hidden="1" width="6" customWidth="1" min="37" max="37"/>
    <col hidden="1" width="8"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s>
  <sheetData>
    <row r="1">
      <c r="A1" s="14" t="inlineStr">
        <is>
          <t>Resource Sheet</t>
        </is>
      </c>
    </row>
    <row r="2">
      <c r="A2" s="2" t="inlineStr">
        <is>
          <t>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is>
      </c>
    </row>
    <row r="3"/>
    <row r="4"/>
    <row r="5">
      <c r="B5" s="18" t="inlineStr">
        <is>
          <t>Resource Name</t>
        </is>
      </c>
      <c r="C5" s="18" t="inlineStr">
        <is>
          <t>Initials</t>
        </is>
      </c>
      <c r="D5" s="18" t="inlineStr">
        <is>
          <t>Group</t>
        </is>
      </c>
      <c r="E5" s="18" t="inlineStr">
        <is>
          <t>Type</t>
        </is>
      </c>
      <c r="F5" s="18" t="inlineStr">
        <is>
          <t>Allocation %</t>
        </is>
      </c>
      <c r="G5" s="18" t="inlineStr">
        <is>
          <t>Start</t>
        </is>
      </c>
      <c r="H5" s="18" t="inlineStr">
        <is>
          <t>End</t>
        </is>
      </c>
      <c r="I5" s="18" t="inlineStr">
        <is>
          <t>Focus %</t>
        </is>
      </c>
      <c r="J5" s="18" t="inlineStr">
        <is>
          <t>Email</t>
        </is>
      </c>
      <c r="K5" s="17" t="inlineStr">
        <is>
          <t>Tasks</t>
        </is>
      </c>
      <c r="L5" s="17" t="inlineStr">
        <is>
          <t>Work</t>
        </is>
      </c>
      <c r="M5" s="18" t="inlineStr">
        <is>
          <t>Notes</t>
        </is>
      </c>
      <c r="N5" s="17" t="inlineStr">
        <is>
          <t>Accountable For</t>
        </is>
      </c>
      <c r="O5" s="17" t="inlineStr">
        <is>
          <t>Consulted On</t>
        </is>
      </c>
      <c r="P5" s="17" t="inlineStr">
        <is>
          <t>Informed Of</t>
        </is>
      </c>
      <c r="Q5" s="41" t="inlineStr">
        <is>
          <t>_Focus</t>
        </is>
      </c>
      <c r="R5" s="18" t="inlineStr">
        <is>
          <t>Jan-26</t>
        </is>
      </c>
      <c r="S5" s="18" t="inlineStr">
        <is>
          <t>Feb-26</t>
        </is>
      </c>
      <c r="T5" s="18" t="inlineStr">
        <is>
          <t>Mar-26</t>
        </is>
      </c>
      <c r="U5" s="18" t="inlineStr">
        <is>
          <t>Apr-26</t>
        </is>
      </c>
      <c r="V5" s="18" t="inlineStr">
        <is>
          <t>May-26</t>
        </is>
      </c>
      <c r="W5" s="18" t="inlineStr">
        <is>
          <t>Jun-26</t>
        </is>
      </c>
      <c r="X5" s="18" t="inlineStr">
        <is>
          <t>Jul-26</t>
        </is>
      </c>
      <c r="Y5" s="18" t="inlineStr">
        <is>
          <t>Aug-26</t>
        </is>
      </c>
      <c r="Z5" s="18" t="inlineStr">
        <is>
          <t>Sep-26</t>
        </is>
      </c>
      <c r="AA5" s="18" t="inlineStr">
        <is>
          <t>Oct-26</t>
        </is>
      </c>
      <c r="AB5" s="18" t="inlineStr">
        <is>
          <t>Nov-26</t>
        </is>
      </c>
      <c r="AC5" s="18" t="inlineStr">
        <is>
          <t>Dec-26</t>
        </is>
      </c>
      <c r="AD5" s="18" t="inlineStr">
        <is>
          <t>Jan-27</t>
        </is>
      </c>
      <c r="AE5" s="18" t="inlineStr">
        <is>
          <t>Feb-27</t>
        </is>
      </c>
      <c r="AF5" s="18" t="inlineStr">
        <is>
          <t>Mar-27</t>
        </is>
      </c>
      <c r="AG5" s="18" t="inlineStr">
        <is>
          <t>Apr-27</t>
        </is>
      </c>
      <c r="AH5" s="18" t="inlineStr">
        <is>
          <t>May-27</t>
        </is>
      </c>
      <c r="AI5" s="18" t="inlineStr">
        <is>
          <t>Jun-27</t>
        </is>
      </c>
      <c r="AJ5" s="18" t="inlineStr">
        <is>
          <t>Jul-27</t>
        </is>
      </c>
      <c r="AK5" s="18" t="inlineStr">
        <is>
          <t>Aug-27</t>
        </is>
      </c>
      <c r="AL5" s="18" t="inlineStr">
        <is>
          <t>Sep-27</t>
        </is>
      </c>
      <c r="AM5" s="18" t="inlineStr">
        <is>
          <t>Oct-27</t>
        </is>
      </c>
      <c r="AN5" s="18" t="inlineStr">
        <is>
          <t>Nov-27</t>
        </is>
      </c>
      <c r="AO5" s="18" t="inlineStr">
        <is>
          <t>Dec-27</t>
        </is>
      </c>
      <c r="AP5" s="18" t="inlineStr">
        <is>
          <t>Jan-28</t>
        </is>
      </c>
      <c r="AQ5" s="18" t="inlineStr">
        <is>
          <t>Feb-28</t>
        </is>
      </c>
      <c r="AR5" s="18" t="inlineStr">
        <is>
          <t>Mar-28</t>
        </is>
      </c>
      <c r="AS5" s="18" t="inlineStr">
        <is>
          <t>Apr-28</t>
        </is>
      </c>
      <c r="AT5" s="18" t="inlineStr">
        <is>
          <t>May-28</t>
        </is>
      </c>
      <c r="AU5" s="18" t="inlineStr">
        <is>
          <t>Jun-28</t>
        </is>
      </c>
      <c r="AV5" s="18" t="inlineStr">
        <is>
          <t>Jul-28</t>
        </is>
      </c>
      <c r="AW5" s="18" t="inlineStr">
        <is>
          <t>Aug-28</t>
        </is>
      </c>
      <c r="AX5" s="18" t="inlineStr">
        <is>
          <t>Sep-28</t>
        </is>
      </c>
      <c r="AY5" s="18" t="inlineStr">
        <is>
          <t>Oct-28</t>
        </is>
      </c>
      <c r="AZ5" s="18" t="inlineStr">
        <is>
          <t>Nov-28</t>
        </is>
      </c>
      <c r="BA5" s="18" t="inlineStr">
        <is>
          <t>Dec-28</t>
        </is>
      </c>
    </row>
    <row r="6">
      <c r="B6" s="23" t="inlineStr">
        <is>
          <t>Priya Sharma</t>
        </is>
      </c>
      <c r="C6" s="23" t="inlineStr">
        <is>
          <t>PS</t>
        </is>
      </c>
      <c r="D6" s="23" t="inlineStr">
        <is>
          <t>Project Manager</t>
        </is>
      </c>
      <c r="E6" s="23" t="inlineStr">
        <is>
          <t>Work</t>
        </is>
      </c>
      <c r="F6" s="63" t="n">
        <v>0.5</v>
      </c>
      <c r="G6" s="7" t="n"/>
      <c r="H6" s="7" t="n"/>
      <c r="I6" s="63" t="n">
        <v>0</v>
      </c>
      <c r="J6" s="23" t="inlineStr">
        <is>
          <t>priya@example.com</t>
        </is>
      </c>
      <c r="K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6" s="23" t="n"/>
      <c r="N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6" s="67">
        <f>IF(ResourceTable[[#This Row],[Resource Name]]="","",COUNTIF(tsk_Informed,ResourceTable[[#This Row],[Resource Name]])+COUNTIF(tsk_Informed,ResourceTable[[#This Row],[Resource Name]]&amp;",*")+COUNTIF(tsk_Informed,"*, "&amp;ResourceTable[[#This Row],[Resource Name]])+COUNTIF(tsk_Informed,"*, "&amp;ResourceTable[[#This Row],[Resource Name]]&amp;",*"))</f>
        <v/>
      </c>
      <c r="Q6" s="90">
        <f>IF(ResourceTable[[#This Row],[Focus %]]="",FocusFactor,N(ResourceTable[[#This Row],[Focus %]]))</f>
        <v/>
      </c>
      <c r="R6" s="23" t="n"/>
      <c r="S6" s="23" t="n"/>
      <c r="T6" s="23" t="n"/>
      <c r="U6" s="23" t="n"/>
      <c r="V6" s="23" t="n"/>
      <c r="W6" s="23" t="n"/>
      <c r="X6" s="23" t="n"/>
      <c r="Y6" s="23" t="n"/>
      <c r="Z6" s="23" t="n"/>
      <c r="AA6" s="23" t="n"/>
      <c r="AB6" s="23" t="n"/>
      <c r="AC6" s="23" t="n"/>
      <c r="AD6" s="23" t="n"/>
      <c r="AE6" s="23" t="n"/>
      <c r="AF6" s="23" t="n"/>
      <c r="AG6" s="23" t="n"/>
      <c r="AH6" s="23" t="n"/>
      <c r="AI6" s="23" t="n"/>
      <c r="AJ6" s="23" t="n"/>
      <c r="AK6" s="23" t="n"/>
      <c r="AL6" s="23" t="n"/>
      <c r="AM6" s="23" t="n"/>
      <c r="AN6" s="23" t="n"/>
      <c r="AO6" s="23" t="n"/>
      <c r="AP6" s="23" t="n"/>
      <c r="AQ6" s="23" t="n"/>
      <c r="AR6" s="23" t="n"/>
      <c r="AS6" s="23" t="n"/>
      <c r="AT6" s="23" t="n"/>
      <c r="AU6" s="23" t="n"/>
      <c r="AV6" s="23" t="n"/>
      <c r="AW6" s="23" t="n"/>
      <c r="AX6" s="23" t="n"/>
      <c r="AY6" s="23" t="n"/>
      <c r="AZ6" s="23" t="n"/>
      <c r="BA6" s="23" t="n"/>
    </row>
    <row r="7">
      <c r="B7" s="23" t="inlineStr">
        <is>
          <t>Morgan Patel</t>
        </is>
      </c>
      <c r="C7" s="23" t="inlineStr">
        <is>
          <t>MP</t>
        </is>
      </c>
      <c r="D7" s="23" t="inlineStr">
        <is>
          <t>Business Analyst</t>
        </is>
      </c>
      <c r="E7" s="23" t="inlineStr">
        <is>
          <t>Work</t>
        </is>
      </c>
      <c r="F7" s="63" t="n">
        <v>1</v>
      </c>
      <c r="G7" s="7" t="n"/>
      <c r="H7" s="7" t="n"/>
      <c r="I7" s="63" t="n"/>
      <c r="J7" s="23" t="inlineStr">
        <is>
          <t>morgan@example.com</t>
        </is>
      </c>
      <c r="K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7" s="23" t="n"/>
      <c r="N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7" s="67">
        <f>IF(ResourceTable[[#This Row],[Resource Name]]="","",COUNTIF(tsk_Informed,ResourceTable[[#This Row],[Resource Name]])+COUNTIF(tsk_Informed,ResourceTable[[#This Row],[Resource Name]]&amp;",*")+COUNTIF(tsk_Informed,"*, "&amp;ResourceTable[[#This Row],[Resource Name]])+COUNTIF(tsk_Informed,"*, "&amp;ResourceTable[[#This Row],[Resource Name]]&amp;",*"))</f>
        <v/>
      </c>
      <c r="Q7" s="90">
        <f>IF(ResourceTable[[#This Row],[Focus %]]="",FocusFactor,N(ResourceTable[[#This Row],[Focus %]]))</f>
        <v/>
      </c>
      <c r="R7" s="23" t="n"/>
      <c r="S7" s="23" t="n"/>
      <c r="T7" s="23" t="n"/>
      <c r="U7" s="23" t="n"/>
      <c r="V7" s="23" t="n"/>
      <c r="W7" s="23" t="n"/>
      <c r="X7" s="23" t="n"/>
      <c r="Y7" s="23" t="n"/>
      <c r="Z7" s="23" t="n"/>
      <c r="AA7" s="23" t="n"/>
      <c r="AB7" s="23" t="n"/>
      <c r="AC7" s="23" t="inlineStr">
        <is>
          <t>28, 29, 30</t>
        </is>
      </c>
      <c r="AD7" s="23" t="n"/>
      <c r="AE7" s="23" t="n"/>
      <c r="AF7" s="23" t="n"/>
      <c r="AG7" s="23" t="n"/>
      <c r="AH7" s="23" t="n"/>
      <c r="AI7" s="23" t="n"/>
      <c r="AJ7" s="23" t="n"/>
      <c r="AK7" s="23" t="n"/>
      <c r="AL7" s="23" t="n"/>
      <c r="AM7" s="23" t="n"/>
      <c r="AN7" s="23" t="n"/>
      <c r="AO7" s="23" t="n"/>
      <c r="AP7" s="23" t="n"/>
      <c r="AQ7" s="23" t="n"/>
      <c r="AR7" s="23" t="n"/>
      <c r="AS7" s="23" t="n"/>
      <c r="AT7" s="23" t="n"/>
      <c r="AU7" s="23" t="n"/>
      <c r="AV7" s="23" t="n"/>
      <c r="AW7" s="23" t="n"/>
      <c r="AX7" s="23" t="n"/>
      <c r="AY7" s="23" t="n"/>
      <c r="AZ7" s="23" t="n"/>
      <c r="BA7" s="23" t="n"/>
    </row>
    <row r="8">
      <c r="B8" s="23" t="inlineStr">
        <is>
          <t>Alex Chen</t>
        </is>
      </c>
      <c r="C8" s="23" t="inlineStr">
        <is>
          <t>AC</t>
        </is>
      </c>
      <c r="D8" s="23" t="inlineStr">
        <is>
          <t>Solution Architect</t>
        </is>
      </c>
      <c r="E8" s="23" t="inlineStr">
        <is>
          <t>Work</t>
        </is>
      </c>
      <c r="F8" s="63" t="n">
        <v>0.5</v>
      </c>
      <c r="G8" s="7" t="n"/>
      <c r="H8" s="7" t="n"/>
      <c r="I8" s="63" t="n">
        <v>0</v>
      </c>
      <c r="J8" s="23" t="inlineStr">
        <is>
          <t>alex@example.com</t>
        </is>
      </c>
      <c r="K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8" s="23" t="n"/>
      <c r="N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8" s="67">
        <f>IF(ResourceTable[[#This Row],[Resource Name]]="","",COUNTIF(tsk_Informed,ResourceTable[[#This Row],[Resource Name]])+COUNTIF(tsk_Informed,ResourceTable[[#This Row],[Resource Name]]&amp;",*")+COUNTIF(tsk_Informed,"*, "&amp;ResourceTable[[#This Row],[Resource Name]])+COUNTIF(tsk_Informed,"*, "&amp;ResourceTable[[#This Row],[Resource Name]]&amp;",*"))</f>
        <v/>
      </c>
      <c r="Q8" s="90">
        <f>IF(ResourceTable[[#This Row],[Focus %]]="",FocusFactor,N(ResourceTable[[#This Row],[Focus %]]))</f>
        <v/>
      </c>
      <c r="R8" s="23" t="n"/>
      <c r="S8" s="23" t="n"/>
      <c r="T8" s="23" t="n"/>
      <c r="U8" s="23" t="n"/>
      <c r="V8" s="23" t="n"/>
      <c r="W8" s="23" t="n"/>
      <c r="X8" s="23" t="n"/>
      <c r="Y8" s="23" t="n"/>
      <c r="Z8" s="23" t="n"/>
      <c r="AA8" s="23" t="n"/>
      <c r="AB8" s="23" t="n"/>
      <c r="AC8" s="23" t="n"/>
      <c r="AD8" s="23" t="n"/>
      <c r="AE8" s="23" t="n"/>
      <c r="AF8" s="23" t="n"/>
      <c r="AG8" s="23" t="n"/>
      <c r="AH8" s="23" t="n"/>
      <c r="AI8" s="23" t="n"/>
      <c r="AJ8" s="23" t="n"/>
      <c r="AK8" s="23" t="n"/>
      <c r="AL8" s="23" t="n"/>
      <c r="AM8" s="23" t="n"/>
      <c r="AN8" s="23" t="n"/>
      <c r="AO8" s="23" t="n"/>
      <c r="AP8" s="23" t="n"/>
      <c r="AQ8" s="23" t="n"/>
      <c r="AR8" s="23" t="n"/>
      <c r="AS8" s="23" t="n"/>
      <c r="AT8" s="23" t="n"/>
      <c r="AU8" s="23" t="n"/>
      <c r="AV8" s="23" t="n"/>
      <c r="AW8" s="23" t="n"/>
      <c r="AX8" s="23" t="n"/>
      <c r="AY8" s="23" t="n"/>
      <c r="AZ8" s="23" t="n"/>
      <c r="BA8" s="23" t="n"/>
    </row>
    <row r="9">
      <c r="B9" s="23" t="inlineStr">
        <is>
          <t>Casey Kim</t>
        </is>
      </c>
      <c r="C9" s="23" t="inlineStr">
        <is>
          <t>CK</t>
        </is>
      </c>
      <c r="D9" s="23" t="inlineStr">
        <is>
          <t>UX Designer</t>
        </is>
      </c>
      <c r="E9" s="23" t="inlineStr">
        <is>
          <t>Work</t>
        </is>
      </c>
      <c r="F9" s="63" t="n">
        <v>1</v>
      </c>
      <c r="G9" s="7" t="n"/>
      <c r="H9" s="7" t="n"/>
      <c r="I9" s="63" t="n"/>
      <c r="J9" s="23" t="inlineStr">
        <is>
          <t>casey@example.com</t>
        </is>
      </c>
      <c r="K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9" s="23" t="n"/>
      <c r="N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9" s="67">
        <f>IF(ResourceTable[[#This Row],[Resource Name]]="","",COUNTIF(tsk_Informed,ResourceTable[[#This Row],[Resource Name]])+COUNTIF(tsk_Informed,ResourceTable[[#This Row],[Resource Name]]&amp;",*")+COUNTIF(tsk_Informed,"*, "&amp;ResourceTable[[#This Row],[Resource Name]])+COUNTIF(tsk_Informed,"*, "&amp;ResourceTable[[#This Row],[Resource Name]]&amp;",*"))</f>
        <v/>
      </c>
      <c r="Q9" s="90">
        <f>IF(ResourceTable[[#This Row],[Focus %]]="",FocusFactor,N(ResourceTable[[#This Row],[Focus %]]))</f>
        <v/>
      </c>
      <c r="R9" s="23" t="n"/>
      <c r="S9" s="23" t="n"/>
      <c r="T9" s="23" t="n"/>
      <c r="U9" s="23" t="n"/>
      <c r="V9" s="23" t="n"/>
      <c r="W9" s="23" t="n"/>
      <c r="X9" s="23" t="n"/>
      <c r="Y9" s="23" t="n"/>
      <c r="Z9" s="23" t="n"/>
      <c r="AA9" s="23" t="n"/>
      <c r="AB9" s="23" t="n"/>
      <c r="AC9" s="23" t="n"/>
      <c r="AD9" s="23" t="n"/>
      <c r="AE9" s="23" t="n"/>
      <c r="AF9" s="23" t="n"/>
      <c r="AG9" s="23" t="n"/>
      <c r="AH9" s="23" t="n"/>
      <c r="AI9" s="23" t="n"/>
      <c r="AJ9" s="23" t="n"/>
      <c r="AK9" s="23" t="n"/>
      <c r="AL9" s="23" t="n"/>
      <c r="AM9" s="23" t="n"/>
      <c r="AN9" s="23" t="n"/>
      <c r="AO9" s="23" t="n"/>
      <c r="AP9" s="23" t="n"/>
      <c r="AQ9" s="23" t="n"/>
      <c r="AR9" s="23" t="n"/>
      <c r="AS9" s="23" t="n"/>
      <c r="AT9" s="23" t="n"/>
      <c r="AU9" s="23" t="n"/>
      <c r="AV9" s="23" t="n"/>
      <c r="AW9" s="23" t="n"/>
      <c r="AX9" s="23" t="n"/>
      <c r="AY9" s="23" t="n"/>
      <c r="AZ9" s="23" t="n"/>
      <c r="BA9" s="23" t="n"/>
    </row>
    <row r="10">
      <c r="B10" s="23" t="inlineStr">
        <is>
          <t>Jordan Lee</t>
        </is>
      </c>
      <c r="C10" s="23" t="inlineStr">
        <is>
          <t>JL</t>
        </is>
      </c>
      <c r="D10" s="23" t="inlineStr">
        <is>
          <t>Backend Developer</t>
        </is>
      </c>
      <c r="E10" s="23" t="inlineStr">
        <is>
          <t>Work</t>
        </is>
      </c>
      <c r="F10" s="63" t="n">
        <v>1</v>
      </c>
      <c r="G10" s="7" t="n"/>
      <c r="H10" s="7" t="n"/>
      <c r="I10" s="63" t="n"/>
      <c r="J10" s="23" t="inlineStr">
        <is>
          <t>jordan@example.com</t>
        </is>
      </c>
      <c r="K1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0" s="23" t="n"/>
      <c r="N1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0" s="67">
        <f>IF(ResourceTable[[#This Row],[Resource Name]]="","",COUNTIF(tsk_Informed,ResourceTable[[#This Row],[Resource Name]])+COUNTIF(tsk_Informed,ResourceTable[[#This Row],[Resource Name]]&amp;",*")+COUNTIF(tsk_Informed,"*, "&amp;ResourceTable[[#This Row],[Resource Name]])+COUNTIF(tsk_Informed,"*, "&amp;ResourceTable[[#This Row],[Resource Name]]&amp;",*"))</f>
        <v/>
      </c>
      <c r="Q10" s="90">
        <f>IF(ResourceTable[[#This Row],[Focus %]]="",FocusFactor,N(ResourceTable[[#This Row],[Focus %]]))</f>
        <v/>
      </c>
      <c r="R10" s="23" t="n"/>
      <c r="S10" s="23" t="n"/>
      <c r="T10" s="23" t="n"/>
      <c r="U10" s="23" t="n"/>
      <c r="V10" s="23" t="n"/>
      <c r="W10" s="23" t="n"/>
      <c r="X10" s="23" t="n"/>
      <c r="Y10" s="23" t="n"/>
      <c r="Z10" s="23" t="n"/>
      <c r="AA10" s="23" t="n"/>
      <c r="AB10" s="23" t="n"/>
      <c r="AC10" s="23" t="n"/>
      <c r="AD10" s="23" t="n"/>
      <c r="AE10" s="23" t="n"/>
      <c r="AF10" s="23" t="n"/>
      <c r="AG10" s="23" t="n"/>
      <c r="AH10" s="23" t="n"/>
      <c r="AI10" s="23" t="n"/>
      <c r="AJ10" s="23" t="n"/>
      <c r="AK10" s="23" t="n"/>
      <c r="AL10" s="23" t="n"/>
      <c r="AM10" s="23" t="n"/>
      <c r="AN10" s="23" t="n"/>
      <c r="AO10" s="23" t="n"/>
      <c r="AP10" s="23" t="n"/>
      <c r="AQ10" s="23" t="n"/>
      <c r="AR10" s="23" t="n"/>
      <c r="AS10" s="23" t="n"/>
      <c r="AT10" s="23" t="n"/>
      <c r="AU10" s="23" t="n"/>
      <c r="AV10" s="23" t="n"/>
      <c r="AW10" s="23" t="n"/>
      <c r="AX10" s="23" t="n"/>
      <c r="AY10" s="23" t="n"/>
      <c r="AZ10" s="23" t="n"/>
      <c r="BA10" s="23" t="n"/>
    </row>
    <row r="11">
      <c r="B11" s="23" t="inlineStr">
        <is>
          <t>Sam Rivera</t>
        </is>
      </c>
      <c r="C11" s="23" t="inlineStr">
        <is>
          <t>SR</t>
        </is>
      </c>
      <c r="D11" s="23" t="inlineStr">
        <is>
          <t>Frontend Developer</t>
        </is>
      </c>
      <c r="E11" s="23" t="inlineStr">
        <is>
          <t>Work</t>
        </is>
      </c>
      <c r="F11" s="63" t="n">
        <v>1</v>
      </c>
      <c r="G11" s="7" t="n"/>
      <c r="H11" s="7" t="n"/>
      <c r="I11" s="63" t="n"/>
      <c r="J11" s="23" t="inlineStr">
        <is>
          <t>sam@example.com</t>
        </is>
      </c>
      <c r="K1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1" s="23" t="n"/>
      <c r="N1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1" s="67">
        <f>IF(ResourceTable[[#This Row],[Resource Name]]="","",COUNTIF(tsk_Informed,ResourceTable[[#This Row],[Resource Name]])+COUNTIF(tsk_Informed,ResourceTable[[#This Row],[Resource Name]]&amp;",*")+COUNTIF(tsk_Informed,"*, "&amp;ResourceTable[[#This Row],[Resource Name]])+COUNTIF(tsk_Informed,"*, "&amp;ResourceTable[[#This Row],[Resource Name]]&amp;",*"))</f>
        <v/>
      </c>
      <c r="Q11" s="90">
        <f>IF(ResourceTable[[#This Row],[Focus %]]="",FocusFactor,N(ResourceTable[[#This Row],[Focus %]]))</f>
        <v/>
      </c>
      <c r="R11" s="23" t="n"/>
      <c r="S11" s="23" t="n"/>
      <c r="T11" s="23" t="n"/>
      <c r="U11" s="23" t="n"/>
      <c r="V11" s="23" t="n"/>
      <c r="W11" s="23" t="n"/>
      <c r="X11" s="23" t="n"/>
      <c r="Y11" s="23" t="n"/>
      <c r="Z11" s="23" t="n"/>
      <c r="AA11" s="23" t="n"/>
      <c r="AB11" s="23" t="inlineStr">
        <is>
          <t>2(0.5)</t>
        </is>
      </c>
      <c r="AC11" s="23" t="n"/>
      <c r="AD11" s="23" t="n"/>
      <c r="AE11" s="23" t="n"/>
      <c r="AF11" s="23" t="n"/>
      <c r="AG11" s="23" t="n"/>
      <c r="AH11" s="23" t="n"/>
      <c r="AI11" s="23" t="n"/>
      <c r="AJ11" s="23" t="n"/>
      <c r="AK11" s="23" t="n"/>
      <c r="AL11" s="23" t="n"/>
      <c r="AM11" s="23" t="n"/>
      <c r="AN11" s="23" t="n"/>
      <c r="AO11" s="23" t="n"/>
      <c r="AP11" s="23" t="n"/>
      <c r="AQ11" s="23" t="n"/>
      <c r="AR11" s="23" t="n"/>
      <c r="AS11" s="23" t="n"/>
      <c r="AT11" s="23" t="n"/>
      <c r="AU11" s="23" t="n"/>
      <c r="AV11" s="23" t="n"/>
      <c r="AW11" s="23" t="n"/>
      <c r="AX11" s="23" t="n"/>
      <c r="AY11" s="23" t="n"/>
      <c r="AZ11" s="23" t="n"/>
      <c r="BA11" s="23" t="n"/>
    </row>
    <row r="12">
      <c r="B12" s="23" t="inlineStr">
        <is>
          <t>Taylor Morgan</t>
        </is>
      </c>
      <c r="C12" s="23" t="inlineStr">
        <is>
          <t>TM</t>
        </is>
      </c>
      <c r="D12" s="23" t="inlineStr">
        <is>
          <t>QA Engineer</t>
        </is>
      </c>
      <c r="E12" s="23" t="inlineStr">
        <is>
          <t>Work</t>
        </is>
      </c>
      <c r="F12" s="63" t="n">
        <v>1</v>
      </c>
      <c r="G12" s="7" t="n"/>
      <c r="H12" s="7" t="n"/>
      <c r="I12" s="63" t="n"/>
      <c r="J12" s="23" t="inlineStr">
        <is>
          <t>taylor@example.com</t>
        </is>
      </c>
      <c r="K1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2" s="23" t="n"/>
      <c r="N1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2" s="67">
        <f>IF(ResourceTable[[#This Row],[Resource Name]]="","",COUNTIF(tsk_Informed,ResourceTable[[#This Row],[Resource Name]])+COUNTIF(tsk_Informed,ResourceTable[[#This Row],[Resource Name]]&amp;",*")+COUNTIF(tsk_Informed,"*, "&amp;ResourceTable[[#This Row],[Resource Name]])+COUNTIF(tsk_Informed,"*, "&amp;ResourceTable[[#This Row],[Resource Name]]&amp;",*"))</f>
        <v/>
      </c>
      <c r="Q12" s="90">
        <f>IF(ResourceTable[[#This Row],[Focus %]]="",FocusFactor,N(ResourceTable[[#This Row],[Focus %]]))</f>
        <v/>
      </c>
      <c r="R12" s="23" t="n"/>
      <c r="S12" s="23" t="n"/>
      <c r="T12" s="23" t="n"/>
      <c r="U12" s="23" t="n"/>
      <c r="V12" s="23" t="n"/>
      <c r="W12" s="23" t="n"/>
      <c r="X12" s="23" t="n"/>
      <c r="Y12" s="23" t="n"/>
      <c r="Z12" s="23" t="n"/>
      <c r="AA12" s="23" t="n"/>
      <c r="AB12" s="23" t="n"/>
      <c r="AC12" s="23" t="n"/>
      <c r="AD12" s="23" t="n"/>
      <c r="AE12" s="23" t="n"/>
      <c r="AF12" s="23" t="n"/>
      <c r="AG12" s="23" t="n"/>
      <c r="AH12" s="23" t="n"/>
      <c r="AI12" s="23" t="n"/>
      <c r="AJ12" s="23" t="n"/>
      <c r="AK12" s="23" t="n"/>
      <c r="AL12" s="23" t="n"/>
      <c r="AM12" s="23" t="n"/>
      <c r="AN12" s="23" t="n"/>
      <c r="AO12" s="23" t="n"/>
      <c r="AP12" s="23" t="n"/>
      <c r="AQ12" s="23" t="n"/>
      <c r="AR12" s="23" t="n"/>
      <c r="AS12" s="23" t="n"/>
      <c r="AT12" s="23" t="n"/>
      <c r="AU12" s="23" t="n"/>
      <c r="AV12" s="23" t="n"/>
      <c r="AW12" s="23" t="n"/>
      <c r="AX12" s="23" t="n"/>
      <c r="AY12" s="23" t="n"/>
      <c r="AZ12" s="23" t="n"/>
      <c r="BA12" s="23" t="n"/>
    </row>
    <row r="13">
      <c r="B13" s="23" t="n"/>
      <c r="C13" s="23" t="n"/>
      <c r="D13" s="23" t="n"/>
      <c r="E13" s="23" t="n"/>
      <c r="F13" s="63" t="n"/>
      <c r="G13" s="7" t="n"/>
      <c r="H13" s="7" t="n"/>
      <c r="I13" s="63" t="n"/>
      <c r="J13" s="23" t="n"/>
      <c r="K1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t="n"/>
      <c r="N1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3" s="67">
        <f>IF(ResourceTable[[#This Row],[Resource Name]]="","",COUNTIF(tsk_Informed,ResourceTable[[#This Row],[Resource Name]])+COUNTIF(tsk_Informed,ResourceTable[[#This Row],[Resource Name]]&amp;",*")+COUNTIF(tsk_Informed,"*, "&amp;ResourceTable[[#This Row],[Resource Name]])+COUNTIF(tsk_Informed,"*, "&amp;ResourceTable[[#This Row],[Resource Name]]&amp;",*"))</f>
        <v/>
      </c>
      <c r="Q13" s="90">
        <f>IF(ResourceTable[[#This Row],[Focus %]]="",FocusFactor,N(ResourceTable[[#This Row],[Focus %]]))</f>
        <v/>
      </c>
      <c r="R13" s="23" t="n"/>
      <c r="S13" s="23" t="n"/>
      <c r="T13" s="23" t="n"/>
      <c r="U13" s="23" t="n"/>
      <c r="V13" s="23" t="n"/>
      <c r="W13" s="23" t="n"/>
      <c r="X13" s="23" t="n"/>
      <c r="Y13" s="23" t="n"/>
      <c r="Z13" s="23" t="n"/>
      <c r="AA13" s="23" t="n"/>
      <c r="AB13" s="23" t="n"/>
      <c r="AC13" s="23" t="n"/>
      <c r="AD13" s="23" t="n"/>
      <c r="AE13" s="23" t="n"/>
      <c r="AF13" s="23" t="n"/>
      <c r="AG13" s="23" t="n"/>
      <c r="AH13" s="23" t="n"/>
      <c r="AI13" s="23" t="n"/>
      <c r="AJ13" s="23" t="n"/>
      <c r="AK13" s="23" t="n"/>
      <c r="AL13" s="23" t="n"/>
      <c r="AM13" s="23" t="n"/>
      <c r="AN13" s="23" t="n"/>
      <c r="AO13" s="23" t="n"/>
      <c r="AP13" s="23" t="n"/>
      <c r="AQ13" s="23" t="n"/>
      <c r="AR13" s="23" t="n"/>
      <c r="AS13" s="23" t="n"/>
      <c r="AT13" s="23" t="n"/>
      <c r="AU13" s="23" t="n"/>
      <c r="AV13" s="23" t="n"/>
      <c r="AW13" s="23" t="n"/>
      <c r="AX13" s="23" t="n"/>
      <c r="AY13" s="23" t="n"/>
      <c r="AZ13" s="23" t="n"/>
      <c r="BA13" s="23" t="n"/>
    </row>
    <row r="14">
      <c r="B14" s="23" t="n"/>
      <c r="C14" s="23" t="n"/>
      <c r="D14" s="23" t="n"/>
      <c r="E14" s="23" t="n"/>
      <c r="F14" s="63" t="n"/>
      <c r="G14" s="7" t="n"/>
      <c r="H14" s="7" t="n"/>
      <c r="I14" s="63" t="n"/>
      <c r="J14" s="23" t="n"/>
      <c r="K1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t="n"/>
      <c r="N1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4" s="67">
        <f>IF(ResourceTable[[#This Row],[Resource Name]]="","",COUNTIF(tsk_Informed,ResourceTable[[#This Row],[Resource Name]])+COUNTIF(tsk_Informed,ResourceTable[[#This Row],[Resource Name]]&amp;",*")+COUNTIF(tsk_Informed,"*, "&amp;ResourceTable[[#This Row],[Resource Name]])+COUNTIF(tsk_Informed,"*, "&amp;ResourceTable[[#This Row],[Resource Name]]&amp;",*"))</f>
        <v/>
      </c>
      <c r="Q14" s="90">
        <f>IF(ResourceTable[[#This Row],[Focus %]]="",FocusFactor,N(ResourceTable[[#This Row],[Focus %]]))</f>
        <v/>
      </c>
      <c r="R14" s="23" t="n"/>
      <c r="S14" s="23" t="n"/>
      <c r="T14" s="23" t="n"/>
      <c r="U14" s="23" t="n"/>
      <c r="V14" s="23" t="n"/>
      <c r="W14" s="23" t="n"/>
      <c r="X14" s="23" t="n"/>
      <c r="Y14" s="23" t="n"/>
      <c r="Z14" s="23" t="n"/>
      <c r="AA14" s="23" t="n"/>
      <c r="AB14" s="23" t="n"/>
      <c r="AC14" s="23" t="n"/>
      <c r="AD14" s="23" t="n"/>
      <c r="AE14" s="23" t="n"/>
      <c r="AF14" s="23" t="n"/>
      <c r="AG14" s="23" t="n"/>
      <c r="AH14" s="23" t="n"/>
      <c r="AI14" s="23" t="n"/>
      <c r="AJ14" s="23" t="n"/>
      <c r="AK14" s="23" t="n"/>
      <c r="AL14" s="23" t="n"/>
      <c r="AM14" s="23" t="n"/>
      <c r="AN14" s="23" t="n"/>
      <c r="AO14" s="23" t="n"/>
      <c r="AP14" s="23" t="n"/>
      <c r="AQ14" s="23" t="n"/>
      <c r="AR14" s="23" t="n"/>
      <c r="AS14" s="23" t="n"/>
      <c r="AT14" s="23" t="n"/>
      <c r="AU14" s="23" t="n"/>
      <c r="AV14" s="23" t="n"/>
      <c r="AW14" s="23" t="n"/>
      <c r="AX14" s="23" t="n"/>
      <c r="AY14" s="23" t="n"/>
      <c r="AZ14" s="23" t="n"/>
      <c r="BA14" s="23" t="n"/>
    </row>
    <row r="15">
      <c r="B15" s="23" t="n"/>
      <c r="C15" s="23" t="n"/>
      <c r="D15" s="23" t="n"/>
      <c r="E15" s="23" t="n"/>
      <c r="F15" s="63" t="n"/>
      <c r="G15" s="7" t="n"/>
      <c r="H15" s="7" t="n"/>
      <c r="I15" s="63" t="n"/>
      <c r="J15" s="23" t="n"/>
      <c r="K1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t="n"/>
      <c r="N1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5" s="67">
        <f>IF(ResourceTable[[#This Row],[Resource Name]]="","",COUNTIF(tsk_Informed,ResourceTable[[#This Row],[Resource Name]])+COUNTIF(tsk_Informed,ResourceTable[[#This Row],[Resource Name]]&amp;",*")+COUNTIF(tsk_Informed,"*, "&amp;ResourceTable[[#This Row],[Resource Name]])+COUNTIF(tsk_Informed,"*, "&amp;ResourceTable[[#This Row],[Resource Name]]&amp;",*"))</f>
        <v/>
      </c>
      <c r="Q15" s="90">
        <f>IF(ResourceTable[[#This Row],[Focus %]]="",FocusFactor,N(ResourceTable[[#This Row],[Focus %]]))</f>
        <v/>
      </c>
      <c r="R15" s="23" t="n"/>
      <c r="S15" s="23" t="n"/>
      <c r="T15" s="23" t="n"/>
      <c r="U15" s="23" t="n"/>
      <c r="V15" s="23" t="n"/>
      <c r="W15" s="23" t="n"/>
      <c r="X15" s="23" t="n"/>
      <c r="Y15" s="23" t="n"/>
      <c r="Z15" s="23" t="n"/>
      <c r="AA15" s="23" t="n"/>
      <c r="AB15" s="23" t="n"/>
      <c r="AC15" s="23" t="n"/>
      <c r="AD15" s="23" t="n"/>
      <c r="AE15" s="23" t="n"/>
      <c r="AF15" s="23" t="n"/>
      <c r="AG15" s="23" t="n"/>
      <c r="AH15" s="23" t="n"/>
      <c r="AI15" s="23" t="n"/>
      <c r="AJ15" s="23" t="n"/>
      <c r="AK15" s="23" t="n"/>
      <c r="AL15" s="23" t="n"/>
      <c r="AM15" s="23" t="n"/>
      <c r="AN15" s="23" t="n"/>
      <c r="AO15" s="23" t="n"/>
      <c r="AP15" s="23" t="n"/>
      <c r="AQ15" s="23" t="n"/>
      <c r="AR15" s="23" t="n"/>
      <c r="AS15" s="23" t="n"/>
      <c r="AT15" s="23" t="n"/>
      <c r="AU15" s="23" t="n"/>
      <c r="AV15" s="23" t="n"/>
      <c r="AW15" s="23" t="n"/>
      <c r="AX15" s="23" t="n"/>
      <c r="AY15" s="23" t="n"/>
      <c r="AZ15" s="23" t="n"/>
      <c r="BA15" s="23" t="n"/>
    </row>
    <row r="16">
      <c r="B16" s="23" t="n"/>
      <c r="C16" s="23" t="n"/>
      <c r="D16" s="23" t="n"/>
      <c r="E16" s="23" t="n"/>
      <c r="F16" s="63" t="n"/>
      <c r="G16" s="7" t="n"/>
      <c r="H16" s="7" t="n"/>
      <c r="I16" s="63" t="n"/>
      <c r="J16" s="23" t="n"/>
      <c r="K1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t="n"/>
      <c r="N1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6" s="67">
        <f>IF(ResourceTable[[#This Row],[Resource Name]]="","",COUNTIF(tsk_Informed,ResourceTable[[#This Row],[Resource Name]])+COUNTIF(tsk_Informed,ResourceTable[[#This Row],[Resource Name]]&amp;",*")+COUNTIF(tsk_Informed,"*, "&amp;ResourceTable[[#This Row],[Resource Name]])+COUNTIF(tsk_Informed,"*, "&amp;ResourceTable[[#This Row],[Resource Name]]&amp;",*"))</f>
        <v/>
      </c>
      <c r="Q16" s="90">
        <f>IF(ResourceTable[[#This Row],[Focus %]]="",FocusFactor,N(ResourceTable[[#This Row],[Focus %]]))</f>
        <v/>
      </c>
      <c r="R16" s="23" t="n"/>
      <c r="S16" s="23" t="n"/>
      <c r="T16" s="23" t="n"/>
      <c r="U16" s="23" t="n"/>
      <c r="V16" s="23" t="n"/>
      <c r="W16" s="23" t="n"/>
      <c r="X16" s="23" t="n"/>
      <c r="Y16" s="23" t="n"/>
      <c r="Z16" s="23" t="n"/>
      <c r="AA16" s="23" t="n"/>
      <c r="AB16" s="23" t="n"/>
      <c r="AC16" s="23" t="n"/>
      <c r="AD16" s="23" t="n"/>
      <c r="AE16" s="23" t="n"/>
      <c r="AF16" s="23" t="n"/>
      <c r="AG16" s="23" t="n"/>
      <c r="AH16" s="23" t="n"/>
      <c r="AI16" s="23" t="n"/>
      <c r="AJ16" s="23" t="n"/>
      <c r="AK16" s="23" t="n"/>
      <c r="AL16" s="23" t="n"/>
      <c r="AM16" s="23" t="n"/>
      <c r="AN16" s="23" t="n"/>
      <c r="AO16" s="23" t="n"/>
      <c r="AP16" s="23" t="n"/>
      <c r="AQ16" s="23" t="n"/>
      <c r="AR16" s="23" t="n"/>
      <c r="AS16" s="23" t="n"/>
      <c r="AT16" s="23" t="n"/>
      <c r="AU16" s="23" t="n"/>
      <c r="AV16" s="23" t="n"/>
      <c r="AW16" s="23" t="n"/>
      <c r="AX16" s="23" t="n"/>
      <c r="AY16" s="23" t="n"/>
      <c r="AZ16" s="23" t="n"/>
      <c r="BA16" s="23" t="n"/>
    </row>
    <row r="17">
      <c r="B17" s="23" t="n"/>
      <c r="C17" s="23" t="n"/>
      <c r="D17" s="23" t="n"/>
      <c r="E17" s="23" t="n"/>
      <c r="F17" s="63" t="n"/>
      <c r="G17" s="7" t="n"/>
      <c r="H17" s="7" t="n"/>
      <c r="I17" s="63" t="n"/>
      <c r="J17" s="23" t="n"/>
      <c r="K1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t="n"/>
      <c r="N1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7" s="67">
        <f>IF(ResourceTable[[#This Row],[Resource Name]]="","",COUNTIF(tsk_Informed,ResourceTable[[#This Row],[Resource Name]])+COUNTIF(tsk_Informed,ResourceTable[[#This Row],[Resource Name]]&amp;",*")+COUNTIF(tsk_Informed,"*, "&amp;ResourceTable[[#This Row],[Resource Name]])+COUNTIF(tsk_Informed,"*, "&amp;ResourceTable[[#This Row],[Resource Name]]&amp;",*"))</f>
        <v/>
      </c>
      <c r="Q17" s="90">
        <f>IF(ResourceTable[[#This Row],[Focus %]]="",FocusFactor,N(ResourceTable[[#This Row],[Focus %]]))</f>
        <v/>
      </c>
      <c r="R17" s="23" t="n"/>
      <c r="S17" s="23" t="n"/>
      <c r="T17" s="23" t="n"/>
      <c r="U17" s="23" t="n"/>
      <c r="V17" s="23" t="n"/>
      <c r="W17" s="23" t="n"/>
      <c r="X17" s="23" t="n"/>
      <c r="Y17" s="23" t="n"/>
      <c r="Z17" s="23" t="n"/>
      <c r="AA17" s="23" t="n"/>
      <c r="AB17" s="23" t="n"/>
      <c r="AC17" s="23" t="n"/>
      <c r="AD17" s="23" t="n"/>
      <c r="AE17" s="23" t="n"/>
      <c r="AF17" s="23" t="n"/>
      <c r="AG17" s="23" t="n"/>
      <c r="AH17" s="23" t="n"/>
      <c r="AI17" s="23" t="n"/>
      <c r="AJ17" s="23" t="n"/>
      <c r="AK17" s="23" t="n"/>
      <c r="AL17" s="23" t="n"/>
      <c r="AM17" s="23" t="n"/>
      <c r="AN17" s="23" t="n"/>
      <c r="AO17" s="23" t="n"/>
      <c r="AP17" s="23" t="n"/>
      <c r="AQ17" s="23" t="n"/>
      <c r="AR17" s="23" t="n"/>
      <c r="AS17" s="23" t="n"/>
      <c r="AT17" s="23" t="n"/>
      <c r="AU17" s="23" t="n"/>
      <c r="AV17" s="23" t="n"/>
      <c r="AW17" s="23" t="n"/>
      <c r="AX17" s="23" t="n"/>
      <c r="AY17" s="23" t="n"/>
      <c r="AZ17" s="23" t="n"/>
      <c r="BA17" s="23" t="n"/>
    </row>
    <row r="18">
      <c r="B18" s="23" t="n"/>
      <c r="C18" s="23" t="n"/>
      <c r="D18" s="23" t="n"/>
      <c r="E18" s="23" t="n"/>
      <c r="F18" s="63" t="n"/>
      <c r="G18" s="7" t="n"/>
      <c r="H18" s="7" t="n"/>
      <c r="I18" s="63" t="n"/>
      <c r="J18" s="23" t="n"/>
      <c r="K1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t="n"/>
      <c r="N1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8" s="67">
        <f>IF(ResourceTable[[#This Row],[Resource Name]]="","",COUNTIF(tsk_Informed,ResourceTable[[#This Row],[Resource Name]])+COUNTIF(tsk_Informed,ResourceTable[[#This Row],[Resource Name]]&amp;",*")+COUNTIF(tsk_Informed,"*, "&amp;ResourceTable[[#This Row],[Resource Name]])+COUNTIF(tsk_Informed,"*, "&amp;ResourceTable[[#This Row],[Resource Name]]&amp;",*"))</f>
        <v/>
      </c>
      <c r="Q18" s="90">
        <f>IF(ResourceTable[[#This Row],[Focus %]]="",FocusFactor,N(ResourceTable[[#This Row],[Focus %]]))</f>
        <v/>
      </c>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c r="AY18" s="23" t="n"/>
      <c r="AZ18" s="23" t="n"/>
      <c r="BA18" s="23" t="n"/>
    </row>
    <row r="19">
      <c r="B19" s="23" t="n"/>
      <c r="C19" s="23" t="n"/>
      <c r="D19" s="23" t="n"/>
      <c r="E19" s="23" t="n"/>
      <c r="F19" s="63" t="n"/>
      <c r="G19" s="7" t="n"/>
      <c r="H19" s="7" t="n"/>
      <c r="I19" s="63" t="n"/>
      <c r="J19" s="23" t="n"/>
      <c r="K1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t="n"/>
      <c r="N1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9" s="67">
        <f>IF(ResourceTable[[#This Row],[Resource Name]]="","",COUNTIF(tsk_Informed,ResourceTable[[#This Row],[Resource Name]])+COUNTIF(tsk_Informed,ResourceTable[[#This Row],[Resource Name]]&amp;",*")+COUNTIF(tsk_Informed,"*, "&amp;ResourceTable[[#This Row],[Resource Name]])+COUNTIF(tsk_Informed,"*, "&amp;ResourceTable[[#This Row],[Resource Name]]&amp;",*"))</f>
        <v/>
      </c>
      <c r="Q19" s="90">
        <f>IF(ResourceTable[[#This Row],[Focus %]]="",FocusFactor,N(ResourceTable[[#This Row],[Focus %]]))</f>
        <v/>
      </c>
      <c r="R19" s="23" t="n"/>
      <c r="S19" s="23" t="n"/>
      <c r="T19" s="23" t="n"/>
      <c r="U19" s="23" t="n"/>
      <c r="V19" s="23" t="n"/>
      <c r="W19" s="23" t="n"/>
      <c r="X19" s="23" t="n"/>
      <c r="Y19" s="23" t="n"/>
      <c r="Z19" s="23" t="n"/>
      <c r="AA19" s="23" t="n"/>
      <c r="AB19" s="23" t="n"/>
      <c r="AC19" s="23" t="n"/>
      <c r="AD19" s="23" t="n"/>
      <c r="AE19" s="23" t="n"/>
      <c r="AF19" s="23" t="n"/>
      <c r="AG19" s="23" t="n"/>
      <c r="AH19" s="23" t="n"/>
      <c r="AI19" s="23" t="n"/>
      <c r="AJ19" s="23" t="n"/>
      <c r="AK19" s="23" t="n"/>
      <c r="AL19" s="23" t="n"/>
      <c r="AM19" s="23" t="n"/>
      <c r="AN19" s="23" t="n"/>
      <c r="AO19" s="23" t="n"/>
      <c r="AP19" s="23" t="n"/>
      <c r="AQ19" s="23" t="n"/>
      <c r="AR19" s="23" t="n"/>
      <c r="AS19" s="23" t="n"/>
      <c r="AT19" s="23" t="n"/>
      <c r="AU19" s="23" t="n"/>
      <c r="AV19" s="23" t="n"/>
      <c r="AW19" s="23" t="n"/>
      <c r="AX19" s="23" t="n"/>
      <c r="AY19" s="23" t="n"/>
      <c r="AZ19" s="23" t="n"/>
      <c r="BA19" s="23" t="n"/>
    </row>
    <row r="20">
      <c r="B20" s="23" t="n"/>
      <c r="C20" s="23" t="n"/>
      <c r="D20" s="23" t="n"/>
      <c r="E20" s="23" t="n"/>
      <c r="F20" s="63" t="n"/>
      <c r="G20" s="7" t="n"/>
      <c r="H20" s="7" t="n"/>
      <c r="I20" s="63" t="n"/>
      <c r="J20" s="23" t="n"/>
      <c r="K2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t="n"/>
      <c r="N2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0" s="67">
        <f>IF(ResourceTable[[#This Row],[Resource Name]]="","",COUNTIF(tsk_Informed,ResourceTable[[#This Row],[Resource Name]])+COUNTIF(tsk_Informed,ResourceTable[[#This Row],[Resource Name]]&amp;",*")+COUNTIF(tsk_Informed,"*, "&amp;ResourceTable[[#This Row],[Resource Name]])+COUNTIF(tsk_Informed,"*, "&amp;ResourceTable[[#This Row],[Resource Name]]&amp;",*"))</f>
        <v/>
      </c>
      <c r="Q20" s="90">
        <f>IF(ResourceTable[[#This Row],[Focus %]]="",FocusFactor,N(ResourceTable[[#This Row],[Focus %]]))</f>
        <v/>
      </c>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c r="AY20" s="23" t="n"/>
      <c r="AZ20" s="23" t="n"/>
      <c r="BA20" s="23" t="n"/>
    </row>
    <row r="21">
      <c r="B21" s="23" t="n"/>
      <c r="C21" s="23" t="n"/>
      <c r="D21" s="23" t="n"/>
      <c r="E21" s="23" t="n"/>
      <c r="F21" s="63" t="n"/>
      <c r="G21" s="7" t="n"/>
      <c r="H21" s="7" t="n"/>
      <c r="I21" s="63" t="n"/>
      <c r="J21" s="23" t="n"/>
      <c r="K2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t="n"/>
      <c r="N2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1" s="67">
        <f>IF(ResourceTable[[#This Row],[Resource Name]]="","",COUNTIF(tsk_Informed,ResourceTable[[#This Row],[Resource Name]])+COUNTIF(tsk_Informed,ResourceTable[[#This Row],[Resource Name]]&amp;",*")+COUNTIF(tsk_Informed,"*, "&amp;ResourceTable[[#This Row],[Resource Name]])+COUNTIF(tsk_Informed,"*, "&amp;ResourceTable[[#This Row],[Resource Name]]&amp;",*"))</f>
        <v/>
      </c>
      <c r="Q21" s="90">
        <f>IF(ResourceTable[[#This Row],[Focus %]]="",FocusFactor,N(ResourceTable[[#This Row],[Focus %]]))</f>
        <v/>
      </c>
      <c r="R21" s="23" t="n"/>
      <c r="S21" s="23" t="n"/>
      <c r="T21" s="23" t="n"/>
      <c r="U21" s="23" t="n"/>
      <c r="V21" s="23" t="n"/>
      <c r="W21" s="23" t="n"/>
      <c r="X21" s="23" t="n"/>
      <c r="Y21" s="23" t="n"/>
      <c r="Z21" s="23" t="n"/>
      <c r="AA21" s="23" t="n"/>
      <c r="AB21" s="23" t="n"/>
      <c r="AC21" s="23" t="n"/>
      <c r="AD21" s="23" t="n"/>
      <c r="AE21" s="23" t="n"/>
      <c r="AF21" s="23" t="n"/>
      <c r="AG21" s="23" t="n"/>
      <c r="AH21" s="23" t="n"/>
      <c r="AI21" s="23" t="n"/>
      <c r="AJ21" s="23" t="n"/>
      <c r="AK21" s="23" t="n"/>
      <c r="AL21" s="23" t="n"/>
      <c r="AM21" s="23" t="n"/>
      <c r="AN21" s="23" t="n"/>
      <c r="AO21" s="23" t="n"/>
      <c r="AP21" s="23" t="n"/>
      <c r="AQ21" s="23" t="n"/>
      <c r="AR21" s="23" t="n"/>
      <c r="AS21" s="23" t="n"/>
      <c r="AT21" s="23" t="n"/>
      <c r="AU21" s="23" t="n"/>
      <c r="AV21" s="23" t="n"/>
      <c r="AW21" s="23" t="n"/>
      <c r="AX21" s="23" t="n"/>
      <c r="AY21" s="23" t="n"/>
      <c r="AZ21" s="23" t="n"/>
      <c r="BA21" s="23" t="n"/>
    </row>
    <row r="22">
      <c r="B22" s="23" t="n"/>
      <c r="C22" s="23" t="n"/>
      <c r="D22" s="23" t="n"/>
      <c r="E22" s="23" t="n"/>
      <c r="F22" s="63" t="n"/>
      <c r="G22" s="7" t="n"/>
      <c r="H22" s="7" t="n"/>
      <c r="I22" s="63" t="n"/>
      <c r="J22" s="23" t="n"/>
      <c r="K2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t="n"/>
      <c r="N2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2" s="67">
        <f>IF(ResourceTable[[#This Row],[Resource Name]]="","",COUNTIF(tsk_Informed,ResourceTable[[#This Row],[Resource Name]])+COUNTIF(tsk_Informed,ResourceTable[[#This Row],[Resource Name]]&amp;",*")+COUNTIF(tsk_Informed,"*, "&amp;ResourceTable[[#This Row],[Resource Name]])+COUNTIF(tsk_Informed,"*, "&amp;ResourceTable[[#This Row],[Resource Name]]&amp;",*"))</f>
        <v/>
      </c>
      <c r="Q22" s="90">
        <f>IF(ResourceTable[[#This Row],[Focus %]]="",FocusFactor,N(ResourceTable[[#This Row],[Focus %]]))</f>
        <v/>
      </c>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c r="AY22" s="23" t="n"/>
      <c r="AZ22" s="23" t="n"/>
      <c r="BA22" s="23" t="n"/>
    </row>
    <row r="23">
      <c r="B23" s="23" t="n"/>
      <c r="C23" s="23" t="n"/>
      <c r="D23" s="23" t="n"/>
      <c r="E23" s="23" t="n"/>
      <c r="F23" s="63" t="n"/>
      <c r="G23" s="7" t="n"/>
      <c r="H23" s="7" t="n"/>
      <c r="I23" s="63" t="n"/>
      <c r="J23" s="23" t="n"/>
      <c r="K2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t="n"/>
      <c r="N2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3" s="67">
        <f>IF(ResourceTable[[#This Row],[Resource Name]]="","",COUNTIF(tsk_Informed,ResourceTable[[#This Row],[Resource Name]])+COUNTIF(tsk_Informed,ResourceTable[[#This Row],[Resource Name]]&amp;",*")+COUNTIF(tsk_Informed,"*, "&amp;ResourceTable[[#This Row],[Resource Name]])+COUNTIF(tsk_Informed,"*, "&amp;ResourceTable[[#This Row],[Resource Name]]&amp;",*"))</f>
        <v/>
      </c>
      <c r="Q23" s="90">
        <f>IF(ResourceTable[[#This Row],[Focus %]]="",FocusFactor,N(ResourceTable[[#This Row],[Focus %]]))</f>
        <v/>
      </c>
      <c r="R23" s="23" t="n"/>
      <c r="S23" s="23" t="n"/>
      <c r="T23" s="23" t="n"/>
      <c r="U23" s="23" t="n"/>
      <c r="V23" s="23" t="n"/>
      <c r="W23" s="23" t="n"/>
      <c r="X23" s="23" t="n"/>
      <c r="Y23" s="23" t="n"/>
      <c r="Z23" s="23" t="n"/>
      <c r="AA23" s="23" t="n"/>
      <c r="AB23" s="23" t="n"/>
      <c r="AC23" s="23" t="n"/>
      <c r="AD23" s="23" t="n"/>
      <c r="AE23" s="23" t="n"/>
      <c r="AF23" s="23" t="n"/>
      <c r="AG23" s="23" t="n"/>
      <c r="AH23" s="23" t="n"/>
      <c r="AI23" s="23" t="n"/>
      <c r="AJ23" s="23" t="n"/>
      <c r="AK23" s="23" t="n"/>
      <c r="AL23" s="23" t="n"/>
      <c r="AM23" s="23" t="n"/>
      <c r="AN23" s="23" t="n"/>
      <c r="AO23" s="23" t="n"/>
      <c r="AP23" s="23" t="n"/>
      <c r="AQ23" s="23" t="n"/>
      <c r="AR23" s="23" t="n"/>
      <c r="AS23" s="23" t="n"/>
      <c r="AT23" s="23" t="n"/>
      <c r="AU23" s="23" t="n"/>
      <c r="AV23" s="23" t="n"/>
      <c r="AW23" s="23" t="n"/>
      <c r="AX23" s="23" t="n"/>
      <c r="AY23" s="23" t="n"/>
      <c r="AZ23" s="23" t="n"/>
      <c r="BA23" s="23" t="n"/>
    </row>
    <row r="24">
      <c r="B24" s="23" t="n"/>
      <c r="C24" s="23" t="n"/>
      <c r="D24" s="23" t="n"/>
      <c r="E24" s="23" t="n"/>
      <c r="F24" s="63" t="n"/>
      <c r="G24" s="7" t="n"/>
      <c r="H24" s="7" t="n"/>
      <c r="I24" s="63" t="n"/>
      <c r="J24" s="23" t="n"/>
      <c r="K2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t="n"/>
      <c r="N2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4" s="67">
        <f>IF(ResourceTable[[#This Row],[Resource Name]]="","",COUNTIF(tsk_Informed,ResourceTable[[#This Row],[Resource Name]])+COUNTIF(tsk_Informed,ResourceTable[[#This Row],[Resource Name]]&amp;",*")+COUNTIF(tsk_Informed,"*, "&amp;ResourceTable[[#This Row],[Resource Name]])+COUNTIF(tsk_Informed,"*, "&amp;ResourceTable[[#This Row],[Resource Name]]&amp;",*"))</f>
        <v/>
      </c>
      <c r="Q24" s="90">
        <f>IF(ResourceTable[[#This Row],[Focus %]]="",FocusFactor,N(ResourceTable[[#This Row],[Focus %]]))</f>
        <v/>
      </c>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c r="AY24" s="23" t="n"/>
      <c r="AZ24" s="23" t="n"/>
      <c r="BA24" s="23" t="n"/>
    </row>
    <row r="25">
      <c r="B25" s="23" t="n"/>
      <c r="C25" s="23" t="n"/>
      <c r="D25" s="23" t="n"/>
      <c r="E25" s="23" t="n"/>
      <c r="F25" s="63" t="n"/>
      <c r="G25" s="7" t="n"/>
      <c r="H25" s="7" t="n"/>
      <c r="I25" s="63" t="n"/>
      <c r="J25" s="23" t="n"/>
      <c r="K2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t="n"/>
      <c r="N2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5" s="67">
        <f>IF(ResourceTable[[#This Row],[Resource Name]]="","",COUNTIF(tsk_Informed,ResourceTable[[#This Row],[Resource Name]])+COUNTIF(tsk_Informed,ResourceTable[[#This Row],[Resource Name]]&amp;",*")+COUNTIF(tsk_Informed,"*, "&amp;ResourceTable[[#This Row],[Resource Name]])+COUNTIF(tsk_Informed,"*, "&amp;ResourceTable[[#This Row],[Resource Name]]&amp;",*"))</f>
        <v/>
      </c>
      <c r="Q25" s="90">
        <f>IF(ResourceTable[[#This Row],[Focus %]]="",FocusFactor,N(ResourceTable[[#This Row],[Focus %]]))</f>
        <v/>
      </c>
      <c r="R25" s="23" t="n"/>
      <c r="S25" s="23" t="n"/>
      <c r="T25" s="23" t="n"/>
      <c r="U25" s="23" t="n"/>
      <c r="V25" s="23" t="n"/>
      <c r="W25" s="23" t="n"/>
      <c r="X25" s="23" t="n"/>
      <c r="Y25" s="23" t="n"/>
      <c r="Z25" s="23" t="n"/>
      <c r="AA25" s="23" t="n"/>
      <c r="AB25" s="23" t="n"/>
      <c r="AC25" s="23" t="n"/>
      <c r="AD25" s="23" t="n"/>
      <c r="AE25" s="23" t="n"/>
      <c r="AF25" s="23" t="n"/>
      <c r="AG25" s="23" t="n"/>
      <c r="AH25" s="23" t="n"/>
      <c r="AI25" s="23" t="n"/>
      <c r="AJ25" s="23" t="n"/>
      <c r="AK25" s="23" t="n"/>
      <c r="AL25" s="23" t="n"/>
      <c r="AM25" s="23" t="n"/>
      <c r="AN25" s="23" t="n"/>
      <c r="AO25" s="23" t="n"/>
      <c r="AP25" s="23" t="n"/>
      <c r="AQ25" s="23" t="n"/>
      <c r="AR25" s="23" t="n"/>
      <c r="AS25" s="23" t="n"/>
      <c r="AT25" s="23" t="n"/>
      <c r="AU25" s="23" t="n"/>
      <c r="AV25" s="23" t="n"/>
      <c r="AW25" s="23" t="n"/>
      <c r="AX25" s="23" t="n"/>
      <c r="AY25" s="23" t="n"/>
      <c r="AZ25" s="23" t="n"/>
      <c r="BA25" s="23" t="n"/>
    </row>
    <row r="26">
      <c r="B26" s="23" t="n"/>
      <c r="C26" s="23" t="n"/>
      <c r="D26" s="23" t="n"/>
      <c r="E26" s="23" t="n"/>
      <c r="F26" s="63" t="n"/>
      <c r="G26" s="7" t="n"/>
      <c r="H26" s="7" t="n"/>
      <c r="I26" s="63" t="n"/>
      <c r="J26" s="23" t="n"/>
      <c r="K2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t="n"/>
      <c r="N2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6" s="67">
        <f>IF(ResourceTable[[#This Row],[Resource Name]]="","",COUNTIF(tsk_Informed,ResourceTable[[#This Row],[Resource Name]])+COUNTIF(tsk_Informed,ResourceTable[[#This Row],[Resource Name]]&amp;",*")+COUNTIF(tsk_Informed,"*, "&amp;ResourceTable[[#This Row],[Resource Name]])+COUNTIF(tsk_Informed,"*, "&amp;ResourceTable[[#This Row],[Resource Name]]&amp;",*"))</f>
        <v/>
      </c>
      <c r="Q26" s="90">
        <f>IF(ResourceTable[[#This Row],[Focus %]]="",FocusFactor,N(ResourceTable[[#This Row],[Focus %]]))</f>
        <v/>
      </c>
      <c r="R26" s="23" t="n"/>
      <c r="S26" s="23" t="n"/>
      <c r="T26" s="23" t="n"/>
      <c r="U26" s="23" t="n"/>
      <c r="V26" s="23" t="n"/>
      <c r="W26" s="23" t="n"/>
      <c r="X26" s="23" t="n"/>
      <c r="Y26" s="23" t="n"/>
      <c r="Z26" s="23" t="n"/>
      <c r="AA26" s="23" t="n"/>
      <c r="AB26" s="23" t="n"/>
      <c r="AC26" s="23" t="n"/>
      <c r="AD26" s="23" t="n"/>
      <c r="AE26" s="23" t="n"/>
      <c r="AF26" s="23" t="n"/>
      <c r="AG26" s="23" t="n"/>
      <c r="AH26" s="23" t="n"/>
      <c r="AI26" s="23" t="n"/>
      <c r="AJ26" s="23" t="n"/>
      <c r="AK26" s="23" t="n"/>
      <c r="AL26" s="23" t="n"/>
      <c r="AM26" s="23" t="n"/>
      <c r="AN26" s="23" t="n"/>
      <c r="AO26" s="23" t="n"/>
      <c r="AP26" s="23" t="n"/>
      <c r="AQ26" s="23" t="n"/>
      <c r="AR26" s="23" t="n"/>
      <c r="AS26" s="23" t="n"/>
      <c r="AT26" s="23" t="n"/>
      <c r="AU26" s="23" t="n"/>
      <c r="AV26" s="23" t="n"/>
      <c r="AW26" s="23" t="n"/>
      <c r="AX26" s="23" t="n"/>
      <c r="AY26" s="23" t="n"/>
      <c r="AZ26" s="23" t="n"/>
      <c r="BA26" s="23" t="n"/>
    </row>
    <row r="27">
      <c r="B27" s="23" t="n"/>
      <c r="C27" s="23" t="n"/>
      <c r="D27" s="23" t="n"/>
      <c r="E27" s="23" t="n"/>
      <c r="F27" s="63" t="n"/>
      <c r="G27" s="7" t="n"/>
      <c r="H27" s="7" t="n"/>
      <c r="I27" s="63" t="n"/>
      <c r="J27" s="23" t="n"/>
      <c r="K2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t="n"/>
      <c r="N2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7" s="67">
        <f>IF(ResourceTable[[#This Row],[Resource Name]]="","",COUNTIF(tsk_Informed,ResourceTable[[#This Row],[Resource Name]])+COUNTIF(tsk_Informed,ResourceTable[[#This Row],[Resource Name]]&amp;",*")+COUNTIF(tsk_Informed,"*, "&amp;ResourceTable[[#This Row],[Resource Name]])+COUNTIF(tsk_Informed,"*, "&amp;ResourceTable[[#This Row],[Resource Name]]&amp;",*"))</f>
        <v/>
      </c>
      <c r="Q27" s="90">
        <f>IF(ResourceTable[[#This Row],[Focus %]]="",FocusFactor,N(ResourceTable[[#This Row],[Focus %]]))</f>
        <v/>
      </c>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3" t="n"/>
      <c r="AN27" s="23" t="n"/>
      <c r="AO27" s="23" t="n"/>
      <c r="AP27" s="23" t="n"/>
      <c r="AQ27" s="23" t="n"/>
      <c r="AR27" s="23" t="n"/>
      <c r="AS27" s="23" t="n"/>
      <c r="AT27" s="23" t="n"/>
      <c r="AU27" s="23" t="n"/>
      <c r="AV27" s="23" t="n"/>
      <c r="AW27" s="23" t="n"/>
      <c r="AX27" s="23" t="n"/>
      <c r="AY27" s="23" t="n"/>
      <c r="AZ27" s="23" t="n"/>
      <c r="BA27" s="23" t="n"/>
    </row>
    <row r="28">
      <c r="B28" s="23" t="n"/>
      <c r="C28" s="23" t="n"/>
      <c r="D28" s="23" t="n"/>
      <c r="E28" s="23" t="n"/>
      <c r="F28" s="63" t="n"/>
      <c r="G28" s="7" t="n"/>
      <c r="H28" s="7" t="n"/>
      <c r="I28" s="63" t="n"/>
      <c r="J28" s="23" t="n"/>
      <c r="K2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t="n"/>
      <c r="N2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8" s="67">
        <f>IF(ResourceTable[[#This Row],[Resource Name]]="","",COUNTIF(tsk_Informed,ResourceTable[[#This Row],[Resource Name]])+COUNTIF(tsk_Informed,ResourceTable[[#This Row],[Resource Name]]&amp;",*")+COUNTIF(tsk_Informed,"*, "&amp;ResourceTable[[#This Row],[Resource Name]])+COUNTIF(tsk_Informed,"*, "&amp;ResourceTable[[#This Row],[Resource Name]]&amp;",*"))</f>
        <v/>
      </c>
      <c r="Q28" s="90">
        <f>IF(ResourceTable[[#This Row],[Focus %]]="",FocusFactor,N(ResourceTable[[#This Row],[Focus %]]))</f>
        <v/>
      </c>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3" t="n"/>
      <c r="AN28" s="23" t="n"/>
      <c r="AO28" s="23" t="n"/>
      <c r="AP28" s="23" t="n"/>
      <c r="AQ28" s="23" t="n"/>
      <c r="AR28" s="23" t="n"/>
      <c r="AS28" s="23" t="n"/>
      <c r="AT28" s="23" t="n"/>
      <c r="AU28" s="23" t="n"/>
      <c r="AV28" s="23" t="n"/>
      <c r="AW28" s="23" t="n"/>
      <c r="AX28" s="23" t="n"/>
      <c r="AY28" s="23" t="n"/>
      <c r="AZ28" s="23" t="n"/>
      <c r="BA28" s="23" t="n"/>
    </row>
    <row r="29">
      <c r="B29" s="23" t="n"/>
      <c r="C29" s="23" t="n"/>
      <c r="D29" s="23" t="n"/>
      <c r="E29" s="23" t="n"/>
      <c r="F29" s="63" t="n"/>
      <c r="G29" s="7" t="n"/>
      <c r="H29" s="7" t="n"/>
      <c r="I29" s="63" t="n"/>
      <c r="J29" s="23" t="n"/>
      <c r="K2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t="n"/>
      <c r="N2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9" s="67">
        <f>IF(ResourceTable[[#This Row],[Resource Name]]="","",COUNTIF(tsk_Informed,ResourceTable[[#This Row],[Resource Name]])+COUNTIF(tsk_Informed,ResourceTable[[#This Row],[Resource Name]]&amp;",*")+COUNTIF(tsk_Informed,"*, "&amp;ResourceTable[[#This Row],[Resource Name]])+COUNTIF(tsk_Informed,"*, "&amp;ResourceTable[[#This Row],[Resource Name]]&amp;",*"))</f>
        <v/>
      </c>
      <c r="Q29" s="90">
        <f>IF(ResourceTable[[#This Row],[Focus %]]="",FocusFactor,N(ResourceTable[[#This Row],[Focus %]]))</f>
        <v/>
      </c>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3" t="n"/>
      <c r="AN29" s="23" t="n"/>
      <c r="AO29" s="23" t="n"/>
      <c r="AP29" s="23" t="n"/>
      <c r="AQ29" s="23" t="n"/>
      <c r="AR29" s="23" t="n"/>
      <c r="AS29" s="23" t="n"/>
      <c r="AT29" s="23" t="n"/>
      <c r="AU29" s="23" t="n"/>
      <c r="AV29" s="23" t="n"/>
      <c r="AW29" s="23" t="n"/>
      <c r="AX29" s="23" t="n"/>
      <c r="AY29" s="23" t="n"/>
      <c r="AZ29" s="23" t="n"/>
      <c r="BA29" s="23" t="n"/>
    </row>
    <row r="30">
      <c r="B30" s="23" t="n"/>
      <c r="C30" s="23" t="n"/>
      <c r="D30" s="23" t="n"/>
      <c r="E30" s="23" t="n"/>
      <c r="F30" s="63" t="n"/>
      <c r="G30" s="7" t="n"/>
      <c r="H30" s="7" t="n"/>
      <c r="I30" s="63" t="n"/>
      <c r="J30" s="23" t="n"/>
      <c r="K3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t="n"/>
      <c r="N3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0" s="67">
        <f>IF(ResourceTable[[#This Row],[Resource Name]]="","",COUNTIF(tsk_Informed,ResourceTable[[#This Row],[Resource Name]])+COUNTIF(tsk_Informed,ResourceTable[[#This Row],[Resource Name]]&amp;",*")+COUNTIF(tsk_Informed,"*, "&amp;ResourceTable[[#This Row],[Resource Name]])+COUNTIF(tsk_Informed,"*, "&amp;ResourceTable[[#This Row],[Resource Name]]&amp;",*"))</f>
        <v/>
      </c>
      <c r="Q30" s="90">
        <f>IF(ResourceTable[[#This Row],[Focus %]]="",FocusFactor,N(ResourceTable[[#This Row],[Focus %]]))</f>
        <v/>
      </c>
      <c r="R30" s="23" t="n"/>
      <c r="S30" s="23" t="n"/>
      <c r="T30" s="23" t="n"/>
      <c r="U30" s="23" t="n"/>
      <c r="V30" s="23" t="n"/>
      <c r="W30" s="23" t="n"/>
      <c r="X30" s="23" t="n"/>
      <c r="Y30" s="23" t="n"/>
      <c r="Z30" s="23" t="n"/>
      <c r="AA30" s="23" t="n"/>
      <c r="AB30" s="23" t="n"/>
      <c r="AC30" s="23" t="n"/>
      <c r="AD30" s="23" t="n"/>
      <c r="AE30" s="23" t="n"/>
      <c r="AF30" s="23" t="n"/>
      <c r="AG30" s="23" t="n"/>
      <c r="AH30" s="23" t="n"/>
      <c r="AI30" s="23" t="n"/>
      <c r="AJ30" s="23" t="n"/>
      <c r="AK30" s="23" t="n"/>
      <c r="AL30" s="23" t="n"/>
      <c r="AM30" s="23" t="n"/>
      <c r="AN30" s="23" t="n"/>
      <c r="AO30" s="23" t="n"/>
      <c r="AP30" s="23" t="n"/>
      <c r="AQ30" s="23" t="n"/>
      <c r="AR30" s="23" t="n"/>
      <c r="AS30" s="23" t="n"/>
      <c r="AT30" s="23" t="n"/>
      <c r="AU30" s="23" t="n"/>
      <c r="AV30" s="23" t="n"/>
      <c r="AW30" s="23" t="n"/>
      <c r="AX30" s="23" t="n"/>
      <c r="AY30" s="23" t="n"/>
      <c r="AZ30" s="23" t="n"/>
      <c r="BA30" s="23" t="n"/>
    </row>
    <row r="31">
      <c r="B31" s="23" t="n"/>
      <c r="C31" s="23" t="n"/>
      <c r="D31" s="23" t="n"/>
      <c r="E31" s="23" t="n"/>
      <c r="F31" s="63" t="n"/>
      <c r="G31" s="7" t="n"/>
      <c r="H31" s="7" t="n"/>
      <c r="I31" s="63" t="n"/>
      <c r="J31" s="23" t="n"/>
      <c r="K3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t="n"/>
      <c r="N3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1" s="67">
        <f>IF(ResourceTable[[#This Row],[Resource Name]]="","",COUNTIF(tsk_Informed,ResourceTable[[#This Row],[Resource Name]])+COUNTIF(tsk_Informed,ResourceTable[[#This Row],[Resource Name]]&amp;",*")+COUNTIF(tsk_Informed,"*, "&amp;ResourceTable[[#This Row],[Resource Name]])+COUNTIF(tsk_Informed,"*, "&amp;ResourceTable[[#This Row],[Resource Name]]&amp;",*"))</f>
        <v/>
      </c>
      <c r="Q31" s="90">
        <f>IF(ResourceTable[[#This Row],[Focus %]]="",FocusFactor,N(ResourceTable[[#This Row],[Focus %]]))</f>
        <v/>
      </c>
      <c r="R31" s="23" t="n"/>
      <c r="S31" s="23" t="n"/>
      <c r="T31" s="23" t="n"/>
      <c r="U31" s="23" t="n"/>
      <c r="V31" s="23" t="n"/>
      <c r="W31" s="23" t="n"/>
      <c r="X31" s="23" t="n"/>
      <c r="Y31" s="23" t="n"/>
      <c r="Z31" s="23" t="n"/>
      <c r="AA31" s="23" t="n"/>
      <c r="AB31" s="23" t="n"/>
      <c r="AC31" s="23" t="n"/>
      <c r="AD31" s="23" t="n"/>
      <c r="AE31" s="23" t="n"/>
      <c r="AF31" s="23" t="n"/>
      <c r="AG31" s="23" t="n"/>
      <c r="AH31" s="23" t="n"/>
      <c r="AI31" s="23" t="n"/>
      <c r="AJ31" s="23" t="n"/>
      <c r="AK31" s="23" t="n"/>
      <c r="AL31" s="23" t="n"/>
      <c r="AM31" s="23" t="n"/>
      <c r="AN31" s="23" t="n"/>
      <c r="AO31" s="23" t="n"/>
      <c r="AP31" s="23" t="n"/>
      <c r="AQ31" s="23" t="n"/>
      <c r="AR31" s="23" t="n"/>
      <c r="AS31" s="23" t="n"/>
      <c r="AT31" s="23" t="n"/>
      <c r="AU31" s="23" t="n"/>
      <c r="AV31" s="23" t="n"/>
      <c r="AW31" s="23" t="n"/>
      <c r="AX31" s="23" t="n"/>
      <c r="AY31" s="23" t="n"/>
      <c r="AZ31" s="23" t="n"/>
      <c r="BA31" s="23" t="n"/>
    </row>
    <row r="32">
      <c r="B32" s="23" t="n"/>
      <c r="C32" s="23" t="n"/>
      <c r="D32" s="23" t="n"/>
      <c r="E32" s="23" t="n"/>
      <c r="F32" s="63" t="n"/>
      <c r="G32" s="7" t="n"/>
      <c r="H32" s="7" t="n"/>
      <c r="I32" s="63" t="n"/>
      <c r="J32" s="23" t="n"/>
      <c r="K3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t="n"/>
      <c r="N3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2" s="67">
        <f>IF(ResourceTable[[#This Row],[Resource Name]]="","",COUNTIF(tsk_Informed,ResourceTable[[#This Row],[Resource Name]])+COUNTIF(tsk_Informed,ResourceTable[[#This Row],[Resource Name]]&amp;",*")+COUNTIF(tsk_Informed,"*, "&amp;ResourceTable[[#This Row],[Resource Name]])+COUNTIF(tsk_Informed,"*, "&amp;ResourceTable[[#This Row],[Resource Name]]&amp;",*"))</f>
        <v/>
      </c>
      <c r="Q32" s="90">
        <f>IF(ResourceTable[[#This Row],[Focus %]]="",FocusFactor,N(ResourceTable[[#This Row],[Focus %]]))</f>
        <v/>
      </c>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c r="AY32" s="23" t="n"/>
      <c r="AZ32" s="23" t="n"/>
      <c r="BA32" s="23" t="n"/>
    </row>
    <row r="33">
      <c r="B33" s="23" t="n"/>
      <c r="C33" s="23" t="n"/>
      <c r="D33" s="23" t="n"/>
      <c r="E33" s="23" t="n"/>
      <c r="F33" s="63" t="n"/>
      <c r="G33" s="7" t="n"/>
      <c r="H33" s="7" t="n"/>
      <c r="I33" s="63" t="n"/>
      <c r="J33" s="23" t="n"/>
      <c r="K3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t="n"/>
      <c r="N3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3" s="67">
        <f>IF(ResourceTable[[#This Row],[Resource Name]]="","",COUNTIF(tsk_Informed,ResourceTable[[#This Row],[Resource Name]])+COUNTIF(tsk_Informed,ResourceTable[[#This Row],[Resource Name]]&amp;",*")+COUNTIF(tsk_Informed,"*, "&amp;ResourceTable[[#This Row],[Resource Name]])+COUNTIF(tsk_Informed,"*, "&amp;ResourceTable[[#This Row],[Resource Name]]&amp;",*"))</f>
        <v/>
      </c>
      <c r="Q33" s="90">
        <f>IF(ResourceTable[[#This Row],[Focus %]]="",FocusFactor,N(ResourceTable[[#This Row],[Focus %]]))</f>
        <v/>
      </c>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c r="AY33" s="23" t="n"/>
      <c r="AZ33" s="23" t="n"/>
      <c r="BA33" s="23" t="n"/>
    </row>
    <row r="34">
      <c r="B34" s="23" t="n"/>
      <c r="C34" s="23" t="n"/>
      <c r="D34" s="23" t="n"/>
      <c r="E34" s="23" t="n"/>
      <c r="F34" s="63" t="n"/>
      <c r="G34" s="7" t="n"/>
      <c r="H34" s="7" t="n"/>
      <c r="I34" s="63" t="n"/>
      <c r="J34" s="23" t="n"/>
      <c r="K3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t="n"/>
      <c r="N3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4" s="67">
        <f>IF(ResourceTable[[#This Row],[Resource Name]]="","",COUNTIF(tsk_Informed,ResourceTable[[#This Row],[Resource Name]])+COUNTIF(tsk_Informed,ResourceTable[[#This Row],[Resource Name]]&amp;",*")+COUNTIF(tsk_Informed,"*, "&amp;ResourceTable[[#This Row],[Resource Name]])+COUNTIF(tsk_Informed,"*, "&amp;ResourceTable[[#This Row],[Resource Name]]&amp;",*"))</f>
        <v/>
      </c>
      <c r="Q34" s="90">
        <f>IF(ResourceTable[[#This Row],[Focus %]]="",FocusFactor,N(ResourceTable[[#This Row],[Focus %]]))</f>
        <v/>
      </c>
      <c r="R34" s="23" t="n"/>
      <c r="S34" s="23" t="n"/>
      <c r="T34" s="23" t="n"/>
      <c r="U34" s="23" t="n"/>
      <c r="V34" s="23" t="n"/>
      <c r="W34" s="23" t="n"/>
      <c r="X34" s="23" t="n"/>
      <c r="Y34" s="23" t="n"/>
      <c r="Z34" s="23" t="n"/>
      <c r="AA34" s="23" t="n"/>
      <c r="AB34" s="23" t="n"/>
      <c r="AC34" s="23" t="n"/>
      <c r="AD34" s="23" t="n"/>
      <c r="AE34" s="23" t="n"/>
      <c r="AF34" s="23" t="n"/>
      <c r="AG34" s="23" t="n"/>
      <c r="AH34" s="23" t="n"/>
      <c r="AI34" s="23" t="n"/>
      <c r="AJ34" s="23" t="n"/>
      <c r="AK34" s="23" t="n"/>
      <c r="AL34" s="23" t="n"/>
      <c r="AM34" s="23" t="n"/>
      <c r="AN34" s="23" t="n"/>
      <c r="AO34" s="23" t="n"/>
      <c r="AP34" s="23" t="n"/>
      <c r="AQ34" s="23" t="n"/>
      <c r="AR34" s="23" t="n"/>
      <c r="AS34" s="23" t="n"/>
      <c r="AT34" s="23" t="n"/>
      <c r="AU34" s="23" t="n"/>
      <c r="AV34" s="23" t="n"/>
      <c r="AW34" s="23" t="n"/>
      <c r="AX34" s="23" t="n"/>
      <c r="AY34" s="23" t="n"/>
      <c r="AZ34" s="23" t="n"/>
      <c r="BA34" s="23" t="n"/>
    </row>
    <row r="35">
      <c r="B35" s="23" t="n"/>
      <c r="C35" s="23" t="n"/>
      <c r="D35" s="23" t="n"/>
      <c r="E35" s="23" t="n"/>
      <c r="F35" s="63" t="n"/>
      <c r="G35" s="7" t="n"/>
      <c r="H35" s="7" t="n"/>
      <c r="I35" s="63" t="n"/>
      <c r="J35" s="23" t="n"/>
      <c r="K3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t="n"/>
      <c r="N3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5" s="67">
        <f>IF(ResourceTable[[#This Row],[Resource Name]]="","",COUNTIF(tsk_Informed,ResourceTable[[#This Row],[Resource Name]])+COUNTIF(tsk_Informed,ResourceTable[[#This Row],[Resource Name]]&amp;",*")+COUNTIF(tsk_Informed,"*, "&amp;ResourceTable[[#This Row],[Resource Name]])+COUNTIF(tsk_Informed,"*, "&amp;ResourceTable[[#This Row],[Resource Name]]&amp;",*"))</f>
        <v/>
      </c>
      <c r="Q35" s="90">
        <f>IF(ResourceTable[[#This Row],[Focus %]]="",FocusFactor,N(ResourceTable[[#This Row],[Focus %]]))</f>
        <v/>
      </c>
      <c r="R35" s="23" t="n"/>
      <c r="S35" s="23" t="n"/>
      <c r="T35" s="23" t="n"/>
      <c r="U35" s="23" t="n"/>
      <c r="V35" s="23" t="n"/>
      <c r="W35" s="23" t="n"/>
      <c r="X35" s="23" t="n"/>
      <c r="Y35" s="23" t="n"/>
      <c r="Z35" s="23" t="n"/>
      <c r="AA35" s="23" t="n"/>
      <c r="AB35" s="23" t="n"/>
      <c r="AC35" s="23" t="n"/>
      <c r="AD35" s="23" t="n"/>
      <c r="AE35" s="23" t="n"/>
      <c r="AF35" s="23" t="n"/>
      <c r="AG35" s="23" t="n"/>
      <c r="AH35" s="23" t="n"/>
      <c r="AI35" s="23" t="n"/>
      <c r="AJ35" s="23" t="n"/>
      <c r="AK35" s="23" t="n"/>
      <c r="AL35" s="23" t="n"/>
      <c r="AM35" s="23" t="n"/>
      <c r="AN35" s="23" t="n"/>
      <c r="AO35" s="23" t="n"/>
      <c r="AP35" s="23" t="n"/>
      <c r="AQ35" s="23" t="n"/>
      <c r="AR35" s="23" t="n"/>
      <c r="AS35" s="23" t="n"/>
      <c r="AT35" s="23" t="n"/>
      <c r="AU35" s="23" t="n"/>
      <c r="AV35" s="23" t="n"/>
      <c r="AW35" s="23" t="n"/>
      <c r="AX35" s="23" t="n"/>
      <c r="AY35" s="23" t="n"/>
      <c r="AZ35" s="23" t="n"/>
      <c r="BA35" s="23" t="n"/>
    </row>
    <row r="36">
      <c r="B36" s="23" t="n"/>
      <c r="C36" s="23" t="n"/>
      <c r="D36" s="23" t="n"/>
      <c r="E36" s="23" t="n"/>
      <c r="F36" s="63" t="n"/>
      <c r="G36" s="7" t="n"/>
      <c r="H36" s="7" t="n"/>
      <c r="I36" s="63" t="n"/>
      <c r="J36" s="23" t="n"/>
      <c r="K3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t="n"/>
      <c r="N3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6" s="67">
        <f>IF(ResourceTable[[#This Row],[Resource Name]]="","",COUNTIF(tsk_Informed,ResourceTable[[#This Row],[Resource Name]])+COUNTIF(tsk_Informed,ResourceTable[[#This Row],[Resource Name]]&amp;",*")+COUNTIF(tsk_Informed,"*, "&amp;ResourceTable[[#This Row],[Resource Name]])+COUNTIF(tsk_Informed,"*, "&amp;ResourceTable[[#This Row],[Resource Name]]&amp;",*"))</f>
        <v/>
      </c>
      <c r="Q36" s="90">
        <f>IF(ResourceTable[[#This Row],[Focus %]]="",FocusFactor,N(ResourceTable[[#This Row],[Focus %]]))</f>
        <v/>
      </c>
      <c r="R36" s="23" t="n"/>
      <c r="S36" s="23" t="n"/>
      <c r="T36" s="23" t="n"/>
      <c r="U36" s="23" t="n"/>
      <c r="V36" s="23" t="n"/>
      <c r="W36" s="23" t="n"/>
      <c r="X36" s="23" t="n"/>
      <c r="Y36" s="23" t="n"/>
      <c r="Z36" s="23" t="n"/>
      <c r="AA36" s="23" t="n"/>
      <c r="AB36" s="23" t="n"/>
      <c r="AC36" s="23" t="n"/>
      <c r="AD36" s="23" t="n"/>
      <c r="AE36" s="23" t="n"/>
      <c r="AF36" s="23" t="n"/>
      <c r="AG36" s="23" t="n"/>
      <c r="AH36" s="23" t="n"/>
      <c r="AI36" s="23" t="n"/>
      <c r="AJ36" s="23" t="n"/>
      <c r="AK36" s="23" t="n"/>
      <c r="AL36" s="23" t="n"/>
      <c r="AM36" s="23" t="n"/>
      <c r="AN36" s="23" t="n"/>
      <c r="AO36" s="23" t="n"/>
      <c r="AP36" s="23" t="n"/>
      <c r="AQ36" s="23" t="n"/>
      <c r="AR36" s="23" t="n"/>
      <c r="AS36" s="23" t="n"/>
      <c r="AT36" s="23" t="n"/>
      <c r="AU36" s="23" t="n"/>
      <c r="AV36" s="23" t="n"/>
      <c r="AW36" s="23" t="n"/>
      <c r="AX36" s="23" t="n"/>
      <c r="AY36" s="23" t="n"/>
      <c r="AZ36" s="23" t="n"/>
      <c r="BA36" s="23" t="n"/>
    </row>
    <row r="37">
      <c r="B37" s="23" t="n"/>
      <c r="C37" s="23" t="n"/>
      <c r="D37" s="23" t="n"/>
      <c r="E37" s="23" t="n"/>
      <c r="F37" s="63" t="n"/>
      <c r="G37" s="7" t="n"/>
      <c r="H37" s="7" t="n"/>
      <c r="I37" s="63" t="n"/>
      <c r="J37" s="23" t="n"/>
      <c r="K3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t="n"/>
      <c r="N3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7" s="67">
        <f>IF(ResourceTable[[#This Row],[Resource Name]]="","",COUNTIF(tsk_Informed,ResourceTable[[#This Row],[Resource Name]])+COUNTIF(tsk_Informed,ResourceTable[[#This Row],[Resource Name]]&amp;",*")+COUNTIF(tsk_Informed,"*, "&amp;ResourceTable[[#This Row],[Resource Name]])+COUNTIF(tsk_Informed,"*, "&amp;ResourceTable[[#This Row],[Resource Name]]&amp;",*"))</f>
        <v/>
      </c>
      <c r="Q37" s="90">
        <f>IF(ResourceTable[[#This Row],[Focus %]]="",FocusFactor,N(ResourceTable[[#This Row],[Focus %]]))</f>
        <v/>
      </c>
      <c r="R37" s="23" t="n"/>
      <c r="S37" s="23" t="n"/>
      <c r="T37" s="23" t="n"/>
      <c r="U37" s="23" t="n"/>
      <c r="V37" s="23" t="n"/>
      <c r="W37" s="23" t="n"/>
      <c r="X37" s="23" t="n"/>
      <c r="Y37" s="23" t="n"/>
      <c r="Z37" s="23" t="n"/>
      <c r="AA37" s="23" t="n"/>
      <c r="AB37" s="23" t="n"/>
      <c r="AC37" s="23" t="n"/>
      <c r="AD37" s="23" t="n"/>
      <c r="AE37" s="23" t="n"/>
      <c r="AF37" s="23" t="n"/>
      <c r="AG37" s="23" t="n"/>
      <c r="AH37" s="23" t="n"/>
      <c r="AI37" s="23" t="n"/>
      <c r="AJ37" s="23" t="n"/>
      <c r="AK37" s="23" t="n"/>
      <c r="AL37" s="23" t="n"/>
      <c r="AM37" s="23" t="n"/>
      <c r="AN37" s="23" t="n"/>
      <c r="AO37" s="23" t="n"/>
      <c r="AP37" s="23" t="n"/>
      <c r="AQ37" s="23" t="n"/>
      <c r="AR37" s="23" t="n"/>
      <c r="AS37" s="23" t="n"/>
      <c r="AT37" s="23" t="n"/>
      <c r="AU37" s="23" t="n"/>
      <c r="AV37" s="23" t="n"/>
      <c r="AW37" s="23" t="n"/>
      <c r="AX37" s="23" t="n"/>
      <c r="AY37" s="23" t="n"/>
      <c r="AZ37" s="23" t="n"/>
      <c r="BA37" s="23" t="n"/>
    </row>
    <row r="38">
      <c r="B38" s="23" t="n"/>
      <c r="C38" s="23" t="n"/>
      <c r="D38" s="23" t="n"/>
      <c r="E38" s="23" t="n"/>
      <c r="F38" s="63" t="n"/>
      <c r="G38" s="7" t="n"/>
      <c r="H38" s="7" t="n"/>
      <c r="I38" s="63" t="n"/>
      <c r="J38" s="23" t="n"/>
      <c r="K3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t="n"/>
      <c r="N3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8" s="67">
        <f>IF(ResourceTable[[#This Row],[Resource Name]]="","",COUNTIF(tsk_Informed,ResourceTable[[#This Row],[Resource Name]])+COUNTIF(tsk_Informed,ResourceTable[[#This Row],[Resource Name]]&amp;",*")+COUNTIF(tsk_Informed,"*, "&amp;ResourceTable[[#This Row],[Resource Name]])+COUNTIF(tsk_Informed,"*, "&amp;ResourceTable[[#This Row],[Resource Name]]&amp;",*"))</f>
        <v/>
      </c>
      <c r="Q38" s="90">
        <f>IF(ResourceTable[[#This Row],[Focus %]]="",FocusFactor,N(ResourceTable[[#This Row],[Focus %]]))</f>
        <v/>
      </c>
      <c r="R38" s="23" t="n"/>
      <c r="S38" s="23" t="n"/>
      <c r="T38" s="23" t="n"/>
      <c r="U38" s="23" t="n"/>
      <c r="V38" s="23" t="n"/>
      <c r="W38" s="23" t="n"/>
      <c r="X38" s="23" t="n"/>
      <c r="Y38" s="23" t="n"/>
      <c r="Z38" s="23" t="n"/>
      <c r="AA38" s="23" t="n"/>
      <c r="AB38" s="23" t="n"/>
      <c r="AC38" s="23" t="n"/>
      <c r="AD38" s="23" t="n"/>
      <c r="AE38" s="23" t="n"/>
      <c r="AF38" s="23" t="n"/>
      <c r="AG38" s="23" t="n"/>
      <c r="AH38" s="23" t="n"/>
      <c r="AI38" s="23" t="n"/>
      <c r="AJ38" s="23" t="n"/>
      <c r="AK38" s="23" t="n"/>
      <c r="AL38" s="23" t="n"/>
      <c r="AM38" s="23" t="n"/>
      <c r="AN38" s="23" t="n"/>
      <c r="AO38" s="23" t="n"/>
      <c r="AP38" s="23" t="n"/>
      <c r="AQ38" s="23" t="n"/>
      <c r="AR38" s="23" t="n"/>
      <c r="AS38" s="23" t="n"/>
      <c r="AT38" s="23" t="n"/>
      <c r="AU38" s="23" t="n"/>
      <c r="AV38" s="23" t="n"/>
      <c r="AW38" s="23" t="n"/>
      <c r="AX38" s="23" t="n"/>
      <c r="AY38" s="23" t="n"/>
      <c r="AZ38" s="23" t="n"/>
      <c r="BA38" s="23" t="n"/>
    </row>
    <row r="39">
      <c r="B39" s="23" t="n"/>
      <c r="C39" s="23" t="n"/>
      <c r="D39" s="23" t="n"/>
      <c r="E39" s="23" t="n"/>
      <c r="F39" s="63" t="n"/>
      <c r="G39" s="7" t="n"/>
      <c r="H39" s="7" t="n"/>
      <c r="I39" s="63" t="n"/>
      <c r="J39" s="23" t="n"/>
      <c r="K3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t="n"/>
      <c r="N3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9" s="67">
        <f>IF(ResourceTable[[#This Row],[Resource Name]]="","",COUNTIF(tsk_Informed,ResourceTable[[#This Row],[Resource Name]])+COUNTIF(tsk_Informed,ResourceTable[[#This Row],[Resource Name]]&amp;",*")+COUNTIF(tsk_Informed,"*, "&amp;ResourceTable[[#This Row],[Resource Name]])+COUNTIF(tsk_Informed,"*, "&amp;ResourceTable[[#This Row],[Resource Name]]&amp;",*"))</f>
        <v/>
      </c>
      <c r="Q39" s="90">
        <f>IF(ResourceTable[[#This Row],[Focus %]]="",FocusFactor,N(ResourceTable[[#This Row],[Focus %]]))</f>
        <v/>
      </c>
      <c r="R39" s="23" t="n"/>
      <c r="S39" s="23" t="n"/>
      <c r="T39" s="23" t="n"/>
      <c r="U39" s="23" t="n"/>
      <c r="V39" s="23" t="n"/>
      <c r="W39" s="23" t="n"/>
      <c r="X39" s="23" t="n"/>
      <c r="Y39" s="23" t="n"/>
      <c r="Z39" s="23" t="n"/>
      <c r="AA39" s="23" t="n"/>
      <c r="AB39" s="23" t="n"/>
      <c r="AC39" s="23" t="n"/>
      <c r="AD39" s="23" t="n"/>
      <c r="AE39" s="23" t="n"/>
      <c r="AF39" s="23" t="n"/>
      <c r="AG39" s="23" t="n"/>
      <c r="AH39" s="23" t="n"/>
      <c r="AI39" s="23" t="n"/>
      <c r="AJ39" s="23" t="n"/>
      <c r="AK39" s="23" t="n"/>
      <c r="AL39" s="23" t="n"/>
      <c r="AM39" s="23" t="n"/>
      <c r="AN39" s="23" t="n"/>
      <c r="AO39" s="23" t="n"/>
      <c r="AP39" s="23" t="n"/>
      <c r="AQ39" s="23" t="n"/>
      <c r="AR39" s="23" t="n"/>
      <c r="AS39" s="23" t="n"/>
      <c r="AT39" s="23" t="n"/>
      <c r="AU39" s="23" t="n"/>
      <c r="AV39" s="23" t="n"/>
      <c r="AW39" s="23" t="n"/>
      <c r="AX39" s="23" t="n"/>
      <c r="AY39" s="23" t="n"/>
      <c r="AZ39" s="23" t="n"/>
      <c r="BA39" s="23" t="n"/>
    </row>
    <row r="40">
      <c r="B40" s="23" t="n"/>
      <c r="C40" s="23" t="n"/>
      <c r="D40" s="23" t="n"/>
      <c r="E40" s="23" t="n"/>
      <c r="F40" s="63" t="n"/>
      <c r="G40" s="7" t="n"/>
      <c r="H40" s="7" t="n"/>
      <c r="I40" s="63" t="n"/>
      <c r="J40" s="23" t="n"/>
      <c r="K4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t="n"/>
      <c r="N4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0" s="67">
        <f>IF(ResourceTable[[#This Row],[Resource Name]]="","",COUNTIF(tsk_Informed,ResourceTable[[#This Row],[Resource Name]])+COUNTIF(tsk_Informed,ResourceTable[[#This Row],[Resource Name]]&amp;",*")+COUNTIF(tsk_Informed,"*, "&amp;ResourceTable[[#This Row],[Resource Name]])+COUNTIF(tsk_Informed,"*, "&amp;ResourceTable[[#This Row],[Resource Name]]&amp;",*"))</f>
        <v/>
      </c>
      <c r="Q40" s="90">
        <f>IF(ResourceTable[[#This Row],[Focus %]]="",FocusFactor,N(ResourceTable[[#This Row],[Focus %]]))</f>
        <v/>
      </c>
      <c r="R40" s="23" t="n"/>
      <c r="S40" s="23" t="n"/>
      <c r="T40" s="23" t="n"/>
      <c r="U40" s="23" t="n"/>
      <c r="V40" s="23" t="n"/>
      <c r="W40" s="23" t="n"/>
      <c r="X40" s="23" t="n"/>
      <c r="Y40" s="23" t="n"/>
      <c r="Z40" s="23" t="n"/>
      <c r="AA40" s="23" t="n"/>
      <c r="AB40" s="23" t="n"/>
      <c r="AC40" s="23" t="n"/>
      <c r="AD40" s="23" t="n"/>
      <c r="AE40" s="23" t="n"/>
      <c r="AF40" s="23" t="n"/>
      <c r="AG40" s="23" t="n"/>
      <c r="AH40" s="23" t="n"/>
      <c r="AI40" s="23" t="n"/>
      <c r="AJ40" s="23" t="n"/>
      <c r="AK40" s="23" t="n"/>
      <c r="AL40" s="23" t="n"/>
      <c r="AM40" s="23" t="n"/>
      <c r="AN40" s="23" t="n"/>
      <c r="AO40" s="23" t="n"/>
      <c r="AP40" s="23" t="n"/>
      <c r="AQ40" s="23" t="n"/>
      <c r="AR40" s="23" t="n"/>
      <c r="AS40" s="23" t="n"/>
      <c r="AT40" s="23" t="n"/>
      <c r="AU40" s="23" t="n"/>
      <c r="AV40" s="23" t="n"/>
      <c r="AW40" s="23" t="n"/>
      <c r="AX40" s="23" t="n"/>
      <c r="AY40" s="23" t="n"/>
      <c r="AZ40" s="23" t="n"/>
      <c r="BA40" s="23" t="n"/>
    </row>
    <row r="41">
      <c r="B41" s="23" t="n"/>
      <c r="C41" s="23" t="n"/>
      <c r="D41" s="23" t="n"/>
      <c r="E41" s="23" t="n"/>
      <c r="F41" s="63" t="n"/>
      <c r="G41" s="7" t="n"/>
      <c r="H41" s="7" t="n"/>
      <c r="I41" s="63" t="n"/>
      <c r="J41" s="23" t="n"/>
      <c r="K4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t="n"/>
      <c r="N4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1" s="67">
        <f>IF(ResourceTable[[#This Row],[Resource Name]]="","",COUNTIF(tsk_Informed,ResourceTable[[#This Row],[Resource Name]])+COUNTIF(tsk_Informed,ResourceTable[[#This Row],[Resource Name]]&amp;",*")+COUNTIF(tsk_Informed,"*, "&amp;ResourceTable[[#This Row],[Resource Name]])+COUNTIF(tsk_Informed,"*, "&amp;ResourceTable[[#This Row],[Resource Name]]&amp;",*"))</f>
        <v/>
      </c>
      <c r="Q41" s="90">
        <f>IF(ResourceTable[[#This Row],[Focus %]]="",FocusFactor,N(ResourceTable[[#This Row],[Focus %]]))</f>
        <v/>
      </c>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3" t="n"/>
      <c r="AN41" s="23" t="n"/>
      <c r="AO41" s="23" t="n"/>
      <c r="AP41" s="23" t="n"/>
      <c r="AQ41" s="23" t="n"/>
      <c r="AR41" s="23" t="n"/>
      <c r="AS41" s="23" t="n"/>
      <c r="AT41" s="23" t="n"/>
      <c r="AU41" s="23" t="n"/>
      <c r="AV41" s="23" t="n"/>
      <c r="AW41" s="23" t="n"/>
      <c r="AX41" s="23" t="n"/>
      <c r="AY41" s="23" t="n"/>
      <c r="AZ41" s="23" t="n"/>
      <c r="BA41" s="23" t="n"/>
    </row>
    <row r="42">
      <c r="B42" s="23" t="n"/>
      <c r="C42" s="23" t="n"/>
      <c r="D42" s="23" t="n"/>
      <c r="E42" s="23" t="n"/>
      <c r="F42" s="63" t="n"/>
      <c r="G42" s="7" t="n"/>
      <c r="H42" s="7" t="n"/>
      <c r="I42" s="63" t="n"/>
      <c r="J42" s="23" t="n"/>
      <c r="K4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t="n"/>
      <c r="N4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2" s="67">
        <f>IF(ResourceTable[[#This Row],[Resource Name]]="","",COUNTIF(tsk_Informed,ResourceTable[[#This Row],[Resource Name]])+COUNTIF(tsk_Informed,ResourceTable[[#This Row],[Resource Name]]&amp;",*")+COUNTIF(tsk_Informed,"*, "&amp;ResourceTable[[#This Row],[Resource Name]])+COUNTIF(tsk_Informed,"*, "&amp;ResourceTable[[#This Row],[Resource Name]]&amp;",*"))</f>
        <v/>
      </c>
      <c r="Q42" s="90">
        <f>IF(ResourceTable[[#This Row],[Focus %]]="",FocusFactor,N(ResourceTable[[#This Row],[Focus %]]))</f>
        <v/>
      </c>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3" t="n"/>
      <c r="AN42" s="23" t="n"/>
      <c r="AO42" s="23" t="n"/>
      <c r="AP42" s="23" t="n"/>
      <c r="AQ42" s="23" t="n"/>
      <c r="AR42" s="23" t="n"/>
      <c r="AS42" s="23" t="n"/>
      <c r="AT42" s="23" t="n"/>
      <c r="AU42" s="23" t="n"/>
      <c r="AV42" s="23" t="n"/>
      <c r="AW42" s="23" t="n"/>
      <c r="AX42" s="23" t="n"/>
      <c r="AY42" s="23" t="n"/>
      <c r="AZ42" s="23" t="n"/>
      <c r="BA42" s="23" t="n"/>
    </row>
    <row r="43">
      <c r="B43" s="23" t="n"/>
      <c r="C43" s="23" t="n"/>
      <c r="D43" s="23" t="n"/>
      <c r="E43" s="23" t="n"/>
      <c r="F43" s="63" t="n"/>
      <c r="G43" s="7" t="n"/>
      <c r="H43" s="7" t="n"/>
      <c r="I43" s="63" t="n"/>
      <c r="J43" s="23" t="n"/>
      <c r="K4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t="n"/>
      <c r="N4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3" s="67">
        <f>IF(ResourceTable[[#This Row],[Resource Name]]="","",COUNTIF(tsk_Informed,ResourceTable[[#This Row],[Resource Name]])+COUNTIF(tsk_Informed,ResourceTable[[#This Row],[Resource Name]]&amp;",*")+COUNTIF(tsk_Informed,"*, "&amp;ResourceTable[[#This Row],[Resource Name]])+COUNTIF(tsk_Informed,"*, "&amp;ResourceTable[[#This Row],[Resource Name]]&amp;",*"))</f>
        <v/>
      </c>
      <c r="Q43" s="90">
        <f>IF(ResourceTable[[#This Row],[Focus %]]="",FocusFactor,N(ResourceTable[[#This Row],[Focus %]]))</f>
        <v/>
      </c>
      <c r="R43" s="23" t="n"/>
      <c r="S43" s="23" t="n"/>
      <c r="T43" s="23" t="n"/>
      <c r="U43" s="23" t="n"/>
      <c r="V43" s="23" t="n"/>
      <c r="W43" s="23" t="n"/>
      <c r="X43" s="23" t="n"/>
      <c r="Y43" s="23" t="n"/>
      <c r="Z43" s="23" t="n"/>
      <c r="AA43" s="23" t="n"/>
      <c r="AB43" s="23" t="n"/>
      <c r="AC43" s="23" t="n"/>
      <c r="AD43" s="23" t="n"/>
      <c r="AE43" s="23" t="n"/>
      <c r="AF43" s="23" t="n"/>
      <c r="AG43" s="23" t="n"/>
      <c r="AH43" s="23" t="n"/>
      <c r="AI43" s="23" t="n"/>
      <c r="AJ43" s="23" t="n"/>
      <c r="AK43" s="23" t="n"/>
      <c r="AL43" s="23" t="n"/>
      <c r="AM43" s="23" t="n"/>
      <c r="AN43" s="23" t="n"/>
      <c r="AO43" s="23" t="n"/>
      <c r="AP43" s="23" t="n"/>
      <c r="AQ43" s="23" t="n"/>
      <c r="AR43" s="23" t="n"/>
      <c r="AS43" s="23" t="n"/>
      <c r="AT43" s="23" t="n"/>
      <c r="AU43" s="23" t="n"/>
      <c r="AV43" s="23" t="n"/>
      <c r="AW43" s="23" t="n"/>
      <c r="AX43" s="23" t="n"/>
      <c r="AY43" s="23" t="n"/>
      <c r="AZ43" s="23" t="n"/>
      <c r="BA43" s="23" t="n"/>
    </row>
    <row r="44">
      <c r="B44" s="23" t="n"/>
      <c r="C44" s="23" t="n"/>
      <c r="D44" s="23" t="n"/>
      <c r="E44" s="23" t="n"/>
      <c r="F44" s="63" t="n"/>
      <c r="G44" s="7" t="n"/>
      <c r="H44" s="7" t="n"/>
      <c r="I44" s="63" t="n"/>
      <c r="J44" s="23" t="n"/>
      <c r="K4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t="n"/>
      <c r="N4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4" s="67">
        <f>IF(ResourceTable[[#This Row],[Resource Name]]="","",COUNTIF(tsk_Informed,ResourceTable[[#This Row],[Resource Name]])+COUNTIF(tsk_Informed,ResourceTable[[#This Row],[Resource Name]]&amp;",*")+COUNTIF(tsk_Informed,"*, "&amp;ResourceTable[[#This Row],[Resource Name]])+COUNTIF(tsk_Informed,"*, "&amp;ResourceTable[[#This Row],[Resource Name]]&amp;",*"))</f>
        <v/>
      </c>
      <c r="Q44" s="90">
        <f>IF(ResourceTable[[#This Row],[Focus %]]="",FocusFactor,N(ResourceTable[[#This Row],[Focus %]]))</f>
        <v/>
      </c>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3" t="n"/>
      <c r="AN44" s="23" t="n"/>
      <c r="AO44" s="23" t="n"/>
      <c r="AP44" s="23" t="n"/>
      <c r="AQ44" s="23" t="n"/>
      <c r="AR44" s="23" t="n"/>
      <c r="AS44" s="23" t="n"/>
      <c r="AT44" s="23" t="n"/>
      <c r="AU44" s="23" t="n"/>
      <c r="AV44" s="23" t="n"/>
      <c r="AW44" s="23" t="n"/>
      <c r="AX44" s="23" t="n"/>
      <c r="AY44" s="23" t="n"/>
      <c r="AZ44" s="23" t="n"/>
      <c r="BA44" s="23" t="n"/>
    </row>
    <row r="45">
      <c r="B45" s="23" t="n"/>
      <c r="C45" s="23" t="n"/>
      <c r="D45" s="23" t="n"/>
      <c r="E45" s="23" t="n"/>
      <c r="F45" s="63" t="n"/>
      <c r="G45" s="7" t="n"/>
      <c r="H45" s="7" t="n"/>
      <c r="I45" s="63" t="n"/>
      <c r="J45" s="23" t="n"/>
      <c r="K4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t="n"/>
      <c r="N4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5" s="67">
        <f>IF(ResourceTable[[#This Row],[Resource Name]]="","",COUNTIF(tsk_Informed,ResourceTable[[#This Row],[Resource Name]])+COUNTIF(tsk_Informed,ResourceTable[[#This Row],[Resource Name]]&amp;",*")+COUNTIF(tsk_Informed,"*, "&amp;ResourceTable[[#This Row],[Resource Name]])+COUNTIF(tsk_Informed,"*, "&amp;ResourceTable[[#This Row],[Resource Name]]&amp;",*"))</f>
        <v/>
      </c>
      <c r="Q45" s="90">
        <f>IF(ResourceTable[[#This Row],[Focus %]]="",FocusFactor,N(ResourceTable[[#This Row],[Focus %]]))</f>
        <v/>
      </c>
      <c r="R45" s="23" t="n"/>
      <c r="S45" s="23" t="n"/>
      <c r="T45" s="23" t="n"/>
      <c r="U45" s="23" t="n"/>
      <c r="V45" s="23" t="n"/>
      <c r="W45" s="23" t="n"/>
      <c r="X45" s="23" t="n"/>
      <c r="Y45" s="23" t="n"/>
      <c r="Z45" s="23" t="n"/>
      <c r="AA45" s="23" t="n"/>
      <c r="AB45" s="23" t="n"/>
      <c r="AC45" s="23" t="n"/>
      <c r="AD45" s="23" t="n"/>
      <c r="AE45" s="23" t="n"/>
      <c r="AF45" s="23" t="n"/>
      <c r="AG45" s="23" t="n"/>
      <c r="AH45" s="23" t="n"/>
      <c r="AI45" s="23" t="n"/>
      <c r="AJ45" s="23" t="n"/>
      <c r="AK45" s="23" t="n"/>
      <c r="AL45" s="23" t="n"/>
      <c r="AM45" s="23" t="n"/>
      <c r="AN45" s="23" t="n"/>
      <c r="AO45" s="23" t="n"/>
      <c r="AP45" s="23" t="n"/>
      <c r="AQ45" s="23" t="n"/>
      <c r="AR45" s="23" t="n"/>
      <c r="AS45" s="23" t="n"/>
      <c r="AT45" s="23" t="n"/>
      <c r="AU45" s="23" t="n"/>
      <c r="AV45" s="23" t="n"/>
      <c r="AW45" s="23" t="n"/>
      <c r="AX45" s="23" t="n"/>
      <c r="AY45" s="23" t="n"/>
      <c r="AZ45" s="23" t="n"/>
      <c r="BA45" s="23" t="n"/>
    </row>
    <row r="46">
      <c r="B46" s="23" t="n"/>
      <c r="C46" s="23" t="n"/>
      <c r="D46" s="23" t="n"/>
      <c r="E46" s="23" t="n"/>
      <c r="F46" s="63" t="n"/>
      <c r="G46" s="7" t="n"/>
      <c r="H46" s="7" t="n"/>
      <c r="I46" s="63" t="n"/>
      <c r="J46" s="23" t="n"/>
      <c r="K4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t="n"/>
      <c r="N4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6" s="67">
        <f>IF(ResourceTable[[#This Row],[Resource Name]]="","",COUNTIF(tsk_Informed,ResourceTable[[#This Row],[Resource Name]])+COUNTIF(tsk_Informed,ResourceTable[[#This Row],[Resource Name]]&amp;",*")+COUNTIF(tsk_Informed,"*, "&amp;ResourceTable[[#This Row],[Resource Name]])+COUNTIF(tsk_Informed,"*, "&amp;ResourceTable[[#This Row],[Resource Name]]&amp;",*"))</f>
        <v/>
      </c>
      <c r="Q46" s="90">
        <f>IF(ResourceTable[[#This Row],[Focus %]]="",FocusFactor,N(ResourceTable[[#This Row],[Focus %]]))</f>
        <v/>
      </c>
      <c r="R46" s="23" t="n"/>
      <c r="S46" s="23" t="n"/>
      <c r="T46" s="23" t="n"/>
      <c r="U46" s="23" t="n"/>
      <c r="V46" s="23" t="n"/>
      <c r="W46" s="23" t="n"/>
      <c r="X46" s="23" t="n"/>
      <c r="Y46" s="23" t="n"/>
      <c r="Z46" s="23" t="n"/>
      <c r="AA46" s="23" t="n"/>
      <c r="AB46" s="23" t="n"/>
      <c r="AC46" s="23" t="n"/>
      <c r="AD46" s="23" t="n"/>
      <c r="AE46" s="23" t="n"/>
      <c r="AF46" s="23" t="n"/>
      <c r="AG46" s="23" t="n"/>
      <c r="AH46" s="23" t="n"/>
      <c r="AI46" s="23" t="n"/>
      <c r="AJ46" s="23" t="n"/>
      <c r="AK46" s="23" t="n"/>
      <c r="AL46" s="23" t="n"/>
      <c r="AM46" s="23" t="n"/>
      <c r="AN46" s="23" t="n"/>
      <c r="AO46" s="23" t="n"/>
      <c r="AP46" s="23" t="n"/>
      <c r="AQ46" s="23" t="n"/>
      <c r="AR46" s="23" t="n"/>
      <c r="AS46" s="23" t="n"/>
      <c r="AT46" s="23" t="n"/>
      <c r="AU46" s="23" t="n"/>
      <c r="AV46" s="23" t="n"/>
      <c r="AW46" s="23" t="n"/>
      <c r="AX46" s="23" t="n"/>
      <c r="AY46" s="23" t="n"/>
      <c r="AZ46" s="23" t="n"/>
      <c r="BA46" s="23" t="n"/>
    </row>
    <row r="47">
      <c r="B47" s="23" t="n"/>
      <c r="C47" s="23" t="n"/>
      <c r="D47" s="23" t="n"/>
      <c r="E47" s="23" t="n"/>
      <c r="F47" s="63" t="n"/>
      <c r="G47" s="7" t="n"/>
      <c r="H47" s="7" t="n"/>
      <c r="I47" s="63" t="n"/>
      <c r="J47" s="23" t="n"/>
      <c r="K4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t="n"/>
      <c r="N4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7" s="67">
        <f>IF(ResourceTable[[#This Row],[Resource Name]]="","",COUNTIF(tsk_Informed,ResourceTable[[#This Row],[Resource Name]])+COUNTIF(tsk_Informed,ResourceTable[[#This Row],[Resource Name]]&amp;",*")+COUNTIF(tsk_Informed,"*, "&amp;ResourceTable[[#This Row],[Resource Name]])+COUNTIF(tsk_Informed,"*, "&amp;ResourceTable[[#This Row],[Resource Name]]&amp;",*"))</f>
        <v/>
      </c>
      <c r="Q47" s="90">
        <f>IF(ResourceTable[[#This Row],[Focus %]]="",FocusFactor,N(ResourceTable[[#This Row],[Focus %]]))</f>
        <v/>
      </c>
      <c r="R47" s="23" t="n"/>
      <c r="S47" s="23" t="n"/>
      <c r="T47" s="23" t="n"/>
      <c r="U47" s="23" t="n"/>
      <c r="V47" s="23" t="n"/>
      <c r="W47" s="23" t="n"/>
      <c r="X47" s="23" t="n"/>
      <c r="Y47" s="23" t="n"/>
      <c r="Z47" s="23" t="n"/>
      <c r="AA47" s="23" t="n"/>
      <c r="AB47" s="23" t="n"/>
      <c r="AC47" s="23" t="n"/>
      <c r="AD47" s="23" t="n"/>
      <c r="AE47" s="23" t="n"/>
      <c r="AF47" s="23" t="n"/>
      <c r="AG47" s="23" t="n"/>
      <c r="AH47" s="23" t="n"/>
      <c r="AI47" s="23" t="n"/>
      <c r="AJ47" s="23" t="n"/>
      <c r="AK47" s="23" t="n"/>
      <c r="AL47" s="23" t="n"/>
      <c r="AM47" s="23" t="n"/>
      <c r="AN47" s="23" t="n"/>
      <c r="AO47" s="23" t="n"/>
      <c r="AP47" s="23" t="n"/>
      <c r="AQ47" s="23" t="n"/>
      <c r="AR47" s="23" t="n"/>
      <c r="AS47" s="23" t="n"/>
      <c r="AT47" s="23" t="n"/>
      <c r="AU47" s="23" t="n"/>
      <c r="AV47" s="23" t="n"/>
      <c r="AW47" s="23" t="n"/>
      <c r="AX47" s="23" t="n"/>
      <c r="AY47" s="23" t="n"/>
      <c r="AZ47" s="23" t="n"/>
      <c r="BA47" s="23" t="n"/>
    </row>
    <row r="48">
      <c r="B48" s="23" t="n"/>
      <c r="C48" s="23" t="n"/>
      <c r="D48" s="23" t="n"/>
      <c r="E48" s="23" t="n"/>
      <c r="F48" s="63" t="n"/>
      <c r="G48" s="7" t="n"/>
      <c r="H48" s="7" t="n"/>
      <c r="I48" s="63" t="n"/>
      <c r="J48" s="23" t="n"/>
      <c r="K4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t="n"/>
      <c r="N4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8" s="67">
        <f>IF(ResourceTable[[#This Row],[Resource Name]]="","",COUNTIF(tsk_Informed,ResourceTable[[#This Row],[Resource Name]])+COUNTIF(tsk_Informed,ResourceTable[[#This Row],[Resource Name]]&amp;",*")+COUNTIF(tsk_Informed,"*, "&amp;ResourceTable[[#This Row],[Resource Name]])+COUNTIF(tsk_Informed,"*, "&amp;ResourceTable[[#This Row],[Resource Name]]&amp;",*"))</f>
        <v/>
      </c>
      <c r="Q48" s="90">
        <f>IF(ResourceTable[[#This Row],[Focus %]]="",FocusFactor,N(ResourceTable[[#This Row],[Focus %]]))</f>
        <v/>
      </c>
      <c r="R48" s="23" t="n"/>
      <c r="S48" s="23" t="n"/>
      <c r="T48" s="23" t="n"/>
      <c r="U48" s="23" t="n"/>
      <c r="V48" s="23" t="n"/>
      <c r="W48" s="23" t="n"/>
      <c r="X48" s="23" t="n"/>
      <c r="Y48" s="23" t="n"/>
      <c r="Z48" s="23" t="n"/>
      <c r="AA48" s="23" t="n"/>
      <c r="AB48" s="23" t="n"/>
      <c r="AC48" s="23" t="n"/>
      <c r="AD48" s="23" t="n"/>
      <c r="AE48" s="23" t="n"/>
      <c r="AF48" s="23" t="n"/>
      <c r="AG48" s="23" t="n"/>
      <c r="AH48" s="23" t="n"/>
      <c r="AI48" s="23" t="n"/>
      <c r="AJ48" s="23" t="n"/>
      <c r="AK48" s="23" t="n"/>
      <c r="AL48" s="23" t="n"/>
      <c r="AM48" s="23" t="n"/>
      <c r="AN48" s="23" t="n"/>
      <c r="AO48" s="23" t="n"/>
      <c r="AP48" s="23" t="n"/>
      <c r="AQ48" s="23" t="n"/>
      <c r="AR48" s="23" t="n"/>
      <c r="AS48" s="23" t="n"/>
      <c r="AT48" s="23" t="n"/>
      <c r="AU48" s="23" t="n"/>
      <c r="AV48" s="23" t="n"/>
      <c r="AW48" s="23" t="n"/>
      <c r="AX48" s="23" t="n"/>
      <c r="AY48" s="23" t="n"/>
      <c r="AZ48" s="23" t="n"/>
      <c r="BA48" s="23" t="n"/>
    </row>
    <row r="49">
      <c r="B49" s="23" t="n"/>
      <c r="C49" s="23" t="n"/>
      <c r="D49" s="23" t="n"/>
      <c r="E49" s="23" t="n"/>
      <c r="F49" s="63" t="n"/>
      <c r="G49" s="7" t="n"/>
      <c r="H49" s="7" t="n"/>
      <c r="I49" s="63" t="n"/>
      <c r="J49" s="23" t="n"/>
      <c r="K4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t="n"/>
      <c r="N4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9" s="67">
        <f>IF(ResourceTable[[#This Row],[Resource Name]]="","",COUNTIF(tsk_Informed,ResourceTable[[#This Row],[Resource Name]])+COUNTIF(tsk_Informed,ResourceTable[[#This Row],[Resource Name]]&amp;",*")+COUNTIF(tsk_Informed,"*, "&amp;ResourceTable[[#This Row],[Resource Name]])+COUNTIF(tsk_Informed,"*, "&amp;ResourceTable[[#This Row],[Resource Name]]&amp;",*"))</f>
        <v/>
      </c>
      <c r="Q49" s="90">
        <f>IF(ResourceTable[[#This Row],[Focus %]]="",FocusFactor,N(ResourceTable[[#This Row],[Focus %]]))</f>
        <v/>
      </c>
      <c r="R49" s="23" t="n"/>
      <c r="S49" s="23" t="n"/>
      <c r="T49" s="23" t="n"/>
      <c r="U49" s="23" t="n"/>
      <c r="V49" s="23" t="n"/>
      <c r="W49" s="23" t="n"/>
      <c r="X49" s="23" t="n"/>
      <c r="Y49" s="23" t="n"/>
      <c r="Z49" s="23" t="n"/>
      <c r="AA49" s="23" t="n"/>
      <c r="AB49" s="23" t="n"/>
      <c r="AC49" s="23" t="n"/>
      <c r="AD49" s="23" t="n"/>
      <c r="AE49" s="23" t="n"/>
      <c r="AF49" s="23" t="n"/>
      <c r="AG49" s="23" t="n"/>
      <c r="AH49" s="23" t="n"/>
      <c r="AI49" s="23" t="n"/>
      <c r="AJ49" s="23" t="n"/>
      <c r="AK49" s="23" t="n"/>
      <c r="AL49" s="23" t="n"/>
      <c r="AM49" s="23" t="n"/>
      <c r="AN49" s="23" t="n"/>
      <c r="AO49" s="23" t="n"/>
      <c r="AP49" s="23" t="n"/>
      <c r="AQ49" s="23" t="n"/>
      <c r="AR49" s="23" t="n"/>
      <c r="AS49" s="23" t="n"/>
      <c r="AT49" s="23" t="n"/>
      <c r="AU49" s="23" t="n"/>
      <c r="AV49" s="23" t="n"/>
      <c r="AW49" s="23" t="n"/>
      <c r="AX49" s="23" t="n"/>
      <c r="AY49" s="23" t="n"/>
      <c r="AZ49" s="23" t="n"/>
      <c r="BA49" s="23" t="n"/>
    </row>
    <row r="50">
      <c r="B50" s="23" t="n"/>
      <c r="C50" s="23" t="n"/>
      <c r="D50" s="23" t="n"/>
      <c r="E50" s="23" t="n"/>
      <c r="F50" s="63" t="n"/>
      <c r="G50" s="7" t="n"/>
      <c r="H50" s="7" t="n"/>
      <c r="I50" s="63" t="n"/>
      <c r="J50" s="23" t="n"/>
      <c r="K5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t="n"/>
      <c r="N5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0" s="67">
        <f>IF(ResourceTable[[#This Row],[Resource Name]]="","",COUNTIF(tsk_Informed,ResourceTable[[#This Row],[Resource Name]])+COUNTIF(tsk_Informed,ResourceTable[[#This Row],[Resource Name]]&amp;",*")+COUNTIF(tsk_Informed,"*, "&amp;ResourceTable[[#This Row],[Resource Name]])+COUNTIF(tsk_Informed,"*, "&amp;ResourceTable[[#This Row],[Resource Name]]&amp;",*"))</f>
        <v/>
      </c>
      <c r="Q50" s="90">
        <f>IF(ResourceTable[[#This Row],[Focus %]]="",FocusFactor,N(ResourceTable[[#This Row],[Focus %]]))</f>
        <v/>
      </c>
      <c r="R50" s="23" t="n"/>
      <c r="S50" s="23" t="n"/>
      <c r="T50" s="23" t="n"/>
      <c r="U50" s="23" t="n"/>
      <c r="V50" s="23" t="n"/>
      <c r="W50" s="23" t="n"/>
      <c r="X50" s="23" t="n"/>
      <c r="Y50" s="23" t="n"/>
      <c r="Z50" s="23" t="n"/>
      <c r="AA50" s="23" t="n"/>
      <c r="AB50" s="23" t="n"/>
      <c r="AC50" s="23" t="n"/>
      <c r="AD50" s="23" t="n"/>
      <c r="AE50" s="23" t="n"/>
      <c r="AF50" s="23" t="n"/>
      <c r="AG50" s="23" t="n"/>
      <c r="AH50" s="23" t="n"/>
      <c r="AI50" s="23" t="n"/>
      <c r="AJ50" s="23" t="n"/>
      <c r="AK50" s="23" t="n"/>
      <c r="AL50" s="23" t="n"/>
      <c r="AM50" s="23" t="n"/>
      <c r="AN50" s="23" t="n"/>
      <c r="AO50" s="23" t="n"/>
      <c r="AP50" s="23" t="n"/>
      <c r="AQ50" s="23" t="n"/>
      <c r="AR50" s="23" t="n"/>
      <c r="AS50" s="23" t="n"/>
      <c r="AT50" s="23" t="n"/>
      <c r="AU50" s="23" t="n"/>
      <c r="AV50" s="23" t="n"/>
      <c r="AW50" s="23" t="n"/>
      <c r="AX50" s="23" t="n"/>
      <c r="AY50" s="23" t="n"/>
      <c r="AZ50" s="23" t="n"/>
      <c r="BA50" s="23" t="n"/>
    </row>
    <row r="51">
      <c r="B51" s="23" t="n"/>
      <c r="C51" s="23" t="n"/>
      <c r="D51" s="23" t="n"/>
      <c r="E51" s="23" t="n"/>
      <c r="F51" s="63" t="n"/>
      <c r="G51" s="7" t="n"/>
      <c r="H51" s="7" t="n"/>
      <c r="I51" s="63" t="n"/>
      <c r="J51" s="23" t="n"/>
      <c r="K5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t="n"/>
      <c r="N5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1" s="67">
        <f>IF(ResourceTable[[#This Row],[Resource Name]]="","",COUNTIF(tsk_Informed,ResourceTable[[#This Row],[Resource Name]])+COUNTIF(tsk_Informed,ResourceTable[[#This Row],[Resource Name]]&amp;",*")+COUNTIF(tsk_Informed,"*, "&amp;ResourceTable[[#This Row],[Resource Name]])+COUNTIF(tsk_Informed,"*, "&amp;ResourceTable[[#This Row],[Resource Name]]&amp;",*"))</f>
        <v/>
      </c>
      <c r="Q51" s="90">
        <f>IF(ResourceTable[[#This Row],[Focus %]]="",FocusFactor,N(ResourceTable[[#This Row],[Focus %]]))</f>
        <v/>
      </c>
      <c r="R51" s="23" t="n"/>
      <c r="S51" s="23" t="n"/>
      <c r="T51" s="23" t="n"/>
      <c r="U51" s="23" t="n"/>
      <c r="V51" s="23" t="n"/>
      <c r="W51" s="23" t="n"/>
      <c r="X51" s="23" t="n"/>
      <c r="Y51" s="23" t="n"/>
      <c r="Z51" s="23" t="n"/>
      <c r="AA51" s="23" t="n"/>
      <c r="AB51" s="23" t="n"/>
      <c r="AC51" s="23" t="n"/>
      <c r="AD51" s="23" t="n"/>
      <c r="AE51" s="23" t="n"/>
      <c r="AF51" s="23" t="n"/>
      <c r="AG51" s="23" t="n"/>
      <c r="AH51" s="23" t="n"/>
      <c r="AI51" s="23" t="n"/>
      <c r="AJ51" s="23" t="n"/>
      <c r="AK51" s="23" t="n"/>
      <c r="AL51" s="23" t="n"/>
      <c r="AM51" s="23" t="n"/>
      <c r="AN51" s="23" t="n"/>
      <c r="AO51" s="23" t="n"/>
      <c r="AP51" s="23" t="n"/>
      <c r="AQ51" s="23" t="n"/>
      <c r="AR51" s="23" t="n"/>
      <c r="AS51" s="23" t="n"/>
      <c r="AT51" s="23" t="n"/>
      <c r="AU51" s="23" t="n"/>
      <c r="AV51" s="23" t="n"/>
      <c r="AW51" s="23" t="n"/>
      <c r="AX51" s="23" t="n"/>
      <c r="AY51" s="23" t="n"/>
      <c r="AZ51" s="23" t="n"/>
      <c r="BA51" s="23" t="n"/>
    </row>
    <row r="52">
      <c r="B52" s="23" t="n"/>
      <c r="C52" s="23" t="n"/>
      <c r="D52" s="23" t="n"/>
      <c r="E52" s="23" t="n"/>
      <c r="F52" s="63" t="n"/>
      <c r="G52" s="7" t="n"/>
      <c r="H52" s="7" t="n"/>
      <c r="I52" s="63" t="n"/>
      <c r="J52" s="23" t="n"/>
      <c r="K5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t="n"/>
      <c r="N5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2" s="67">
        <f>IF(ResourceTable[[#This Row],[Resource Name]]="","",COUNTIF(tsk_Informed,ResourceTable[[#This Row],[Resource Name]])+COUNTIF(tsk_Informed,ResourceTable[[#This Row],[Resource Name]]&amp;",*")+COUNTIF(tsk_Informed,"*, "&amp;ResourceTable[[#This Row],[Resource Name]])+COUNTIF(tsk_Informed,"*, "&amp;ResourceTable[[#This Row],[Resource Name]]&amp;",*"))</f>
        <v/>
      </c>
      <c r="Q52" s="90">
        <f>IF(ResourceTable[[#This Row],[Focus %]]="",FocusFactor,N(ResourceTable[[#This Row],[Focus %]]))</f>
        <v/>
      </c>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3" t="n"/>
      <c r="AN52" s="23" t="n"/>
      <c r="AO52" s="23" t="n"/>
      <c r="AP52" s="23" t="n"/>
      <c r="AQ52" s="23" t="n"/>
      <c r="AR52" s="23" t="n"/>
      <c r="AS52" s="23" t="n"/>
      <c r="AT52" s="23" t="n"/>
      <c r="AU52" s="23" t="n"/>
      <c r="AV52" s="23" t="n"/>
      <c r="AW52" s="23" t="n"/>
      <c r="AX52" s="23" t="n"/>
      <c r="AY52" s="23" t="n"/>
      <c r="AZ52" s="23" t="n"/>
      <c r="BA52" s="23" t="n"/>
    </row>
    <row r="53">
      <c r="B53" s="23" t="n"/>
      <c r="C53" s="23" t="n"/>
      <c r="D53" s="23" t="n"/>
      <c r="E53" s="23" t="n"/>
      <c r="F53" s="63" t="n"/>
      <c r="G53" s="7" t="n"/>
      <c r="H53" s="7" t="n"/>
      <c r="I53" s="63" t="n"/>
      <c r="J53" s="23" t="n"/>
      <c r="K5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t="n"/>
      <c r="N5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3" s="67">
        <f>IF(ResourceTable[[#This Row],[Resource Name]]="","",COUNTIF(tsk_Informed,ResourceTable[[#This Row],[Resource Name]])+COUNTIF(tsk_Informed,ResourceTable[[#This Row],[Resource Name]]&amp;",*")+COUNTIF(tsk_Informed,"*, "&amp;ResourceTable[[#This Row],[Resource Name]])+COUNTIF(tsk_Informed,"*, "&amp;ResourceTable[[#This Row],[Resource Name]]&amp;",*"))</f>
        <v/>
      </c>
      <c r="Q53" s="90">
        <f>IF(ResourceTable[[#This Row],[Focus %]]="",FocusFactor,N(ResourceTable[[#This Row],[Focus %]]))</f>
        <v/>
      </c>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3" t="n"/>
      <c r="AN53" s="23" t="n"/>
      <c r="AO53" s="23" t="n"/>
      <c r="AP53" s="23" t="n"/>
      <c r="AQ53" s="23" t="n"/>
      <c r="AR53" s="23" t="n"/>
      <c r="AS53" s="23" t="n"/>
      <c r="AT53" s="23" t="n"/>
      <c r="AU53" s="23" t="n"/>
      <c r="AV53" s="23" t="n"/>
      <c r="AW53" s="23" t="n"/>
      <c r="AX53" s="23" t="n"/>
      <c r="AY53" s="23" t="n"/>
      <c r="AZ53" s="23" t="n"/>
      <c r="BA53" s="23" t="n"/>
    </row>
    <row r="54">
      <c r="B54" s="23" t="n"/>
      <c r="C54" s="23" t="n"/>
      <c r="D54" s="23" t="n"/>
      <c r="E54" s="23" t="n"/>
      <c r="F54" s="63" t="n"/>
      <c r="G54" s="7" t="n"/>
      <c r="H54" s="7" t="n"/>
      <c r="I54" s="63" t="n"/>
      <c r="J54" s="23" t="n"/>
      <c r="K5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t="n"/>
      <c r="N5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4" s="67">
        <f>IF(ResourceTable[[#This Row],[Resource Name]]="","",COUNTIF(tsk_Informed,ResourceTable[[#This Row],[Resource Name]])+COUNTIF(tsk_Informed,ResourceTable[[#This Row],[Resource Name]]&amp;",*")+COUNTIF(tsk_Informed,"*, "&amp;ResourceTable[[#This Row],[Resource Name]])+COUNTIF(tsk_Informed,"*, "&amp;ResourceTable[[#This Row],[Resource Name]]&amp;",*"))</f>
        <v/>
      </c>
      <c r="Q54" s="90">
        <f>IF(ResourceTable[[#This Row],[Focus %]]="",FocusFactor,N(ResourceTable[[#This Row],[Focus %]]))</f>
        <v/>
      </c>
      <c r="R54" s="23" t="n"/>
      <c r="S54" s="23" t="n"/>
      <c r="T54" s="23" t="n"/>
      <c r="U54" s="23" t="n"/>
      <c r="V54" s="23" t="n"/>
      <c r="W54" s="23" t="n"/>
      <c r="X54" s="23" t="n"/>
      <c r="Y54" s="23" t="n"/>
      <c r="Z54" s="23" t="n"/>
      <c r="AA54" s="23" t="n"/>
      <c r="AB54" s="23" t="n"/>
      <c r="AC54" s="23" t="n"/>
      <c r="AD54" s="23" t="n"/>
      <c r="AE54" s="23" t="n"/>
      <c r="AF54" s="23" t="n"/>
      <c r="AG54" s="23" t="n"/>
      <c r="AH54" s="23" t="n"/>
      <c r="AI54" s="23" t="n"/>
      <c r="AJ54" s="23" t="n"/>
      <c r="AK54" s="23" t="n"/>
      <c r="AL54" s="23" t="n"/>
      <c r="AM54" s="23" t="n"/>
      <c r="AN54" s="23" t="n"/>
      <c r="AO54" s="23" t="n"/>
      <c r="AP54" s="23" t="n"/>
      <c r="AQ54" s="23" t="n"/>
      <c r="AR54" s="23" t="n"/>
      <c r="AS54" s="23" t="n"/>
      <c r="AT54" s="23" t="n"/>
      <c r="AU54" s="23" t="n"/>
      <c r="AV54" s="23" t="n"/>
      <c r="AW54" s="23" t="n"/>
      <c r="AX54" s="23" t="n"/>
      <c r="AY54" s="23" t="n"/>
      <c r="AZ54" s="23" t="n"/>
      <c r="BA54" s="23" t="n"/>
    </row>
    <row r="55">
      <c r="B55" s="23" t="n"/>
      <c r="C55" s="23" t="n"/>
      <c r="D55" s="23" t="n"/>
      <c r="E55" s="23" t="n"/>
      <c r="F55" s="63" t="n"/>
      <c r="G55" s="7" t="n"/>
      <c r="H55" s="7" t="n"/>
      <c r="I55" s="63" t="n"/>
      <c r="J55" s="23" t="n"/>
      <c r="K5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t="n"/>
      <c r="N5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5" s="67">
        <f>IF(ResourceTable[[#This Row],[Resource Name]]="","",COUNTIF(tsk_Informed,ResourceTable[[#This Row],[Resource Name]])+COUNTIF(tsk_Informed,ResourceTable[[#This Row],[Resource Name]]&amp;",*")+COUNTIF(tsk_Informed,"*, "&amp;ResourceTable[[#This Row],[Resource Name]])+COUNTIF(tsk_Informed,"*, "&amp;ResourceTable[[#This Row],[Resource Name]]&amp;",*"))</f>
        <v/>
      </c>
      <c r="Q55" s="90">
        <f>IF(ResourceTable[[#This Row],[Focus %]]="",FocusFactor,N(ResourceTable[[#This Row],[Focus %]]))</f>
        <v/>
      </c>
      <c r="R55" s="23" t="n"/>
      <c r="S55" s="23" t="n"/>
      <c r="T55" s="23" t="n"/>
      <c r="U55" s="23" t="n"/>
      <c r="V55" s="23" t="n"/>
      <c r="W55" s="23" t="n"/>
      <c r="X55" s="23" t="n"/>
      <c r="Y55" s="23" t="n"/>
      <c r="Z55" s="23" t="n"/>
      <c r="AA55" s="23" t="n"/>
      <c r="AB55" s="23" t="n"/>
      <c r="AC55" s="23" t="n"/>
      <c r="AD55" s="23" t="n"/>
      <c r="AE55" s="23" t="n"/>
      <c r="AF55" s="23" t="n"/>
      <c r="AG55" s="23" t="n"/>
      <c r="AH55" s="23" t="n"/>
      <c r="AI55" s="23" t="n"/>
      <c r="AJ55" s="23" t="n"/>
      <c r="AK55" s="23" t="n"/>
      <c r="AL55" s="23" t="n"/>
      <c r="AM55" s="23" t="n"/>
      <c r="AN55" s="23" t="n"/>
      <c r="AO55" s="23" t="n"/>
      <c r="AP55" s="23" t="n"/>
      <c r="AQ55" s="23" t="n"/>
      <c r="AR55" s="23" t="n"/>
      <c r="AS55" s="23" t="n"/>
      <c r="AT55" s="23" t="n"/>
      <c r="AU55" s="23" t="n"/>
      <c r="AV55" s="23" t="n"/>
      <c r="AW55" s="23" t="n"/>
      <c r="AX55" s="23" t="n"/>
      <c r="AY55" s="23" t="n"/>
      <c r="AZ55" s="23" t="n"/>
      <c r="BA55" s="23" t="n"/>
    </row>
    <row r="56"/>
    <row r="57"/>
    <row r="58">
      <c r="B58" s="28" t="inlineStr">
        <is>
          <t>LEAVE BY DAY: one row per person and month; type 1 (all day) or 0.5 (half a day) under each day off. It adds to the month columns above.</t>
        </is>
      </c>
    </row>
    <row r="59"/>
    <row r="60">
      <c r="B60" s="18" t="inlineStr">
        <is>
          <t>Resource</t>
        </is>
      </c>
      <c r="C60" s="18" t="inlineStr">
        <is>
          <t>Month</t>
        </is>
      </c>
      <c r="D60" s="18" t="inlineStr">
        <is>
          <t>1</t>
        </is>
      </c>
      <c r="E60" s="18" t="inlineStr">
        <is>
          <t>2</t>
        </is>
      </c>
      <c r="F60" s="18" t="inlineStr">
        <is>
          <t>3</t>
        </is>
      </c>
      <c r="G60" s="18" t="inlineStr">
        <is>
          <t>4</t>
        </is>
      </c>
      <c r="H60" s="18" t="inlineStr">
        <is>
          <t>5</t>
        </is>
      </c>
      <c r="I60" s="18" t="inlineStr">
        <is>
          <t>6</t>
        </is>
      </c>
      <c r="J60" s="18" t="inlineStr">
        <is>
          <t>7</t>
        </is>
      </c>
      <c r="K60" s="18" t="inlineStr">
        <is>
          <t>8</t>
        </is>
      </c>
      <c r="L60" s="18" t="inlineStr">
        <is>
          <t>9</t>
        </is>
      </c>
      <c r="M60" s="18" t="inlineStr">
        <is>
          <t>10</t>
        </is>
      </c>
      <c r="N60" s="18" t="inlineStr">
        <is>
          <t>11</t>
        </is>
      </c>
      <c r="O60" s="18" t="inlineStr">
        <is>
          <t>12</t>
        </is>
      </c>
      <c r="P60" s="18" t="inlineStr">
        <is>
          <t>13</t>
        </is>
      </c>
      <c r="Q60" s="18" t="inlineStr">
        <is>
          <t>14</t>
        </is>
      </c>
      <c r="R60" s="18" t="inlineStr">
        <is>
          <t>15</t>
        </is>
      </c>
      <c r="S60" s="18" t="inlineStr">
        <is>
          <t>16</t>
        </is>
      </c>
      <c r="T60" s="18" t="inlineStr">
        <is>
          <t>17</t>
        </is>
      </c>
      <c r="U60" s="18" t="inlineStr">
        <is>
          <t>18</t>
        </is>
      </c>
      <c r="V60" s="18" t="inlineStr">
        <is>
          <t>19</t>
        </is>
      </c>
      <c r="W60" s="18" t="inlineStr">
        <is>
          <t>20</t>
        </is>
      </c>
      <c r="X60" s="18" t="inlineStr">
        <is>
          <t>21</t>
        </is>
      </c>
      <c r="Y60" s="18" t="inlineStr">
        <is>
          <t>22</t>
        </is>
      </c>
      <c r="Z60" s="18" t="inlineStr">
        <is>
          <t>23</t>
        </is>
      </c>
      <c r="AA60" s="18" t="inlineStr">
        <is>
          <t>24</t>
        </is>
      </c>
      <c r="AB60" s="18" t="inlineStr">
        <is>
          <t>25</t>
        </is>
      </c>
      <c r="AC60" s="18" t="inlineStr">
        <is>
          <t>26</t>
        </is>
      </c>
      <c r="AD60" s="18" t="inlineStr">
        <is>
          <t>27</t>
        </is>
      </c>
      <c r="AE60" s="18" t="inlineStr">
        <is>
          <t>28</t>
        </is>
      </c>
      <c r="AF60" s="18" t="inlineStr">
        <is>
          <t>29</t>
        </is>
      </c>
      <c r="AG60" s="18" t="inlineStr">
        <is>
          <t>30</t>
        </is>
      </c>
      <c r="AH60" s="18" t="inlineStr">
        <is>
          <t>31</t>
        </is>
      </c>
      <c r="AI60" s="17" t="inlineStr">
        <is>
          <t>Days</t>
        </is>
      </c>
      <c r="AJ60" s="17" t="inlineStr">
        <is>
          <t>Also Typed Above</t>
        </is>
      </c>
      <c r="AK60" s="41" t="inlineStr">
        <is>
          <t>_Key</t>
        </is>
      </c>
      <c r="AL60" s="41" t="inlineStr">
        <is>
          <t>_MonthText</t>
        </is>
      </c>
    </row>
    <row r="61">
      <c r="B61" s="23" t="inlineStr">
        <is>
          <t>Casey Kim</t>
        </is>
      </c>
      <c r="C61" s="23" t="inlineStr">
        <is>
          <t>Nov-26</t>
        </is>
      </c>
      <c r="D61" s="22" t="n"/>
      <c r="E61" s="22" t="n"/>
      <c r="F61" s="22" t="n"/>
      <c r="G61" s="22" t="n"/>
      <c r="H61" s="22" t="n"/>
      <c r="I61" s="22" t="n"/>
      <c r="J61" s="22" t="n"/>
      <c r="K61" s="22" t="n"/>
      <c r="L61" s="22" t="n"/>
      <c r="M61" s="22" t="n"/>
      <c r="N61" s="22" t="n"/>
      <c r="O61" s="22" t="n"/>
      <c r="P61" s="22" t="n"/>
      <c r="Q61" s="22" t="n"/>
      <c r="R61" s="22" t="n"/>
      <c r="S61" s="22" t="n">
        <v>1</v>
      </c>
      <c r="T61" s="22" t="n">
        <v>0.5</v>
      </c>
      <c r="U61" s="22" t="n">
        <v>1</v>
      </c>
      <c r="V61" s="22" t="n">
        <v>1</v>
      </c>
      <c r="W61" s="22" t="n">
        <v>1</v>
      </c>
      <c r="X61" s="22" t="n"/>
      <c r="Y61" s="22" t="n"/>
      <c r="Z61" s="22" t="n">
        <v>1</v>
      </c>
      <c r="AA61" s="22" t="n">
        <v>1</v>
      </c>
      <c r="AB61" s="22" t="n">
        <v>1</v>
      </c>
      <c r="AC61" s="22" t="n">
        <v>1</v>
      </c>
      <c r="AD61" s="22" t="n">
        <v>1</v>
      </c>
      <c r="AE61" s="22" t="n"/>
      <c r="AF61" s="22" t="n"/>
      <c r="AG61" s="22" t="n"/>
      <c r="AH61" s="22" t="n"/>
      <c r="AI6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1"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1" s="42">
        <f>LeaveDays[[#This Row],[Resource]]&amp;"|"&amp;LeaveDays[[#This Row],[Month]]</f>
        <v/>
      </c>
      <c r="AL61"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2">
      <c r="B62" s="23" t="inlineStr">
        <is>
          <t>Jordan Lee</t>
        </is>
      </c>
      <c r="C62" s="23" t="inlineStr">
        <is>
          <t>Oct-26</t>
        </is>
      </c>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v>1</v>
      </c>
      <c r="AH62" s="22" t="n"/>
      <c r="AI6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2"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2" s="42">
        <f>LeaveDays[[#This Row],[Resource]]&amp;"|"&amp;LeaveDays[[#This Row],[Month]]</f>
        <v/>
      </c>
      <c r="AL62"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3">
      <c r="B63" s="23" t="inlineStr">
        <is>
          <t>Jordan Lee</t>
        </is>
      </c>
      <c r="C63" s="23" t="inlineStr">
        <is>
          <t>Dec-26</t>
        </is>
      </c>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v>1</v>
      </c>
      <c r="Y63" s="22" t="n">
        <v>1</v>
      </c>
      <c r="Z63" s="22" t="n">
        <v>0.5</v>
      </c>
      <c r="AA63" s="22" t="n"/>
      <c r="AB63" s="22" t="n"/>
      <c r="AC63" s="22" t="n"/>
      <c r="AD63" s="22" t="n"/>
      <c r="AE63" s="22" t="n"/>
      <c r="AF63" s="22" t="n"/>
      <c r="AG63" s="22" t="n"/>
      <c r="AH63" s="22" t="n"/>
      <c r="AI6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3"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3" s="42">
        <f>LeaveDays[[#This Row],[Resource]]&amp;"|"&amp;LeaveDays[[#This Row],[Month]]</f>
        <v/>
      </c>
      <c r="AL63"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4">
      <c r="B64" s="23" t="n"/>
      <c r="C64" s="23"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4" s="42">
        <f>LeaveDays[[#This Row],[Resource]]&amp;"|"&amp;LeaveDays[[#This Row],[Month]]</f>
        <v/>
      </c>
      <c r="AL64"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5">
      <c r="B65" s="23" t="n"/>
      <c r="C65" s="23"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5" s="42">
        <f>LeaveDays[[#This Row],[Resource]]&amp;"|"&amp;LeaveDays[[#This Row],[Month]]</f>
        <v/>
      </c>
      <c r="AL65"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6">
      <c r="B66" s="23" t="n"/>
      <c r="C66" s="23"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6" s="42">
        <f>LeaveDays[[#This Row],[Resource]]&amp;"|"&amp;LeaveDays[[#This Row],[Month]]</f>
        <v/>
      </c>
      <c r="AL66"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7">
      <c r="B67" s="23" t="n"/>
      <c r="C67" s="23"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7" s="42">
        <f>LeaveDays[[#This Row],[Resource]]&amp;"|"&amp;LeaveDays[[#This Row],[Month]]</f>
        <v/>
      </c>
      <c r="AL67"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8">
      <c r="B68" s="23" t="n"/>
      <c r="C68" s="23"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8" s="42">
        <f>LeaveDays[[#This Row],[Resource]]&amp;"|"&amp;LeaveDays[[#This Row],[Month]]</f>
        <v/>
      </c>
      <c r="AL68"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9">
      <c r="B69" s="23" t="n"/>
      <c r="C69" s="23"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9" s="42">
        <f>LeaveDays[[#This Row],[Resource]]&amp;"|"&amp;LeaveDays[[#This Row],[Month]]</f>
        <v/>
      </c>
      <c r="AL69"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0">
      <c r="B70" s="23" t="n"/>
      <c r="C70" s="23"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0" s="42">
        <f>LeaveDays[[#This Row],[Resource]]&amp;"|"&amp;LeaveDays[[#This Row],[Month]]</f>
        <v/>
      </c>
      <c r="AL70"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1">
      <c r="B71" s="23" t="n"/>
      <c r="C71" s="23"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1" s="42">
        <f>LeaveDays[[#This Row],[Resource]]&amp;"|"&amp;LeaveDays[[#This Row],[Month]]</f>
        <v/>
      </c>
      <c r="AL71"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2">
      <c r="B72" s="23" t="n"/>
      <c r="C72" s="23"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2" s="42">
        <f>LeaveDays[[#This Row],[Resource]]&amp;"|"&amp;LeaveDays[[#This Row],[Month]]</f>
        <v/>
      </c>
      <c r="AL72"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3">
      <c r="B73" s="23" t="n"/>
      <c r="C73" s="23"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3" s="42">
        <f>LeaveDays[[#This Row],[Resource]]&amp;"|"&amp;LeaveDays[[#This Row],[Month]]</f>
        <v/>
      </c>
      <c r="AL73"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4">
      <c r="B74" s="23" t="n"/>
      <c r="C74" s="23"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4" s="42">
        <f>LeaveDays[[#This Row],[Resource]]&amp;"|"&amp;LeaveDays[[#This Row],[Month]]</f>
        <v/>
      </c>
      <c r="AL74"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5">
      <c r="B75" s="23" t="n"/>
      <c r="C75" s="23"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5" s="42">
        <f>LeaveDays[[#This Row],[Resource]]&amp;"|"&amp;LeaveDays[[#This Row],[Month]]</f>
        <v/>
      </c>
      <c r="AL75"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6">
      <c r="B76" s="23" t="n"/>
      <c r="C76" s="23"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6" s="42">
        <f>LeaveDays[[#This Row],[Resource]]&amp;"|"&amp;LeaveDays[[#This Row],[Month]]</f>
        <v/>
      </c>
      <c r="AL76"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7">
      <c r="B77" s="23" t="n"/>
      <c r="C77" s="23"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7" s="42">
        <f>LeaveDays[[#This Row],[Resource]]&amp;"|"&amp;LeaveDays[[#This Row],[Month]]</f>
        <v/>
      </c>
      <c r="AL77"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8">
      <c r="B78" s="23" t="n"/>
      <c r="C78" s="23"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8" s="42">
        <f>LeaveDays[[#This Row],[Resource]]&amp;"|"&amp;LeaveDays[[#This Row],[Month]]</f>
        <v/>
      </c>
      <c r="AL78"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9">
      <c r="B79" s="23" t="n"/>
      <c r="C79" s="23"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9" s="42">
        <f>LeaveDays[[#This Row],[Resource]]&amp;"|"&amp;LeaveDays[[#This Row],[Month]]</f>
        <v/>
      </c>
      <c r="AL79"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0">
      <c r="B80" s="23" t="n"/>
      <c r="C80" s="23"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0" s="42">
        <f>LeaveDays[[#This Row],[Resource]]&amp;"|"&amp;LeaveDays[[#This Row],[Month]]</f>
        <v/>
      </c>
      <c r="AL80"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1">
      <c r="B81" s="23" t="n"/>
      <c r="C81" s="23"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1" s="42">
        <f>LeaveDays[[#This Row],[Resource]]&amp;"|"&amp;LeaveDays[[#This Row],[Month]]</f>
        <v/>
      </c>
      <c r="AL81"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2">
      <c r="B82" s="23" t="n"/>
      <c r="C82" s="23"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2" s="42">
        <f>LeaveDays[[#This Row],[Resource]]&amp;"|"&amp;LeaveDays[[#This Row],[Month]]</f>
        <v/>
      </c>
      <c r="AL82"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3">
      <c r="B83" s="23" t="n"/>
      <c r="C83" s="23"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3" s="42">
        <f>LeaveDays[[#This Row],[Resource]]&amp;"|"&amp;LeaveDays[[#This Row],[Month]]</f>
        <v/>
      </c>
      <c r="AL83"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4">
      <c r="B84" s="23" t="n"/>
      <c r="C84" s="23"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4" s="42">
        <f>LeaveDays[[#This Row],[Resource]]&amp;"|"&amp;LeaveDays[[#This Row],[Month]]</f>
        <v/>
      </c>
      <c r="AL84"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5">
      <c r="B85" s="23" t="n"/>
      <c r="C85" s="23"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5" s="42">
        <f>LeaveDays[[#This Row],[Resource]]&amp;"|"&amp;LeaveDays[[#This Row],[Month]]</f>
        <v/>
      </c>
      <c r="AL85"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6">
      <c r="B86" s="23" t="n"/>
      <c r="C86" s="23"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6" s="42">
        <f>LeaveDays[[#This Row],[Resource]]&amp;"|"&amp;LeaveDays[[#This Row],[Month]]</f>
        <v/>
      </c>
      <c r="AL86"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7">
      <c r="B87" s="23" t="n"/>
      <c r="C87" s="23"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7" s="42">
        <f>LeaveDays[[#This Row],[Resource]]&amp;"|"&amp;LeaveDays[[#This Row],[Month]]</f>
        <v/>
      </c>
      <c r="AL87"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8">
      <c r="B88" s="23" t="n"/>
      <c r="C88" s="23"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8" s="42">
        <f>LeaveDays[[#This Row],[Resource]]&amp;"|"&amp;LeaveDays[[#This Row],[Month]]</f>
        <v/>
      </c>
      <c r="AL88"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9">
      <c r="B89" s="23" t="n"/>
      <c r="C89" s="23"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9" s="42">
        <f>LeaveDays[[#This Row],[Resource]]&amp;"|"&amp;LeaveDays[[#This Row],[Month]]</f>
        <v/>
      </c>
      <c r="AL89"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0">
      <c r="B90" s="23" t="n"/>
      <c r="C90" s="23"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0" s="42">
        <f>LeaveDays[[#This Row],[Resource]]&amp;"|"&amp;LeaveDays[[#This Row],[Month]]</f>
        <v/>
      </c>
      <c r="AL90"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1">
      <c r="B91" s="23" t="n"/>
      <c r="C91" s="23"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1" s="42">
        <f>LeaveDays[[#This Row],[Resource]]&amp;"|"&amp;LeaveDays[[#This Row],[Month]]</f>
        <v/>
      </c>
      <c r="AL91"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2">
      <c r="B92" s="23" t="n"/>
      <c r="C92" s="23"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2" s="42">
        <f>LeaveDays[[#This Row],[Resource]]&amp;"|"&amp;LeaveDays[[#This Row],[Month]]</f>
        <v/>
      </c>
      <c r="AL92"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3">
      <c r="B93" s="23" t="n"/>
      <c r="C93" s="23"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3" s="42">
        <f>LeaveDays[[#This Row],[Resource]]&amp;"|"&amp;LeaveDays[[#This Row],[Month]]</f>
        <v/>
      </c>
      <c r="AL93"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4">
      <c r="B94" s="23" t="n"/>
      <c r="C94" s="23"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4" s="42">
        <f>LeaveDays[[#This Row],[Resource]]&amp;"|"&amp;LeaveDays[[#This Row],[Month]]</f>
        <v/>
      </c>
      <c r="AL94"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5">
      <c r="B95" s="23" t="n"/>
      <c r="C95" s="23"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5" s="42">
        <f>LeaveDays[[#This Row],[Resource]]&amp;"|"&amp;LeaveDays[[#This Row],[Month]]</f>
        <v/>
      </c>
      <c r="AL95"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6">
      <c r="B96" s="23" t="n"/>
      <c r="C96" s="23"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6" s="42">
        <f>LeaveDays[[#This Row],[Resource]]&amp;"|"&amp;LeaveDays[[#This Row],[Month]]</f>
        <v/>
      </c>
      <c r="AL96"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7">
      <c r="B97" s="23" t="n"/>
      <c r="C97" s="23"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7" s="42">
        <f>LeaveDays[[#This Row],[Resource]]&amp;"|"&amp;LeaveDays[[#This Row],[Month]]</f>
        <v/>
      </c>
      <c r="AL97"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8">
      <c r="B98" s="23" t="n"/>
      <c r="C98" s="23"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8" s="42">
        <f>LeaveDays[[#This Row],[Resource]]&amp;"|"&amp;LeaveDays[[#This Row],[Month]]</f>
        <v/>
      </c>
      <c r="AL98"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9">
      <c r="B99" s="23" t="n"/>
      <c r="C99" s="23"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9" s="42">
        <f>LeaveDays[[#This Row],[Resource]]&amp;"|"&amp;LeaveDays[[#This Row],[Month]]</f>
        <v/>
      </c>
      <c r="AL99"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100">
      <c r="B100" s="23" t="n"/>
      <c r="C100" s="23"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20">
        <f>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100" s="42">
        <f>LeaveDays[[#This Row],[Resource]]&amp;"|"&amp;LeaveDays[[#This Row],[Month]]</f>
        <v/>
      </c>
      <c r="AL100" s="42">
        <f>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sheetData>
  <conditionalFormatting sqref="AJ61:AJ100">
    <cfRule type="expression" priority="1" dxfId="3">
      <formula>AJ61&lt;&gt;""</formula>
    </cfRule>
  </conditionalFormatting>
  <dataValidations count="4">
    <dataValidation sqref="E6:E55" showDropDown="0" showInputMessage="0" showErrorMessage="0" allowBlank="0" type="list">
      <formula1>=L_ResType</formula1>
    </dataValidation>
    <dataValidation sqref="B61:B100" showDropDown="0" showInputMessage="1" showErrorMessage="1" allowBlank="0" promptTitle="Resource" prompt="Pick the person (Resources)." type="list">
      <formula1>=res_Name</formula1>
    </dataValidation>
    <dataValidation sqref="C61:C100" showDropDown="0" showInputMessage="1" showErrorMessage="1" allowBlank="0" promptTitle="Month" prompt="Pick the month: one of the month columns above, e.g. Nov-26." type="list">
      <formula1>=leave_Months</formula1>
    </dataValidation>
    <dataValidation sqref="D61:AH100" showDropDown="0" showInputMessage="1" showErrorMessage="1" allowBlank="0" error="1 = a day off, 0.5 = half a day." promptTitle="Day off" prompt="1 = all day, 0.5 = half a day. Weekends and holidays don't count." type="decimal" operator="between">
      <formula1>0</formula1>
      <formula2>1</formula2>
    </dataValidation>
  </dataValidations>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2026-10-29T03:08:36Z</dcterms:created>
  <dcterms:modified xmlns:dcterms="http://purl.org/dc/terms/" xmlns:xsi="http://www.w3.org/2001/XMLSchema-instance" xsi:type="dcterms:W3CDTF">2026-10-29T03:08:38Z</dcterms:modified>
</cp:coreProperties>
</file>